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/>
  <xr:revisionPtr revIDLastSave="0" documentId="13_ncr:1_{2FC96A7D-0F0F-4C2C-87A2-7FCBEFAE73F3}" xr6:coauthVersionLast="47" xr6:coauthVersionMax="47" xr10:uidLastSave="{00000000-0000-0000-0000-000000000000}"/>
  <bookViews>
    <workbookView xWindow="28680" yWindow="-120" windowWidth="21840" windowHeight="13020" tabRatio="844" xr2:uid="{00000000-000D-0000-FFFF-FFFF00000000}"/>
  </bookViews>
  <sheets>
    <sheet name="Carátula" sheetId="17" r:id="rId1"/>
    <sheet name="Índice" sheetId="18" r:id="rId2"/>
    <sheet name="1_Acceso-Credito" sheetId="14" r:id="rId3"/>
    <sheet name="2_Tipo-Entidad " sheetId="16" r:id="rId4"/>
    <sheet name="3_Entidad" sheetId="19" r:id="rId5"/>
    <sheet name="4_Zona-Dpto" sheetId="24" r:id="rId6"/>
    <sheet name="5_Actividad-Deudor " sheetId="20" r:id="rId7"/>
    <sheet name="6_Rango-Saldo" sheetId="21" r:id="rId8"/>
    <sheet name="7_Cat. Operación" sheetId="25" r:id="rId9"/>
    <sheet name="5_Rango de Saldo (2)" sheetId="23" state="hidden" r:id="rId10"/>
  </sheets>
  <externalReferences>
    <externalReference r:id="rId11"/>
    <externalReference r:id="rId12"/>
  </externalReferences>
  <definedNames>
    <definedName name="a">'[1]37'!#REF!</definedName>
    <definedName name="A_impresión_IM" localSheetId="0">'[2]#¡REF'!#REF!</definedName>
    <definedName name="A_impresión_IM" localSheetId="1">'[2]#¡REF'!#REF!</definedName>
    <definedName name="A_impresión_IM">#REF!</definedName>
    <definedName name="_xlnm.Print_Area" localSheetId="2">'1_Acceso-Credito'!$B$1:$H$47</definedName>
    <definedName name="_xlnm.Print_Area" localSheetId="3">'2_Tipo-Entidad '!$B$1:$J$41</definedName>
    <definedName name="_xlnm.Print_Area" localSheetId="4">'3_Entidad'!$A$1:$U$80</definedName>
    <definedName name="_xlnm.Print_Area" localSheetId="5">'4_Zona-Dpto'!$B$1:$U$68</definedName>
    <definedName name="_xlnm.Print_Area" localSheetId="6">'5_Actividad-Deudor '!$A$1:$U$67</definedName>
    <definedName name="_xlnm.Print_Area" localSheetId="9">'5_Rango de Saldo (2)'!$B$1:$U$40</definedName>
    <definedName name="_xlnm.Print_Area" localSheetId="7">'6_Rango-Saldo'!$A$1:$U$43</definedName>
    <definedName name="_xlnm.Print_Area" localSheetId="8">'7_Cat. Operación'!$A$1:$U$49</definedName>
    <definedName name="_xlnm.Print_Area" localSheetId="0">Carátula!$A$1:$M$27</definedName>
    <definedName name="_xlnm.Print_Area" localSheetId="1">Índice!$A$1:$I$31</definedName>
    <definedName name="n110.">'[1]27'!#REF!</definedName>
    <definedName name="n110n60">'[1]26'!#REF!</definedName>
    <definedName name="s">#REF!</definedName>
    <definedName name="_xlnm.Print_Titles" localSheetId="4">'3_Entidad'!$1:$10</definedName>
    <definedName name="_xlnm.Print_Titles" localSheetId="5">'4_Zona-Dpto'!$1:$11</definedName>
    <definedName name="_xlnm.Print_Titles" localSheetId="6">'5_Actividad-Deudor '!$1:$11</definedName>
    <definedName name="_xlnm.Print_Titles" localSheetId="0">Carátula!$B:$B</definedName>
    <definedName name="_xlnm.Print_Titles" localSheetId="1">Índice!$B:$B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8" i="21" l="1"/>
  <c r="C38" i="21"/>
  <c r="D35" i="21"/>
  <c r="C35" i="21"/>
  <c r="C37" i="21"/>
  <c r="G38" i="21"/>
  <c r="G35" i="21"/>
  <c r="K35" i="21"/>
  <c r="O35" i="21"/>
  <c r="D39" i="25"/>
  <c r="C39" i="25"/>
  <c r="H38" i="25"/>
  <c r="G38" i="25"/>
  <c r="G39" i="25"/>
  <c r="G41" i="25"/>
  <c r="C42" i="25"/>
  <c r="C40" i="25"/>
  <c r="C38" i="25"/>
  <c r="K40" i="25"/>
  <c r="K42" i="25"/>
  <c r="O38" i="25"/>
  <c r="H70" i="19"/>
  <c r="G70" i="19"/>
  <c r="D70" i="19"/>
  <c r="C70" i="19"/>
  <c r="C66" i="19"/>
  <c r="K70" i="19"/>
  <c r="O60" i="19"/>
  <c r="H23" i="16"/>
  <c r="G23" i="16"/>
  <c r="H18" i="16"/>
  <c r="G18" i="16"/>
  <c r="G28" i="16"/>
  <c r="G33" i="16"/>
  <c r="G38" i="16"/>
  <c r="G64" i="20" l="1"/>
  <c r="G61" i="20"/>
  <c r="G51" i="20"/>
  <c r="H50" i="20"/>
  <c r="G50" i="20"/>
  <c r="H47" i="20"/>
  <c r="D62" i="20"/>
  <c r="C62" i="20"/>
  <c r="C61" i="20"/>
  <c r="C58" i="20"/>
  <c r="C56" i="20"/>
  <c r="C55" i="20"/>
  <c r="C51" i="20"/>
  <c r="C50" i="20"/>
  <c r="C47" i="20"/>
  <c r="K50" i="20"/>
  <c r="O56" i="20"/>
  <c r="H49" i="24"/>
  <c r="G49" i="24"/>
  <c r="G65" i="24"/>
  <c r="G59" i="24"/>
  <c r="G58" i="24"/>
  <c r="G56" i="24"/>
  <c r="G54" i="24"/>
  <c r="G52" i="24"/>
  <c r="G55" i="24"/>
  <c r="D65" i="24"/>
  <c r="C65" i="24"/>
  <c r="C63" i="24"/>
  <c r="C60" i="24"/>
  <c r="C57" i="24"/>
  <c r="C55" i="24"/>
  <c r="C56" i="24"/>
  <c r="C52" i="24"/>
  <c r="C50" i="24"/>
  <c r="C49" i="24"/>
  <c r="K63" i="24"/>
  <c r="K52" i="24"/>
  <c r="O55" i="24"/>
  <c r="T38" i="25"/>
  <c r="S38" i="25"/>
  <c r="S39" i="25"/>
  <c r="S40" i="25"/>
  <c r="S41" i="25"/>
  <c r="S42" i="25"/>
  <c r="S43" i="25"/>
  <c r="S44" i="25"/>
  <c r="S45" i="25"/>
  <c r="I58" i="19" l="1"/>
  <c r="I19" i="16"/>
  <c r="I18" i="16"/>
  <c r="I24" i="16"/>
  <c r="I29" i="16"/>
  <c r="I28" i="16"/>
  <c r="I33" i="16"/>
  <c r="I39" i="16"/>
  <c r="H39" i="16" l="1"/>
  <c r="H38" i="16"/>
  <c r="G39" i="16"/>
  <c r="I38" i="16"/>
  <c r="M42" i="19"/>
  <c r="M41" i="19"/>
  <c r="M40" i="19"/>
  <c r="M39" i="19"/>
  <c r="C38" i="16"/>
  <c r="D38" i="16"/>
  <c r="C39" i="16"/>
  <c r="D39" i="16"/>
  <c r="P40" i="21"/>
  <c r="M55" i="19"/>
  <c r="M56" i="19"/>
  <c r="M57" i="19"/>
  <c r="M58" i="19"/>
  <c r="M59" i="19"/>
  <c r="M60" i="19"/>
  <c r="M61" i="19"/>
  <c r="M62" i="19"/>
  <c r="M63" i="19"/>
  <c r="M64" i="19"/>
  <c r="M65" i="19"/>
  <c r="M66" i="19"/>
  <c r="M67" i="19"/>
  <c r="M68" i="19"/>
  <c r="M69" i="19"/>
  <c r="M70" i="19"/>
  <c r="M71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0" i="19"/>
  <c r="E71" i="19"/>
  <c r="G20" i="16"/>
  <c r="C54" i="19"/>
  <c r="P73" i="19"/>
  <c r="O73" i="19"/>
  <c r="L73" i="19"/>
  <c r="K73" i="19"/>
  <c r="H73" i="19"/>
  <c r="G73" i="19"/>
  <c r="D73" i="19"/>
  <c r="C73" i="19"/>
  <c r="P54" i="19"/>
  <c r="O54" i="19"/>
  <c r="L54" i="19"/>
  <c r="K54" i="19"/>
  <c r="H54" i="19"/>
  <c r="G54" i="19"/>
  <c r="D54" i="19"/>
  <c r="T36" i="19"/>
  <c r="S36" i="19"/>
  <c r="S20" i="19"/>
  <c r="P19" i="19"/>
  <c r="O19" i="19"/>
  <c r="L19" i="19"/>
  <c r="K19" i="19"/>
  <c r="H19" i="19"/>
  <c r="G19" i="19"/>
  <c r="D19" i="19"/>
  <c r="C19" i="19"/>
  <c r="H20" i="16"/>
  <c r="D30" i="16"/>
  <c r="C30" i="16"/>
  <c r="Q26" i="25"/>
  <c r="M19" i="25"/>
  <c r="H27" i="25"/>
  <c r="S48" i="24"/>
  <c r="P66" i="24"/>
  <c r="O66" i="24"/>
  <c r="D66" i="24"/>
  <c r="C66" i="24"/>
  <c r="E48" i="24"/>
  <c r="S74" i="19"/>
  <c r="E74" i="19"/>
  <c r="E75" i="19"/>
  <c r="E76" i="19"/>
  <c r="E77" i="19"/>
  <c r="T71" i="19"/>
  <c r="S71" i="19"/>
  <c r="S70" i="19"/>
  <c r="Q71" i="19"/>
  <c r="I71" i="19"/>
  <c r="Q70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36" i="19"/>
  <c r="M20" i="19"/>
  <c r="E42" i="19"/>
  <c r="E41" i="19"/>
  <c r="E40" i="19"/>
  <c r="E39" i="19"/>
  <c r="M36" i="19"/>
  <c r="I36" i="19"/>
  <c r="E20" i="19"/>
  <c r="E36" i="19"/>
  <c r="E29" i="16"/>
  <c r="E28" i="16"/>
  <c r="D20" i="16"/>
  <c r="E18" i="16"/>
  <c r="T77" i="19"/>
  <c r="S77" i="19"/>
  <c r="T76" i="19"/>
  <c r="S76" i="19"/>
  <c r="T75" i="19"/>
  <c r="S75" i="19"/>
  <c r="T74" i="19"/>
  <c r="T70" i="19"/>
  <c r="T69" i="19"/>
  <c r="S69" i="19"/>
  <c r="T68" i="19"/>
  <c r="S68" i="19"/>
  <c r="T67" i="19"/>
  <c r="S67" i="19"/>
  <c r="T66" i="19"/>
  <c r="S66" i="19"/>
  <c r="T65" i="19"/>
  <c r="S65" i="19"/>
  <c r="T64" i="19"/>
  <c r="S64" i="19"/>
  <c r="T63" i="19"/>
  <c r="S63" i="19"/>
  <c r="T62" i="19"/>
  <c r="S62" i="19"/>
  <c r="T61" i="19"/>
  <c r="S61" i="19"/>
  <c r="T60" i="19"/>
  <c r="S60" i="19"/>
  <c r="T59" i="19"/>
  <c r="S59" i="19"/>
  <c r="T58" i="19"/>
  <c r="S58" i="19"/>
  <c r="T57" i="19"/>
  <c r="S57" i="19"/>
  <c r="T56" i="19"/>
  <c r="S56" i="19"/>
  <c r="T55" i="19"/>
  <c r="S55" i="19"/>
  <c r="Q77" i="19"/>
  <c r="Q76" i="19"/>
  <c r="Q75" i="19"/>
  <c r="Q74" i="19"/>
  <c r="Q69" i="19"/>
  <c r="Q68" i="19"/>
  <c r="Q67" i="19"/>
  <c r="Q66" i="19"/>
  <c r="Q65" i="19"/>
  <c r="Q64" i="19"/>
  <c r="Q63" i="19"/>
  <c r="Q62" i="19"/>
  <c r="Q61" i="19"/>
  <c r="Q60" i="19"/>
  <c r="Q59" i="19"/>
  <c r="Q58" i="19"/>
  <c r="Q57" i="19"/>
  <c r="Q56" i="19"/>
  <c r="Q55" i="19"/>
  <c r="M77" i="19"/>
  <c r="M76" i="19"/>
  <c r="M75" i="19"/>
  <c r="M74" i="19"/>
  <c r="I77" i="19"/>
  <c r="I76" i="19"/>
  <c r="I75" i="19"/>
  <c r="I74" i="19"/>
  <c r="I70" i="19"/>
  <c r="I69" i="19"/>
  <c r="I68" i="19"/>
  <c r="I67" i="19"/>
  <c r="I66" i="19"/>
  <c r="I65" i="19"/>
  <c r="I64" i="19"/>
  <c r="I63" i="19"/>
  <c r="I62" i="19"/>
  <c r="I61" i="19"/>
  <c r="I60" i="19"/>
  <c r="I59" i="19"/>
  <c r="I57" i="19"/>
  <c r="I56" i="19"/>
  <c r="I55" i="19"/>
  <c r="M19" i="20"/>
  <c r="M20" i="20"/>
  <c r="M21" i="20"/>
  <c r="M22" i="20"/>
  <c r="M23" i="20"/>
  <c r="M24" i="20"/>
  <c r="M25" i="20"/>
  <c r="M26" i="20"/>
  <c r="M27" i="20"/>
  <c r="M28" i="20"/>
  <c r="M29" i="20"/>
  <c r="M30" i="20"/>
  <c r="M31" i="20"/>
  <c r="M32" i="20"/>
  <c r="M33" i="20"/>
  <c r="M34" i="20"/>
  <c r="M35" i="20"/>
  <c r="M36" i="20"/>
  <c r="E20" i="14"/>
  <c r="D20" i="14" s="1"/>
  <c r="E40" i="25"/>
  <c r="E41" i="25"/>
  <c r="E42" i="25"/>
  <c r="E43" i="25"/>
  <c r="I40" i="25"/>
  <c r="I41" i="25"/>
  <c r="I42" i="25"/>
  <c r="I43" i="25"/>
  <c r="I44" i="25"/>
  <c r="M40" i="25"/>
  <c r="M41" i="25"/>
  <c r="M42" i="25"/>
  <c r="M43" i="25"/>
  <c r="M44" i="25"/>
  <c r="Q40" i="25"/>
  <c r="Q41" i="25"/>
  <c r="Q42" i="25"/>
  <c r="Q43" i="25"/>
  <c r="Q44" i="25"/>
  <c r="T40" i="25"/>
  <c r="T41" i="25"/>
  <c r="T42" i="25"/>
  <c r="T43" i="25"/>
  <c r="T44" i="25"/>
  <c r="S21" i="25"/>
  <c r="T21" i="25"/>
  <c r="S22" i="25"/>
  <c r="T22" i="25"/>
  <c r="S23" i="25"/>
  <c r="T23" i="25"/>
  <c r="S24" i="25"/>
  <c r="T24" i="25"/>
  <c r="S25" i="25"/>
  <c r="T25" i="25"/>
  <c r="Q20" i="25"/>
  <c r="Q21" i="25"/>
  <c r="Q22" i="25"/>
  <c r="Q23" i="25"/>
  <c r="Q24" i="25"/>
  <c r="Q25" i="25"/>
  <c r="M20" i="25"/>
  <c r="M21" i="25"/>
  <c r="M22" i="25"/>
  <c r="M23" i="25"/>
  <c r="M24" i="25"/>
  <c r="M25" i="25"/>
  <c r="I20" i="25"/>
  <c r="I21" i="25"/>
  <c r="I22" i="25"/>
  <c r="I23" i="25"/>
  <c r="I24" i="25"/>
  <c r="I25" i="25"/>
  <c r="E20" i="25"/>
  <c r="E21" i="25"/>
  <c r="E22" i="25"/>
  <c r="E23" i="25"/>
  <c r="E24" i="25"/>
  <c r="E25" i="25"/>
  <c r="P46" i="25"/>
  <c r="O46" i="25"/>
  <c r="L46" i="25"/>
  <c r="K46" i="25"/>
  <c r="H46" i="25"/>
  <c r="G46" i="25"/>
  <c r="D46" i="25"/>
  <c r="C46" i="25"/>
  <c r="T45" i="25"/>
  <c r="U45" i="25" s="1"/>
  <c r="Q45" i="25"/>
  <c r="M45" i="25"/>
  <c r="I45" i="25"/>
  <c r="E45" i="25"/>
  <c r="E44" i="25"/>
  <c r="T39" i="25"/>
  <c r="Q39" i="25"/>
  <c r="M39" i="25"/>
  <c r="I39" i="25"/>
  <c r="E39" i="25"/>
  <c r="Q38" i="25"/>
  <c r="M38" i="25"/>
  <c r="I38" i="25"/>
  <c r="E38" i="25"/>
  <c r="P27" i="25"/>
  <c r="O27" i="25"/>
  <c r="L27" i="25"/>
  <c r="K27" i="25"/>
  <c r="G27" i="25"/>
  <c r="D27" i="25"/>
  <c r="C27" i="25"/>
  <c r="T26" i="25"/>
  <c r="S26" i="25"/>
  <c r="M26" i="25"/>
  <c r="I26" i="25"/>
  <c r="E26" i="25"/>
  <c r="T20" i="25"/>
  <c r="S20" i="25"/>
  <c r="T19" i="25"/>
  <c r="S19" i="25"/>
  <c r="Q19" i="25"/>
  <c r="I19" i="25"/>
  <c r="E19" i="25"/>
  <c r="B9" i="25"/>
  <c r="G38" i="19"/>
  <c r="H38" i="19"/>
  <c r="T35" i="19"/>
  <c r="S35" i="19"/>
  <c r="M35" i="19"/>
  <c r="I35" i="19"/>
  <c r="E35" i="19"/>
  <c r="T34" i="19"/>
  <c r="S34" i="19"/>
  <c r="M34" i="19"/>
  <c r="I34" i="19"/>
  <c r="E34" i="19"/>
  <c r="B9" i="20"/>
  <c r="B9" i="21"/>
  <c r="B9" i="14"/>
  <c r="B9" i="24"/>
  <c r="B9" i="19"/>
  <c r="B9" i="16"/>
  <c r="D16" i="14"/>
  <c r="D17" i="14"/>
  <c r="D18" i="14"/>
  <c r="D19" i="14"/>
  <c r="Q42" i="19"/>
  <c r="Q41" i="19"/>
  <c r="Q40" i="19"/>
  <c r="Q39" i="19"/>
  <c r="M33" i="19"/>
  <c r="M32" i="19"/>
  <c r="M31" i="19"/>
  <c r="M30" i="19"/>
  <c r="M29" i="19"/>
  <c r="M28" i="19"/>
  <c r="M27" i="19"/>
  <c r="M26" i="19"/>
  <c r="M25" i="19"/>
  <c r="M24" i="19"/>
  <c r="M23" i="19"/>
  <c r="M22" i="19"/>
  <c r="M21" i="19"/>
  <c r="I42" i="19"/>
  <c r="I41" i="19"/>
  <c r="I40" i="19"/>
  <c r="I39" i="19"/>
  <c r="I33" i="19"/>
  <c r="I32" i="19"/>
  <c r="I31" i="19"/>
  <c r="I30" i="19"/>
  <c r="I29" i="19"/>
  <c r="I28" i="19"/>
  <c r="I27" i="19"/>
  <c r="I26" i="19"/>
  <c r="I25" i="19"/>
  <c r="I24" i="19"/>
  <c r="I23" i="19"/>
  <c r="I22" i="19"/>
  <c r="I21" i="19"/>
  <c r="I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P38" i="19"/>
  <c r="O38" i="19"/>
  <c r="L38" i="19"/>
  <c r="K38" i="19"/>
  <c r="D38" i="19"/>
  <c r="C38" i="19"/>
  <c r="S21" i="19"/>
  <c r="T21" i="19"/>
  <c r="S22" i="19"/>
  <c r="T22" i="19"/>
  <c r="S23" i="19"/>
  <c r="T23" i="19"/>
  <c r="S24" i="19"/>
  <c r="T24" i="19"/>
  <c r="S25" i="19"/>
  <c r="T25" i="19"/>
  <c r="S26" i="19"/>
  <c r="T26" i="19"/>
  <c r="S27" i="19"/>
  <c r="T27" i="19"/>
  <c r="S28" i="19"/>
  <c r="T28" i="19"/>
  <c r="S29" i="19"/>
  <c r="T29" i="19"/>
  <c r="S30" i="19"/>
  <c r="T30" i="19"/>
  <c r="S31" i="19"/>
  <c r="T31" i="19"/>
  <c r="S32" i="19"/>
  <c r="T32" i="19"/>
  <c r="S33" i="19"/>
  <c r="T33" i="19"/>
  <c r="S39" i="19"/>
  <c r="T39" i="19"/>
  <c r="S40" i="19"/>
  <c r="T40" i="19"/>
  <c r="S41" i="19"/>
  <c r="T41" i="19"/>
  <c r="S42" i="19"/>
  <c r="T42" i="19"/>
  <c r="Q73" i="19" l="1"/>
  <c r="H78" i="19"/>
  <c r="K78" i="19"/>
  <c r="O78" i="19"/>
  <c r="Q27" i="25"/>
  <c r="S27" i="25"/>
  <c r="T27" i="25"/>
  <c r="L78" i="19"/>
  <c r="E73" i="19"/>
  <c r="D78" i="19"/>
  <c r="P78" i="19"/>
  <c r="Q54" i="19"/>
  <c r="Q78" i="19" s="1"/>
  <c r="M54" i="19"/>
  <c r="E54" i="19"/>
  <c r="I19" i="19"/>
  <c r="I20" i="16"/>
  <c r="E30" i="16"/>
  <c r="Q19" i="19"/>
  <c r="M19" i="19"/>
  <c r="E19" i="19"/>
  <c r="C78" i="19"/>
  <c r="I73" i="19"/>
  <c r="M73" i="19"/>
  <c r="I54" i="19"/>
  <c r="U36" i="19"/>
  <c r="S19" i="19"/>
  <c r="T19" i="19"/>
  <c r="S46" i="25"/>
  <c r="T46" i="25"/>
  <c r="G78" i="19"/>
  <c r="U71" i="19"/>
  <c r="U57" i="19"/>
  <c r="U61" i="19"/>
  <c r="U22" i="25"/>
  <c r="U64" i="19"/>
  <c r="U68" i="19"/>
  <c r="U66" i="19"/>
  <c r="U58" i="19"/>
  <c r="U62" i="19"/>
  <c r="U65" i="19"/>
  <c r="U67" i="19"/>
  <c r="T54" i="19"/>
  <c r="U75" i="19"/>
  <c r="U76" i="19"/>
  <c r="U56" i="19"/>
  <c r="U74" i="19"/>
  <c r="U77" i="19"/>
  <c r="E38" i="19"/>
  <c r="S54" i="19"/>
  <c r="U55" i="19"/>
  <c r="U59" i="19"/>
  <c r="U63" i="19"/>
  <c r="U60" i="19"/>
  <c r="U69" i="19"/>
  <c r="U70" i="19"/>
  <c r="T38" i="19"/>
  <c r="U43" i="25"/>
  <c r="U25" i="25"/>
  <c r="U21" i="25"/>
  <c r="U24" i="25"/>
  <c r="U23" i="25"/>
  <c r="U42" i="25"/>
  <c r="U44" i="25"/>
  <c r="U39" i="25"/>
  <c r="U40" i="25"/>
  <c r="U41" i="25"/>
  <c r="U20" i="25"/>
  <c r="M27" i="25"/>
  <c r="E46" i="25"/>
  <c r="U26" i="25"/>
  <c r="M46" i="25"/>
  <c r="Q46" i="25"/>
  <c r="U38" i="25"/>
  <c r="I27" i="25"/>
  <c r="E27" i="25"/>
  <c r="I46" i="25"/>
  <c r="U19" i="25"/>
  <c r="U35" i="19"/>
  <c r="U34" i="19"/>
  <c r="L43" i="19"/>
  <c r="Q38" i="19"/>
  <c r="I38" i="19"/>
  <c r="M38" i="19"/>
  <c r="C43" i="19"/>
  <c r="E38" i="16"/>
  <c r="O43" i="19"/>
  <c r="K43" i="19"/>
  <c r="U22" i="19"/>
  <c r="D43" i="19"/>
  <c r="P43" i="19"/>
  <c r="G43" i="19"/>
  <c r="H43" i="19"/>
  <c r="U31" i="19"/>
  <c r="U25" i="19"/>
  <c r="U21" i="19"/>
  <c r="U32" i="19"/>
  <c r="U28" i="19"/>
  <c r="U29" i="19"/>
  <c r="U27" i="19"/>
  <c r="U41" i="19"/>
  <c r="U39" i="19"/>
  <c r="U33" i="19"/>
  <c r="U24" i="19"/>
  <c r="U40" i="19"/>
  <c r="U23" i="19"/>
  <c r="U26" i="19"/>
  <c r="U42" i="19"/>
  <c r="U30" i="19"/>
  <c r="U46" i="25" l="1"/>
  <c r="M78" i="19"/>
  <c r="U27" i="25"/>
  <c r="E78" i="19"/>
  <c r="I78" i="19"/>
  <c r="U19" i="19"/>
  <c r="U54" i="19"/>
  <c r="Q43" i="19"/>
  <c r="E43" i="19"/>
  <c r="M43" i="19"/>
  <c r="I43" i="19"/>
  <c r="L66" i="24"/>
  <c r="K66" i="24"/>
  <c r="H66" i="24"/>
  <c r="G66" i="24"/>
  <c r="T65" i="24"/>
  <c r="S65" i="24"/>
  <c r="Q65" i="24"/>
  <c r="M65" i="24"/>
  <c r="I65" i="24"/>
  <c r="E65" i="24"/>
  <c r="T64" i="24"/>
  <c r="S64" i="24"/>
  <c r="Q64" i="24"/>
  <c r="M64" i="24"/>
  <c r="I64" i="24"/>
  <c r="E64" i="24"/>
  <c r="T63" i="24"/>
  <c r="S63" i="24"/>
  <c r="Q63" i="24"/>
  <c r="M63" i="24"/>
  <c r="I63" i="24"/>
  <c r="E63" i="24"/>
  <c r="T62" i="24"/>
  <c r="S62" i="24"/>
  <c r="Q62" i="24"/>
  <c r="M62" i="24"/>
  <c r="I62" i="24"/>
  <c r="E62" i="24"/>
  <c r="T61" i="24"/>
  <c r="S61" i="24"/>
  <c r="Q61" i="24"/>
  <c r="M61" i="24"/>
  <c r="I61" i="24"/>
  <c r="E61" i="24"/>
  <c r="T60" i="24"/>
  <c r="S60" i="24"/>
  <c r="Q60" i="24"/>
  <c r="M60" i="24"/>
  <c r="I60" i="24"/>
  <c r="E60" i="24"/>
  <c r="T59" i="24"/>
  <c r="S59" i="24"/>
  <c r="Q59" i="24"/>
  <c r="M59" i="24"/>
  <c r="I59" i="24"/>
  <c r="E59" i="24"/>
  <c r="T58" i="24"/>
  <c r="S58" i="24"/>
  <c r="Q58" i="24"/>
  <c r="M58" i="24"/>
  <c r="I58" i="24"/>
  <c r="E58" i="24"/>
  <c r="T57" i="24"/>
  <c r="S57" i="24"/>
  <c r="Q57" i="24"/>
  <c r="M57" i="24"/>
  <c r="I57" i="24"/>
  <c r="E57" i="24"/>
  <c r="T56" i="24"/>
  <c r="S56" i="24"/>
  <c r="Q56" i="24"/>
  <c r="M56" i="24"/>
  <c r="I56" i="24"/>
  <c r="E56" i="24"/>
  <c r="T55" i="24"/>
  <c r="S55" i="24"/>
  <c r="Q55" i="24"/>
  <c r="M55" i="24"/>
  <c r="I55" i="24"/>
  <c r="E55" i="24"/>
  <c r="T54" i="24"/>
  <c r="S54" i="24"/>
  <c r="Q54" i="24"/>
  <c r="M54" i="24"/>
  <c r="I54" i="24"/>
  <c r="E54" i="24"/>
  <c r="T53" i="24"/>
  <c r="S53" i="24"/>
  <c r="Q53" i="24"/>
  <c r="M53" i="24"/>
  <c r="I53" i="24"/>
  <c r="E53" i="24"/>
  <c r="T52" i="24"/>
  <c r="S52" i="24"/>
  <c r="Q52" i="24"/>
  <c r="M52" i="24"/>
  <c r="I52" i="24"/>
  <c r="E52" i="24"/>
  <c r="T51" i="24"/>
  <c r="S51" i="24"/>
  <c r="Q51" i="24"/>
  <c r="M51" i="24"/>
  <c r="I51" i="24"/>
  <c r="E51" i="24"/>
  <c r="T50" i="24"/>
  <c r="S50" i="24"/>
  <c r="Q50" i="24"/>
  <c r="M50" i="24"/>
  <c r="I50" i="24"/>
  <c r="E50" i="24"/>
  <c r="T49" i="24"/>
  <c r="S49" i="24"/>
  <c r="Q49" i="24"/>
  <c r="M49" i="24"/>
  <c r="I49" i="24"/>
  <c r="E49" i="24"/>
  <c r="T48" i="24"/>
  <c r="Q48" i="24"/>
  <c r="M48" i="24"/>
  <c r="I48" i="24"/>
  <c r="P37" i="24"/>
  <c r="O37" i="24"/>
  <c r="L37" i="24"/>
  <c r="K37" i="24"/>
  <c r="H37" i="24"/>
  <c r="G37" i="24"/>
  <c r="D37" i="24"/>
  <c r="C37" i="24"/>
  <c r="T36" i="24"/>
  <c r="S36" i="24"/>
  <c r="Q36" i="24"/>
  <c r="M36" i="24"/>
  <c r="I36" i="24"/>
  <c r="E36" i="24"/>
  <c r="T35" i="24"/>
  <c r="S35" i="24"/>
  <c r="Q35" i="24"/>
  <c r="M35" i="24"/>
  <c r="I35" i="24"/>
  <c r="E35" i="24"/>
  <c r="T34" i="24"/>
  <c r="S34" i="24"/>
  <c r="Q34" i="24"/>
  <c r="M34" i="24"/>
  <c r="I34" i="24"/>
  <c r="E34" i="24"/>
  <c r="T33" i="24"/>
  <c r="S33" i="24"/>
  <c r="Q33" i="24"/>
  <c r="M33" i="24"/>
  <c r="I33" i="24"/>
  <c r="E33" i="24"/>
  <c r="T32" i="24"/>
  <c r="S32" i="24"/>
  <c r="Q32" i="24"/>
  <c r="M32" i="24"/>
  <c r="I32" i="24"/>
  <c r="E32" i="24"/>
  <c r="T31" i="24"/>
  <c r="S31" i="24"/>
  <c r="Q31" i="24"/>
  <c r="M31" i="24"/>
  <c r="I31" i="24"/>
  <c r="E31" i="24"/>
  <c r="T30" i="24"/>
  <c r="S30" i="24"/>
  <c r="Q30" i="24"/>
  <c r="M30" i="24"/>
  <c r="I30" i="24"/>
  <c r="E30" i="24"/>
  <c r="T29" i="24"/>
  <c r="S29" i="24"/>
  <c r="Q29" i="24"/>
  <c r="M29" i="24"/>
  <c r="I29" i="24"/>
  <c r="E29" i="24"/>
  <c r="T28" i="24"/>
  <c r="S28" i="24"/>
  <c r="Q28" i="24"/>
  <c r="M28" i="24"/>
  <c r="I28" i="24"/>
  <c r="E28" i="24"/>
  <c r="T27" i="24"/>
  <c r="S27" i="24"/>
  <c r="Q27" i="24"/>
  <c r="M27" i="24"/>
  <c r="I27" i="24"/>
  <c r="E27" i="24"/>
  <c r="T26" i="24"/>
  <c r="S26" i="24"/>
  <c r="Q26" i="24"/>
  <c r="M26" i="24"/>
  <c r="I26" i="24"/>
  <c r="E26" i="24"/>
  <c r="T25" i="24"/>
  <c r="S25" i="24"/>
  <c r="Q25" i="24"/>
  <c r="M25" i="24"/>
  <c r="I25" i="24"/>
  <c r="E25" i="24"/>
  <c r="T24" i="24"/>
  <c r="S24" i="24"/>
  <c r="Q24" i="24"/>
  <c r="M24" i="24"/>
  <c r="I24" i="24"/>
  <c r="E24" i="24"/>
  <c r="T23" i="24"/>
  <c r="S23" i="24"/>
  <c r="Q23" i="24"/>
  <c r="M23" i="24"/>
  <c r="I23" i="24"/>
  <c r="E23" i="24"/>
  <c r="T22" i="24"/>
  <c r="S22" i="24"/>
  <c r="Q22" i="24"/>
  <c r="M22" i="24"/>
  <c r="I22" i="24"/>
  <c r="E22" i="24"/>
  <c r="T21" i="24"/>
  <c r="S21" i="24"/>
  <c r="Q21" i="24"/>
  <c r="M21" i="24"/>
  <c r="I21" i="24"/>
  <c r="E21" i="24"/>
  <c r="T20" i="24"/>
  <c r="S20" i="24"/>
  <c r="Q20" i="24"/>
  <c r="M20" i="24"/>
  <c r="I20" i="24"/>
  <c r="E20" i="24"/>
  <c r="T19" i="24"/>
  <c r="S19" i="24"/>
  <c r="Q19" i="24"/>
  <c r="M19" i="24"/>
  <c r="I19" i="24"/>
  <c r="E19" i="24"/>
  <c r="K24" i="21"/>
  <c r="H24" i="21"/>
  <c r="G24" i="21"/>
  <c r="D24" i="21"/>
  <c r="C24" i="21"/>
  <c r="P24" i="21"/>
  <c r="O24" i="21"/>
  <c r="L24" i="21"/>
  <c r="E19" i="16"/>
  <c r="E24" i="16"/>
  <c r="E23" i="16"/>
  <c r="E34" i="16"/>
  <c r="E33" i="16"/>
  <c r="C20" i="16"/>
  <c r="G30" i="16"/>
  <c r="P38" i="23"/>
  <c r="O38" i="23"/>
  <c r="L38" i="23"/>
  <c r="K38" i="23"/>
  <c r="H38" i="23"/>
  <c r="G38" i="23"/>
  <c r="D38" i="23"/>
  <c r="C38" i="23"/>
  <c r="T37" i="23"/>
  <c r="S37" i="23"/>
  <c r="U37" i="23" s="1"/>
  <c r="Q37" i="23"/>
  <c r="M37" i="23"/>
  <c r="I37" i="23"/>
  <c r="E37" i="23"/>
  <c r="T36" i="23"/>
  <c r="S36" i="23"/>
  <c r="U36" i="23" s="1"/>
  <c r="Q36" i="23"/>
  <c r="M36" i="23"/>
  <c r="I36" i="23"/>
  <c r="E36" i="23"/>
  <c r="U35" i="23"/>
  <c r="T35" i="23"/>
  <c r="S35" i="23"/>
  <c r="Q35" i="23"/>
  <c r="M35" i="23"/>
  <c r="I35" i="23"/>
  <c r="E35" i="23"/>
  <c r="T34" i="23"/>
  <c r="T38" i="23" s="1"/>
  <c r="S34" i="23"/>
  <c r="U34" i="23" s="1"/>
  <c r="Q34" i="23"/>
  <c r="M34" i="23"/>
  <c r="I34" i="23"/>
  <c r="E34" i="23"/>
  <c r="T33" i="23"/>
  <c r="S33" i="23"/>
  <c r="S38" i="23" s="1"/>
  <c r="Q33" i="23"/>
  <c r="Q38" i="23" s="1"/>
  <c r="M33" i="23"/>
  <c r="M38" i="23" s="1"/>
  <c r="I33" i="23"/>
  <c r="I38" i="23" s="1"/>
  <c r="E33" i="23"/>
  <c r="E38" i="23" s="1"/>
  <c r="Q24" i="23"/>
  <c r="P24" i="23"/>
  <c r="O24" i="23"/>
  <c r="L24" i="23"/>
  <c r="K24" i="23"/>
  <c r="H24" i="23"/>
  <c r="G24" i="23"/>
  <c r="D24" i="23"/>
  <c r="C24" i="23"/>
  <c r="U23" i="23"/>
  <c r="T23" i="23"/>
  <c r="S23" i="23"/>
  <c r="Q23" i="23"/>
  <c r="M23" i="23"/>
  <c r="I23" i="23"/>
  <c r="E23" i="23"/>
  <c r="T22" i="23"/>
  <c r="U22" i="23" s="1"/>
  <c r="S22" i="23"/>
  <c r="Q22" i="23"/>
  <c r="M22" i="23"/>
  <c r="I22" i="23"/>
  <c r="E22" i="23"/>
  <c r="T21" i="23"/>
  <c r="S21" i="23"/>
  <c r="U21" i="23" s="1"/>
  <c r="Q21" i="23"/>
  <c r="M21" i="23"/>
  <c r="I21" i="23"/>
  <c r="E21" i="23"/>
  <c r="T20" i="23"/>
  <c r="S20" i="23"/>
  <c r="U20" i="23" s="1"/>
  <c r="Q20" i="23"/>
  <c r="M20" i="23"/>
  <c r="I20" i="23"/>
  <c r="E20" i="23"/>
  <c r="U19" i="23"/>
  <c r="T19" i="23"/>
  <c r="T24" i="23" s="1"/>
  <c r="S19" i="23"/>
  <c r="S24" i="23" s="1"/>
  <c r="Q19" i="23"/>
  <c r="M19" i="23"/>
  <c r="M24" i="23" s="1"/>
  <c r="I19" i="23"/>
  <c r="I24" i="23" s="1"/>
  <c r="E19" i="23"/>
  <c r="E24" i="23" s="1"/>
  <c r="Q39" i="21"/>
  <c r="Q38" i="21"/>
  <c r="Q37" i="21"/>
  <c r="Q36" i="21"/>
  <c r="Q35" i="21"/>
  <c r="M39" i="21"/>
  <c r="M38" i="21"/>
  <c r="M37" i="21"/>
  <c r="M36" i="21"/>
  <c r="M35" i="21"/>
  <c r="I39" i="21"/>
  <c r="I38" i="21"/>
  <c r="I37" i="21"/>
  <c r="I36" i="21"/>
  <c r="I35" i="21"/>
  <c r="E39" i="21"/>
  <c r="E38" i="21"/>
  <c r="E37" i="21"/>
  <c r="E36" i="21"/>
  <c r="E35" i="21"/>
  <c r="T39" i="21"/>
  <c r="S39" i="21"/>
  <c r="T38" i="21"/>
  <c r="S38" i="21"/>
  <c r="T37" i="21"/>
  <c r="S37" i="21"/>
  <c r="T36" i="21"/>
  <c r="S36" i="21"/>
  <c r="T35" i="21"/>
  <c r="S35" i="21"/>
  <c r="O40" i="21"/>
  <c r="L40" i="21"/>
  <c r="K40" i="21"/>
  <c r="H40" i="21"/>
  <c r="G40" i="21"/>
  <c r="D40" i="21"/>
  <c r="C40" i="21"/>
  <c r="T23" i="21"/>
  <c r="S23" i="21"/>
  <c r="Q23" i="21"/>
  <c r="M23" i="21"/>
  <c r="I23" i="21"/>
  <c r="E23" i="21"/>
  <c r="T22" i="21"/>
  <c r="S22" i="21"/>
  <c r="Q22" i="21"/>
  <c r="M22" i="21"/>
  <c r="I22" i="21"/>
  <c r="E22" i="21"/>
  <c r="T21" i="21"/>
  <c r="S21" i="21"/>
  <c r="Q21" i="21"/>
  <c r="M21" i="21"/>
  <c r="I21" i="21"/>
  <c r="E21" i="21"/>
  <c r="T20" i="21"/>
  <c r="S20" i="21"/>
  <c r="Q20" i="21"/>
  <c r="M20" i="21"/>
  <c r="I20" i="21"/>
  <c r="E20" i="21"/>
  <c r="T19" i="21"/>
  <c r="S19" i="21"/>
  <c r="Q19" i="21"/>
  <c r="M19" i="21"/>
  <c r="I19" i="21"/>
  <c r="E19" i="21"/>
  <c r="P65" i="20"/>
  <c r="O65" i="20"/>
  <c r="L65" i="20"/>
  <c r="K65" i="20"/>
  <c r="H65" i="20"/>
  <c r="G65" i="20"/>
  <c r="D65" i="20"/>
  <c r="C65" i="20"/>
  <c r="T64" i="20"/>
  <c r="S64" i="20"/>
  <c r="Q64" i="20"/>
  <c r="M64" i="20"/>
  <c r="I64" i="20"/>
  <c r="E64" i="20"/>
  <c r="T63" i="20"/>
  <c r="S63" i="20"/>
  <c r="Q63" i="20"/>
  <c r="M63" i="20"/>
  <c r="I63" i="20"/>
  <c r="E63" i="20"/>
  <c r="T62" i="20"/>
  <c r="S62" i="20"/>
  <c r="Q62" i="20"/>
  <c r="M62" i="20"/>
  <c r="I62" i="20"/>
  <c r="E62" i="20"/>
  <c r="T61" i="20"/>
  <c r="S61" i="20"/>
  <c r="Q61" i="20"/>
  <c r="M61" i="20"/>
  <c r="I61" i="20"/>
  <c r="E61" i="20"/>
  <c r="T60" i="20"/>
  <c r="S60" i="20"/>
  <c r="Q60" i="20"/>
  <c r="M60" i="20"/>
  <c r="I60" i="20"/>
  <c r="E60" i="20"/>
  <c r="T59" i="20"/>
  <c r="S59" i="20"/>
  <c r="Q59" i="20"/>
  <c r="M59" i="20"/>
  <c r="I59" i="20"/>
  <c r="E59" i="20"/>
  <c r="T58" i="20"/>
  <c r="S58" i="20"/>
  <c r="Q58" i="20"/>
  <c r="M58" i="20"/>
  <c r="I58" i="20"/>
  <c r="E58" i="20"/>
  <c r="T57" i="20"/>
  <c r="S57" i="20"/>
  <c r="Q57" i="20"/>
  <c r="M57" i="20"/>
  <c r="I57" i="20"/>
  <c r="E57" i="20"/>
  <c r="T56" i="20"/>
  <c r="S56" i="20"/>
  <c r="Q56" i="20"/>
  <c r="M56" i="20"/>
  <c r="I56" i="20"/>
  <c r="E56" i="20"/>
  <c r="T55" i="20"/>
  <c r="S55" i="20"/>
  <c r="Q55" i="20"/>
  <c r="M55" i="20"/>
  <c r="I55" i="20"/>
  <c r="E55" i="20"/>
  <c r="T54" i="20"/>
  <c r="S54" i="20"/>
  <c r="Q54" i="20"/>
  <c r="M54" i="20"/>
  <c r="I54" i="20"/>
  <c r="E54" i="20"/>
  <c r="T53" i="20"/>
  <c r="S53" i="20"/>
  <c r="Q53" i="20"/>
  <c r="M53" i="20"/>
  <c r="I53" i="20"/>
  <c r="E53" i="20"/>
  <c r="T52" i="20"/>
  <c r="S52" i="20"/>
  <c r="Q52" i="20"/>
  <c r="M52" i="20"/>
  <c r="I52" i="20"/>
  <c r="E52" i="20"/>
  <c r="T51" i="20"/>
  <c r="S51" i="20"/>
  <c r="Q51" i="20"/>
  <c r="M51" i="20"/>
  <c r="I51" i="20"/>
  <c r="E51" i="20"/>
  <c r="T50" i="20"/>
  <c r="S50" i="20"/>
  <c r="Q50" i="20"/>
  <c r="M50" i="20"/>
  <c r="I50" i="20"/>
  <c r="E50" i="20"/>
  <c r="T49" i="20"/>
  <c r="S49" i="20"/>
  <c r="Q49" i="20"/>
  <c r="M49" i="20"/>
  <c r="I49" i="20"/>
  <c r="E49" i="20"/>
  <c r="T48" i="20"/>
  <c r="S48" i="20"/>
  <c r="Q48" i="20"/>
  <c r="M48" i="20"/>
  <c r="I48" i="20"/>
  <c r="E48" i="20"/>
  <c r="T47" i="20"/>
  <c r="S47" i="20"/>
  <c r="Q47" i="20"/>
  <c r="M47" i="20"/>
  <c r="I47" i="20"/>
  <c r="E47" i="20"/>
  <c r="P37" i="20"/>
  <c r="O37" i="20"/>
  <c r="L37" i="20"/>
  <c r="K37" i="20"/>
  <c r="H37" i="20"/>
  <c r="G37" i="20"/>
  <c r="D37" i="20"/>
  <c r="C37" i="20"/>
  <c r="T36" i="20"/>
  <c r="S36" i="20"/>
  <c r="Q36" i="20"/>
  <c r="I36" i="20"/>
  <c r="E36" i="20"/>
  <c r="T35" i="20"/>
  <c r="S35" i="20"/>
  <c r="Q35" i="20"/>
  <c r="I35" i="20"/>
  <c r="E35" i="20"/>
  <c r="T34" i="20"/>
  <c r="S34" i="20"/>
  <c r="Q34" i="20"/>
  <c r="I34" i="20"/>
  <c r="E34" i="20"/>
  <c r="T33" i="20"/>
  <c r="S33" i="20"/>
  <c r="Q33" i="20"/>
  <c r="I33" i="20"/>
  <c r="E33" i="20"/>
  <c r="T32" i="20"/>
  <c r="S32" i="20"/>
  <c r="Q32" i="20"/>
  <c r="I32" i="20"/>
  <c r="E32" i="20"/>
  <c r="T31" i="20"/>
  <c r="S31" i="20"/>
  <c r="Q31" i="20"/>
  <c r="I31" i="20"/>
  <c r="E31" i="20"/>
  <c r="T30" i="20"/>
  <c r="S30" i="20"/>
  <c r="Q30" i="20"/>
  <c r="I30" i="20"/>
  <c r="E30" i="20"/>
  <c r="T29" i="20"/>
  <c r="S29" i="20"/>
  <c r="Q29" i="20"/>
  <c r="I29" i="20"/>
  <c r="E29" i="20"/>
  <c r="T28" i="20"/>
  <c r="S28" i="20"/>
  <c r="Q28" i="20"/>
  <c r="I28" i="20"/>
  <c r="E28" i="20"/>
  <c r="T27" i="20"/>
  <c r="S27" i="20"/>
  <c r="Q27" i="20"/>
  <c r="I27" i="20"/>
  <c r="E27" i="20"/>
  <c r="T26" i="20"/>
  <c r="S26" i="20"/>
  <c r="Q26" i="20"/>
  <c r="I26" i="20"/>
  <c r="E26" i="20"/>
  <c r="T25" i="20"/>
  <c r="S25" i="20"/>
  <c r="Q25" i="20"/>
  <c r="I25" i="20"/>
  <c r="E25" i="20"/>
  <c r="T24" i="20"/>
  <c r="S24" i="20"/>
  <c r="Q24" i="20"/>
  <c r="I24" i="20"/>
  <c r="E24" i="20"/>
  <c r="T23" i="20"/>
  <c r="S23" i="20"/>
  <c r="Q23" i="20"/>
  <c r="I23" i="20"/>
  <c r="E23" i="20"/>
  <c r="T22" i="20"/>
  <c r="S22" i="20"/>
  <c r="Q22" i="20"/>
  <c r="I22" i="20"/>
  <c r="E22" i="20"/>
  <c r="T21" i="20"/>
  <c r="S21" i="20"/>
  <c r="Q21" i="20"/>
  <c r="I21" i="20"/>
  <c r="E21" i="20"/>
  <c r="T20" i="20"/>
  <c r="S20" i="20"/>
  <c r="Q20" i="20"/>
  <c r="I20" i="20"/>
  <c r="E20" i="20"/>
  <c r="T19" i="20"/>
  <c r="S19" i="20"/>
  <c r="Q19" i="20"/>
  <c r="I19" i="20"/>
  <c r="E19" i="20"/>
  <c r="T20" i="19"/>
  <c r="H35" i="16"/>
  <c r="G35" i="16"/>
  <c r="D35" i="16"/>
  <c r="C35" i="16"/>
  <c r="H30" i="16"/>
  <c r="D25" i="16"/>
  <c r="C25" i="16"/>
  <c r="H25" i="16"/>
  <c r="H40" i="16" s="1"/>
  <c r="G25" i="16"/>
  <c r="I34" i="16"/>
  <c r="I23" i="16"/>
  <c r="G40" i="16" l="1"/>
  <c r="I40" i="16" s="1"/>
  <c r="E66" i="24"/>
  <c r="Q24" i="21"/>
  <c r="S24" i="21"/>
  <c r="U19" i="20"/>
  <c r="Q40" i="21"/>
  <c r="S40" i="21"/>
  <c r="T40" i="21"/>
  <c r="S65" i="20"/>
  <c r="T65" i="20"/>
  <c r="T66" i="24"/>
  <c r="U65" i="24"/>
  <c r="S66" i="24"/>
  <c r="I30" i="16"/>
  <c r="U22" i="20"/>
  <c r="Q66" i="24"/>
  <c r="I37" i="20"/>
  <c r="U53" i="20"/>
  <c r="U30" i="20"/>
  <c r="M24" i="21"/>
  <c r="M37" i="24"/>
  <c r="I37" i="24"/>
  <c r="E20" i="16"/>
  <c r="U50" i="24"/>
  <c r="U61" i="20"/>
  <c r="I24" i="21"/>
  <c r="T24" i="21"/>
  <c r="E24" i="21"/>
  <c r="U26" i="20"/>
  <c r="U34" i="20"/>
  <c r="M65" i="20"/>
  <c r="U51" i="20"/>
  <c r="U48" i="20"/>
  <c r="U52" i="20"/>
  <c r="U56" i="20"/>
  <c r="U60" i="20"/>
  <c r="U64" i="20"/>
  <c r="U22" i="24"/>
  <c r="U26" i="24"/>
  <c r="U34" i="24"/>
  <c r="Q37" i="24"/>
  <c r="U21" i="24"/>
  <c r="U20" i="24"/>
  <c r="U36" i="24"/>
  <c r="U29" i="24"/>
  <c r="U25" i="24"/>
  <c r="U33" i="24"/>
  <c r="U31" i="24"/>
  <c r="U30" i="24"/>
  <c r="U24" i="24"/>
  <c r="U19" i="24"/>
  <c r="U28" i="24"/>
  <c r="T37" i="24"/>
  <c r="U23" i="24"/>
  <c r="U32" i="24"/>
  <c r="U27" i="24"/>
  <c r="E37" i="24"/>
  <c r="U35" i="24"/>
  <c r="M66" i="24"/>
  <c r="U48" i="24"/>
  <c r="U52" i="24"/>
  <c r="U56" i="24"/>
  <c r="U60" i="24"/>
  <c r="U64" i="24"/>
  <c r="U53" i="24"/>
  <c r="I66" i="24"/>
  <c r="U55" i="24"/>
  <c r="U63" i="24"/>
  <c r="U54" i="24"/>
  <c r="U62" i="24"/>
  <c r="U51" i="24"/>
  <c r="U59" i="24"/>
  <c r="U49" i="24"/>
  <c r="U58" i="24"/>
  <c r="U57" i="24"/>
  <c r="U61" i="24"/>
  <c r="I25" i="16"/>
  <c r="E35" i="16"/>
  <c r="E25" i="16"/>
  <c r="U20" i="19"/>
  <c r="S37" i="24"/>
  <c r="I35" i="16"/>
  <c r="U24" i="23"/>
  <c r="U33" i="23"/>
  <c r="U38" i="23" s="1"/>
  <c r="E40" i="21"/>
  <c r="U38" i="21"/>
  <c r="U37" i="21"/>
  <c r="U35" i="21"/>
  <c r="U39" i="21"/>
  <c r="U36" i="21"/>
  <c r="U23" i="21"/>
  <c r="U22" i="21"/>
  <c r="U20" i="21"/>
  <c r="U19" i="21"/>
  <c r="U21" i="21"/>
  <c r="M40" i="21"/>
  <c r="I40" i="21"/>
  <c r="Q65" i="20"/>
  <c r="U63" i="20"/>
  <c r="U59" i="20"/>
  <c r="U54" i="20"/>
  <c r="U62" i="20"/>
  <c r="I65" i="20"/>
  <c r="U55" i="20"/>
  <c r="U57" i="20"/>
  <c r="U50" i="20"/>
  <c r="E65" i="20"/>
  <c r="U49" i="20"/>
  <c r="U58" i="20"/>
  <c r="U25" i="20"/>
  <c r="U32" i="20"/>
  <c r="U36" i="20"/>
  <c r="Q37" i="20"/>
  <c r="U28" i="20"/>
  <c r="M37" i="20"/>
  <c r="U27" i="20"/>
  <c r="U31" i="20"/>
  <c r="U35" i="20"/>
  <c r="U33" i="20"/>
  <c r="U20" i="20"/>
  <c r="U23" i="20"/>
  <c r="U29" i="20"/>
  <c r="U24" i="20"/>
  <c r="E37" i="20"/>
  <c r="U21" i="20"/>
  <c r="S37" i="20"/>
  <c r="T37" i="20"/>
  <c r="U47" i="20"/>
  <c r="U40" i="21" l="1"/>
  <c r="U65" i="20"/>
  <c r="U66" i="24"/>
  <c r="U37" i="24"/>
  <c r="U24" i="21"/>
  <c r="U37" i="20"/>
  <c r="D40" i="16" l="1"/>
  <c r="C40" i="16"/>
  <c r="E39" i="16"/>
  <c r="E40" i="16" l="1"/>
  <c r="T43" i="19"/>
  <c r="S38" i="19"/>
  <c r="U38" i="19" s="1"/>
  <c r="U43" i="19" s="1"/>
  <c r="S43" i="19" l="1"/>
  <c r="S73" i="19" l="1"/>
  <c r="T73" i="19"/>
  <c r="U73" i="19" l="1"/>
  <c r="U78" i="19" s="1"/>
  <c r="T78" i="19"/>
  <c r="S78" i="19"/>
</calcChain>
</file>

<file path=xl/sharedStrings.xml><?xml version="1.0" encoding="utf-8"?>
<sst xmlns="http://schemas.openxmlformats.org/spreadsheetml/2006/main" count="501" uniqueCount="134">
  <si>
    <t>SUPERINTENDENCIA DE BANCOS</t>
  </si>
  <si>
    <t>GERENCIA DE ANÁLISIS Y REGULACIÓN</t>
  </si>
  <si>
    <t>Boletín Estadístico y Financiero</t>
  </si>
  <si>
    <t>EMPRESAS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</si>
  <si>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</si>
  <si>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Superintendencia de Bancos</t>
  </si>
  <si>
    <t>Gerencia de Análisis y Regulación</t>
  </si>
  <si>
    <t>Índice</t>
  </si>
  <si>
    <t>Por Tipo de Entidad</t>
  </si>
  <si>
    <t>Por Zona Geográfica</t>
  </si>
  <si>
    <t xml:space="preserve">Por Actividad Principal del Deudor </t>
  </si>
  <si>
    <t xml:space="preserve">Por Rango  de Saldo </t>
  </si>
  <si>
    <t>Ir a inicio</t>
  </si>
  <si>
    <t>Al 31/12/2022</t>
  </si>
  <si>
    <t>Cantidad</t>
  </si>
  <si>
    <t>Tipo de Empresa</t>
  </si>
  <si>
    <t>Sin Financiamiento</t>
  </si>
  <si>
    <t>Con Financiamiento (*)</t>
  </si>
  <si>
    <t>Total</t>
  </si>
  <si>
    <t>i- Micro</t>
  </si>
  <si>
    <t>ii- Pequeña</t>
  </si>
  <si>
    <t>iii- Mediana</t>
  </si>
  <si>
    <t>iv- Grande</t>
  </si>
  <si>
    <t>Total General</t>
  </si>
  <si>
    <t>Acceso al Crédito por Tipo de Entidad</t>
  </si>
  <si>
    <t xml:space="preserve">Cantidad de Operaciones </t>
  </si>
  <si>
    <t>MN</t>
  </si>
  <si>
    <t>ME</t>
  </si>
  <si>
    <t xml:space="preserve">Bancos </t>
  </si>
  <si>
    <t>Total Micro</t>
  </si>
  <si>
    <t>Total Pequeña</t>
  </si>
  <si>
    <t>Total Mediana</t>
  </si>
  <si>
    <t>Total Grande</t>
  </si>
  <si>
    <t>Total (i + ii + iii + iv)</t>
  </si>
  <si>
    <t>Acceso al Crédito por Departamento</t>
  </si>
  <si>
    <t>Saldo crédito (en millones de Guaraníes)</t>
  </si>
  <si>
    <t>ALTO PARAGUAY</t>
  </si>
  <si>
    <t>ALTO PARANA</t>
  </si>
  <si>
    <t>AMAMBAY</t>
  </si>
  <si>
    <t>BOQUERON</t>
  </si>
  <si>
    <t>CAAGUAZU</t>
  </si>
  <si>
    <t>CAAZAPA</t>
  </si>
  <si>
    <t>CANINDEYU</t>
  </si>
  <si>
    <t>CAPITAL</t>
  </si>
  <si>
    <t>CENTRAL</t>
  </si>
  <si>
    <t>CONCEPCION</t>
  </si>
  <si>
    <t>CORDILLERA</t>
  </si>
  <si>
    <t>GUAIRA</t>
  </si>
  <si>
    <t>ITAPUA</t>
  </si>
  <si>
    <t>MISIONES</t>
  </si>
  <si>
    <t>NEEMBUCU</t>
  </si>
  <si>
    <t>PARAGUARI</t>
  </si>
  <si>
    <t>PTE. HAYES</t>
  </si>
  <si>
    <t>SAN PEDRO</t>
  </si>
  <si>
    <t>TOTAL</t>
  </si>
  <si>
    <t>Cantidad de Operaciones</t>
  </si>
  <si>
    <t>(*) Se considera como Zona, la Región Geográfica declarada por el contribuyente ante la SET.</t>
  </si>
  <si>
    <t xml:space="preserve">Acceso al Crédito según la Actividad principal del Deudor </t>
  </si>
  <si>
    <t>AGRICULTURA</t>
  </si>
  <si>
    <t>ALQUILER DE VIVIENDAS</t>
  </si>
  <si>
    <t>BEBIDAS Y TABACO</t>
  </si>
  <si>
    <t>COMERCIO</t>
  </si>
  <si>
    <t>CONSTRUCCIÓN</t>
  </si>
  <si>
    <t xml:space="preserve">FABRICACIÓN DE PRODUCTOS QUÍMICOS </t>
  </si>
  <si>
    <t>FORESTAL</t>
  </si>
  <si>
    <t xml:space="preserve">GANADERÍA Y PESCA </t>
  </si>
  <si>
    <t>INDUSTRIAS MANUFACTURERAS</t>
  </si>
  <si>
    <t>INTERMEDIACIÓN FINANCIERA</t>
  </si>
  <si>
    <t>MINERIA</t>
  </si>
  <si>
    <t xml:space="preserve">OTRAS INDUSTRIAS </t>
  </si>
  <si>
    <t>OTROS</t>
  </si>
  <si>
    <t>PROUCCIÓN DE CARNE</t>
  </si>
  <si>
    <t>RESTAURANTES Y HOTELES</t>
  </si>
  <si>
    <t>SERVICIOS</t>
  </si>
  <si>
    <t>SERVICIOS BÁSICOS</t>
  </si>
  <si>
    <t>TRANSPORTE</t>
  </si>
  <si>
    <t>(*) Se considera como Actividad, la Actividad Principal declarada por el contribuyente ante la SET.</t>
  </si>
  <si>
    <t xml:space="preserve">Estratificación del Saldo de Deuda </t>
  </si>
  <si>
    <t>0 a 50 MM PYG</t>
  </si>
  <si>
    <t>50 a 150 MM PYG</t>
  </si>
  <si>
    <t>150 a 500 MM PYG</t>
  </si>
  <si>
    <t>500 a 1.500 MM PYG</t>
  </si>
  <si>
    <t>1.500 MM PYG +</t>
  </si>
  <si>
    <t xml:space="preserve">(*) Para la estratificación se considera el saldo de cada operación. </t>
  </si>
  <si>
    <t xml:space="preserve">(*) Para la estratificación se considera la deuda total de cada cliente con financiamiento en los Bancos y Financieras del País </t>
  </si>
  <si>
    <t>Saldo crédito 
(en millones de Guaraníes)</t>
  </si>
  <si>
    <t>RANGO</t>
  </si>
  <si>
    <t>1.</t>
  </si>
  <si>
    <t>2.</t>
  </si>
  <si>
    <t>3.</t>
  </si>
  <si>
    <t>4.</t>
  </si>
  <si>
    <t>Los importes correspondientes a Moneda Extranjera se encuentran expresados en Guaranies, de acuerdo a la Cotización Referencial Mensual publicada por el Banco Central del Paraguay.</t>
  </si>
  <si>
    <t>La cantidad de operaciones no representa cantidad de personas.</t>
  </si>
  <si>
    <t>Acceso a Créditos de Bancos y Financieras (*)</t>
  </si>
  <si>
    <t>Acceso al Crédito de Bancos y Financieras</t>
  </si>
  <si>
    <t>NOTAS GENERALES</t>
  </si>
  <si>
    <r>
      <t xml:space="preserve">Los datos crediticios corresponden a información reportada por </t>
    </r>
    <r>
      <rPr>
        <b/>
        <sz val="11"/>
        <color theme="1"/>
        <rFont val="Baskerville"/>
      </rPr>
      <t>Bancos y Financieras</t>
    </r>
    <r>
      <rPr>
        <sz val="11"/>
        <color theme="1"/>
        <rFont val="Baskerville"/>
      </rPr>
      <t xml:space="preserve"> a la Central de Información de la Superintendencia de Bancos - Banco Central del Paraguay-</t>
    </r>
  </si>
  <si>
    <r>
      <t xml:space="preserve">(*) Con operaciones financieras activas en </t>
    </r>
    <r>
      <rPr>
        <b/>
        <sz val="14"/>
        <color theme="1"/>
        <rFont val="Baskerville"/>
      </rPr>
      <t>Bancos y Empresas Financieras</t>
    </r>
  </si>
  <si>
    <r>
      <t xml:space="preserve">Tipo Empresa /
  </t>
    </r>
    <r>
      <rPr>
        <sz val="12"/>
        <color theme="1"/>
        <rFont val="Baskerville"/>
      </rPr>
      <t xml:space="preserve"> Tipo Entidad Financiera</t>
    </r>
  </si>
  <si>
    <t>Acceso al Crédito por Entidad</t>
  </si>
  <si>
    <t xml:space="preserve">Financiera Paraguayo - Japonesa  S.A.E.C.A. </t>
  </si>
  <si>
    <t xml:space="preserve">Finlatina S.A. de Finanzas </t>
  </si>
  <si>
    <t xml:space="preserve">Tú Financiera S.A.E.C.A. </t>
  </si>
  <si>
    <t xml:space="preserve">Fic S.A. de Finanzas </t>
  </si>
  <si>
    <t xml:space="preserve">Banco Nacional de Fomento </t>
  </si>
  <si>
    <t xml:space="preserve">Solar Banco S.A.E  </t>
  </si>
  <si>
    <t xml:space="preserve">Banco BASA S.A. </t>
  </si>
  <si>
    <t xml:space="preserve">Banco Continental S.A.E.C.A. </t>
  </si>
  <si>
    <t xml:space="preserve">Banco Río S.A.E.C.A. </t>
  </si>
  <si>
    <t xml:space="preserve">Banco Familiar S.A.E.C.A. </t>
  </si>
  <si>
    <t xml:space="preserve">Banco Atlas S.A. </t>
  </si>
  <si>
    <t xml:space="preserve">Banco para la Comercialización y Producción S.A. - Bancop S.A. </t>
  </si>
  <si>
    <t xml:space="preserve">Interfisa Banco S.A.E.C.A. </t>
  </si>
  <si>
    <t xml:space="preserve">Banco Itaú Paraguay S.A. </t>
  </si>
  <si>
    <t xml:space="preserve">Sudameris Bank S.A.E.C.A. </t>
  </si>
  <si>
    <t xml:space="preserve">Banco GNB Paraguay S.A. </t>
  </si>
  <si>
    <t xml:space="preserve">Banco Do Brasil S.A. </t>
  </si>
  <si>
    <t xml:space="preserve">Banco de la Nación Argentina </t>
  </si>
  <si>
    <t xml:space="preserve">Citibank N.A. </t>
  </si>
  <si>
    <t xml:space="preserve">BANCOS </t>
  </si>
  <si>
    <t>Por Entidad</t>
  </si>
  <si>
    <t>Microempresa: ocupa hasta 10 personas y factura anualmente hasta un equivalente a G.500 millones;
Pequeña empresa: ocupa hasta 30 personas y factura anualmente hasta un equivalente a G.2.500 millones;
Mediana Empresa: ocupa hasta 50 personas y factura anualmente hasta un equivalente a G.6.000 millones;
Empresa grande: ocupa más de 50 personas y factura anualmente un importe mayor a G.6.000 millones.</t>
  </si>
  <si>
    <r>
      <t xml:space="preserve">Unidades económicas consideradas </t>
    </r>
    <r>
      <rPr>
        <b/>
        <sz val="11"/>
        <color theme="1"/>
        <rFont val="Baskerville"/>
      </rPr>
      <t>MIPYMES</t>
    </r>
    <r>
      <rPr>
        <sz val="11"/>
        <color theme="1"/>
        <rFont val="Baskerville"/>
      </rPr>
      <t xml:space="preserve"> o </t>
    </r>
    <r>
      <rPr>
        <b/>
        <sz val="11"/>
        <color theme="1"/>
        <rFont val="Baskerville"/>
      </rPr>
      <t xml:space="preserve">grandes empresas. </t>
    </r>
    <r>
      <rPr>
        <sz val="11"/>
        <color theme="1"/>
        <rFont val="Baskerville"/>
      </rPr>
      <t xml:space="preserve">Listado proporcionado por la </t>
    </r>
    <r>
      <rPr>
        <b/>
        <sz val="11"/>
        <color theme="1"/>
        <rFont val="Baskerville"/>
      </rPr>
      <t xml:space="preserve">Subsecretaría de Estado de Tributación (SET), </t>
    </r>
    <r>
      <rPr>
        <sz val="11"/>
        <color theme="1"/>
        <rFont val="Baskerville"/>
      </rPr>
      <t>confeccionado al: 31.12.2021</t>
    </r>
  </si>
  <si>
    <t>1a</t>
  </si>
  <si>
    <t>1b</t>
  </si>
  <si>
    <t>CATEGORÍA</t>
  </si>
  <si>
    <t>Acceso al Crédito por Categoría de la Operación</t>
  </si>
  <si>
    <t xml:space="preserve">(*) Para la categorización se considera la categoría de la operación no la del cliente. </t>
  </si>
  <si>
    <t>Por Categoría de Riesgo de la Operación</t>
  </si>
  <si>
    <t>Zeta Banco S.A.</t>
  </si>
  <si>
    <t>UENO Bank S.A.</t>
  </si>
  <si>
    <t xml:space="preserve">FINANCIERAS </t>
  </si>
  <si>
    <t>FINANCIERAS</t>
  </si>
  <si>
    <t xml:space="preserve">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</si>
</sst>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-* #,##0.00_-;\-* #,##0.00_-;_-* &quot;-&quot;??_-;_-@_-"/>
    <numFmt numFmtId="165" formatCode="_-* #,##0_-;\-* #,##0_-;_-* &quot;-&quot;??_-;_-@_-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0"/>
      <name val="Baskerville Old Face"/>
      <family val="1"/>
    </font>
    <font>
      <b/>
      <sz val="18"/>
      <color theme="0"/>
      <name val="Baskerville Old Face"/>
      <family val="1"/>
    </font>
    <font>
      <sz val="10"/>
      <name val="Courier"/>
      <family val="3"/>
    </font>
    <font>
      <sz val="10"/>
      <name val="Calibri"/>
      <family val="2"/>
      <scheme val="minor"/>
    </font>
    <font>
      <sz val="10"/>
      <name val="Arial"/>
      <family val="2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2"/>
      <color theme="0"/>
      <name val="Baskerville Old Face"/>
      <family val="1"/>
    </font>
    <font>
      <sz val="18"/>
      <color theme="0"/>
      <name val="Baskerville Old Face"/>
      <family val="1"/>
    </font>
    <font>
      <sz val="23"/>
      <name val="Baskerville Old Face"/>
      <family val="1"/>
    </font>
    <font>
      <sz val="18"/>
      <name val="Calibri"/>
      <family val="2"/>
      <scheme val="minor"/>
    </font>
    <font>
      <sz val="26"/>
      <name val="Baskerville Old Face"/>
      <family val="1"/>
    </font>
    <font>
      <sz val="22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Baskerville Old Face"/>
      <family val="1"/>
    </font>
    <font>
      <u/>
      <sz val="7.5"/>
      <color indexed="12"/>
      <name val="Courier"/>
      <family val="3"/>
    </font>
    <font>
      <sz val="13"/>
      <name val="Baskerville Old Face"/>
      <family val="1"/>
    </font>
    <font>
      <u/>
      <sz val="12"/>
      <name val="Baskerville Old Face"/>
      <family val="1"/>
    </font>
    <font>
      <sz val="12"/>
      <name val="Baskerville Old Face"/>
      <family val="1"/>
    </font>
    <font>
      <b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6"/>
      <name val="Baskerville Old Face"/>
      <family val="1"/>
    </font>
    <font>
      <u/>
      <sz val="16"/>
      <name val="Baskerville Old Face"/>
      <family val="1"/>
    </font>
    <font>
      <u/>
      <sz val="16"/>
      <color theme="10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color theme="1"/>
      <name val="Baskerville"/>
    </font>
    <font>
      <b/>
      <sz val="10"/>
      <color theme="1"/>
      <name val="Baskerville"/>
    </font>
    <font>
      <sz val="11"/>
      <color theme="1"/>
      <name val="Baskerville"/>
    </font>
    <font>
      <b/>
      <sz val="11"/>
      <color theme="1"/>
      <name val="Baskerville"/>
    </font>
    <font>
      <b/>
      <u/>
      <sz val="11"/>
      <color theme="10"/>
      <name val="Baskerville"/>
    </font>
    <font>
      <b/>
      <sz val="14"/>
      <name val="Baskerville"/>
    </font>
    <font>
      <sz val="14"/>
      <color theme="1"/>
      <name val="Baskerville"/>
    </font>
    <font>
      <b/>
      <sz val="12"/>
      <color theme="1"/>
      <name val="Baskerville"/>
    </font>
    <font>
      <sz val="12"/>
      <color theme="1"/>
      <name val="Baskerville"/>
    </font>
    <font>
      <b/>
      <sz val="14"/>
      <color theme="1"/>
      <name val="Baskerville"/>
    </font>
    <font>
      <b/>
      <u/>
      <sz val="10"/>
      <color theme="10"/>
      <name val="Baskerville"/>
    </font>
    <font>
      <b/>
      <sz val="20"/>
      <name val="Baskerville"/>
    </font>
    <font>
      <b/>
      <i/>
      <sz val="10"/>
      <color theme="0"/>
      <name val="Calibri"/>
      <family val="2"/>
      <scheme val="minor"/>
    </font>
    <font>
      <b/>
      <sz val="23"/>
      <name val="Baskerville Old Face"/>
      <family val="1"/>
    </font>
    <font>
      <u/>
      <sz val="16"/>
      <color rgb="FF000099"/>
      <name val="Baskerville Old Face"/>
      <family val="1"/>
    </font>
    <font>
      <u/>
      <sz val="16"/>
      <color rgb="FF000099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396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1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9" fillId="0" borderId="0"/>
    <xf numFmtId="0" fontId="11" fillId="0" borderId="0" applyProtection="0"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50" fillId="0" borderId="4" applyNumberFormat="0" applyFill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53" fillId="6" borderId="0" applyNumberFormat="0" applyBorder="0" applyAlignment="0" applyProtection="0"/>
    <xf numFmtId="0" fontId="54" fillId="7" borderId="0" applyNumberFormat="0" applyBorder="0" applyAlignment="0" applyProtection="0"/>
    <xf numFmtId="0" fontId="55" fillId="8" borderId="0" applyNumberFormat="0" applyBorder="0" applyAlignment="0" applyProtection="0"/>
    <xf numFmtId="0" fontId="56" fillId="9" borderId="7" applyNumberFormat="0" applyAlignment="0" applyProtection="0"/>
    <xf numFmtId="0" fontId="57" fillId="10" borderId="8" applyNumberFormat="0" applyAlignment="0" applyProtection="0"/>
    <xf numFmtId="0" fontId="58" fillId="10" borderId="7" applyNumberFormat="0" applyAlignment="0" applyProtection="0"/>
    <xf numFmtId="0" fontId="59" fillId="0" borderId="9" applyNumberFormat="0" applyFill="0" applyAlignment="0" applyProtection="0"/>
    <xf numFmtId="0" fontId="60" fillId="11" borderId="10" applyNumberFormat="0" applyAlignment="0" applyProtection="0"/>
    <xf numFmtId="0" fontId="61" fillId="0" borderId="0" applyNumberFormat="0" applyFill="0" applyBorder="0" applyAlignment="0" applyProtection="0"/>
    <xf numFmtId="0" fontId="1" fillId="12" borderId="11" applyNumberFormat="0" applyFont="0" applyAlignment="0" applyProtection="0"/>
    <xf numFmtId="0" fontId="62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6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6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6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6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6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6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0">
    <xf numFmtId="0" fontId="0" fillId="0" borderId="0" xfId="0"/>
    <xf numFmtId="0" fontId="2" fillId="2" borderId="0" xfId="0" applyFont="1" applyFill="1"/>
    <xf numFmtId="41" fontId="3" fillId="2" borderId="0" xfId="1" applyFont="1" applyFill="1" applyBorder="1"/>
    <xf numFmtId="0" fontId="3" fillId="2" borderId="0" xfId="0" applyFont="1" applyFill="1"/>
    <xf numFmtId="0" fontId="0" fillId="2" borderId="0" xfId="0" applyFill="1"/>
    <xf numFmtId="0" fontId="5" fillId="2" borderId="0" xfId="2" applyFont="1" applyFill="1"/>
    <xf numFmtId="41" fontId="0" fillId="0" borderId="0" xfId="0" applyNumberFormat="1"/>
    <xf numFmtId="37" fontId="10" fillId="3" borderId="0" xfId="10" applyFont="1" applyFill="1"/>
    <xf numFmtId="37" fontId="10" fillId="0" borderId="0" xfId="10" applyFont="1"/>
    <xf numFmtId="0" fontId="12" fillId="0" borderId="0" xfId="11" applyFont="1" applyAlignment="1" applyProtection="1">
      <alignment wrapText="1"/>
    </xf>
    <xf numFmtId="0" fontId="13" fillId="0" borderId="0" xfId="11" applyFont="1" applyAlignment="1" applyProtection="1">
      <alignment wrapText="1"/>
    </xf>
    <xf numFmtId="0" fontId="14" fillId="0" borderId="0" xfId="11" applyFont="1" applyAlignment="1" applyProtection="1">
      <alignment wrapText="1"/>
    </xf>
    <xf numFmtId="37" fontId="16" fillId="0" borderId="0" xfId="10" applyFont="1"/>
    <xf numFmtId="37" fontId="20" fillId="0" borderId="0" xfId="10" applyFont="1" applyAlignment="1">
      <alignment horizontal="center"/>
    </xf>
    <xf numFmtId="14" fontId="17" fillId="0" borderId="0" xfId="10" applyNumberFormat="1" applyFont="1" applyAlignment="1">
      <alignment horizontal="center"/>
    </xf>
    <xf numFmtId="14" fontId="17" fillId="0" borderId="0" xfId="10" applyNumberFormat="1" applyFont="1"/>
    <xf numFmtId="14" fontId="20" fillId="0" borderId="0" xfId="10" applyNumberFormat="1" applyFont="1" applyAlignment="1">
      <alignment horizontal="center"/>
    </xf>
    <xf numFmtId="37" fontId="21" fillId="3" borderId="0" xfId="10" applyFont="1" applyFill="1"/>
    <xf numFmtId="37" fontId="16" fillId="3" borderId="0" xfId="10" applyFont="1" applyFill="1"/>
    <xf numFmtId="37" fontId="8" fillId="3" borderId="0" xfId="10" applyFont="1" applyFill="1"/>
    <xf numFmtId="37" fontId="21" fillId="0" borderId="0" xfId="10" applyFont="1"/>
    <xf numFmtId="37" fontId="22" fillId="0" borderId="0" xfId="10" applyFont="1"/>
    <xf numFmtId="37" fontId="24" fillId="0" borderId="0" xfId="10" applyFont="1"/>
    <xf numFmtId="37" fontId="7" fillId="3" borderId="0" xfId="10" applyFont="1" applyFill="1"/>
    <xf numFmtId="37" fontId="25" fillId="0" borderId="0" xfId="12" applyNumberFormat="1" applyFont="1" applyFill="1" applyAlignment="1" applyProtection="1"/>
    <xf numFmtId="37" fontId="26" fillId="0" borderId="0" xfId="10" applyFont="1"/>
    <xf numFmtId="0" fontId="5" fillId="2" borderId="0" xfId="2" applyFont="1" applyFill="1" applyBorder="1"/>
    <xf numFmtId="0" fontId="2" fillId="2" borderId="3" xfId="0" applyFont="1" applyFill="1" applyBorder="1"/>
    <xf numFmtId="41" fontId="3" fillId="2" borderId="1" xfId="1" applyFont="1" applyFill="1" applyBorder="1"/>
    <xf numFmtId="41" fontId="3" fillId="5" borderId="0" xfId="1" applyFont="1" applyFill="1" applyBorder="1"/>
    <xf numFmtId="41" fontId="3" fillId="5" borderId="1" xfId="1" applyFont="1" applyFill="1" applyBorder="1"/>
    <xf numFmtId="41" fontId="0" fillId="0" borderId="0" xfId="1" applyFont="1"/>
    <xf numFmtId="0" fontId="27" fillId="2" borderId="0" xfId="0" applyFont="1" applyFill="1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1" fontId="0" fillId="2" borderId="0" xfId="1" applyFont="1" applyFill="1"/>
    <xf numFmtId="41" fontId="0" fillId="2" borderId="3" xfId="1" applyFont="1" applyFill="1" applyBorder="1"/>
    <xf numFmtId="41" fontId="0" fillId="0" borderId="3" xfId="1" applyFont="1" applyBorder="1"/>
    <xf numFmtId="41" fontId="0" fillId="2" borderId="0" xfId="1" applyFont="1" applyFill="1" applyBorder="1"/>
    <xf numFmtId="41" fontId="0" fillId="2" borderId="0" xfId="1" applyFont="1" applyFill="1" applyAlignment="1">
      <alignment horizontal="center" vertical="center"/>
    </xf>
    <xf numFmtId="41" fontId="2" fillId="2" borderId="0" xfId="1" applyFont="1" applyFill="1" applyBorder="1" applyAlignment="1">
      <alignment horizontal="center" vertical="center"/>
    </xf>
    <xf numFmtId="41" fontId="0" fillId="2" borderId="0" xfId="1" applyFont="1" applyFill="1" applyBorder="1" applyAlignment="1">
      <alignment horizontal="center" vertical="center"/>
    </xf>
    <xf numFmtId="41" fontId="2" fillId="2" borderId="0" xfId="1" applyFont="1" applyFill="1" applyAlignment="1">
      <alignment horizontal="center"/>
    </xf>
    <xf numFmtId="41" fontId="2" fillId="2" borderId="0" xfId="1" applyFont="1" applyFill="1" applyBorder="1" applyAlignment="1">
      <alignment horizontal="center"/>
    </xf>
    <xf numFmtId="41" fontId="2" fillId="2" borderId="1" xfId="1" applyFont="1" applyFill="1" applyBorder="1" applyAlignment="1">
      <alignment horizontal="center"/>
    </xf>
    <xf numFmtId="41" fontId="27" fillId="0" borderId="0" xfId="1" applyFont="1"/>
    <xf numFmtId="0" fontId="27" fillId="0" borderId="0" xfId="0" applyFont="1"/>
    <xf numFmtId="41" fontId="0" fillId="0" borderId="1" xfId="1" applyFont="1" applyBorder="1"/>
    <xf numFmtId="41" fontId="27" fillId="5" borderId="0" xfId="1" applyFont="1" applyFill="1"/>
    <xf numFmtId="37" fontId="29" fillId="0" borderId="0" xfId="10" applyFont="1"/>
    <xf numFmtId="37" fontId="30" fillId="0" borderId="0" xfId="12" applyNumberFormat="1" applyFont="1" applyFill="1" applyAlignment="1" applyProtection="1">
      <alignment horizontal="left"/>
    </xf>
    <xf numFmtId="0" fontId="31" fillId="0" borderId="0" xfId="2" applyFont="1"/>
    <xf numFmtId="37" fontId="30" fillId="0" borderId="0" xfId="12" applyNumberFormat="1" applyFont="1" applyFill="1" applyAlignment="1" applyProtection="1"/>
    <xf numFmtId="37" fontId="32" fillId="0" borderId="0" xfId="10" applyFont="1"/>
    <xf numFmtId="37" fontId="31" fillId="0" borderId="0" xfId="2" applyNumberFormat="1" applyFont="1" applyFill="1" applyAlignment="1" applyProtection="1"/>
    <xf numFmtId="37" fontId="29" fillId="0" borderId="0" xfId="10" applyFont="1" applyAlignment="1">
      <alignment horizontal="left" indent="2"/>
    </xf>
    <xf numFmtId="37" fontId="31" fillId="0" borderId="0" xfId="2" applyNumberFormat="1" applyFont="1"/>
    <xf numFmtId="37" fontId="30" fillId="0" borderId="0" xfId="10" applyFont="1"/>
    <xf numFmtId="0" fontId="33" fillId="2" borderId="0" xfId="0" applyFont="1" applyFill="1"/>
    <xf numFmtId="37" fontId="10" fillId="4" borderId="0" xfId="10" applyFont="1" applyFill="1"/>
    <xf numFmtId="0" fontId="35" fillId="2" borderId="0" xfId="0" applyFont="1" applyFill="1" applyAlignment="1">
      <alignment horizontal="left" vertical="top" wrapText="1"/>
    </xf>
    <xf numFmtId="0" fontId="37" fillId="2" borderId="0" xfId="2" applyFont="1" applyFill="1" applyBorder="1"/>
    <xf numFmtId="0" fontId="37" fillId="2" borderId="0" xfId="2" applyFont="1" applyFill="1"/>
    <xf numFmtId="0" fontId="35" fillId="2" borderId="0" xfId="0" applyFont="1" applyFill="1"/>
    <xf numFmtId="9" fontId="35" fillId="0" borderId="0" xfId="3" applyFont="1"/>
    <xf numFmtId="0" fontId="35" fillId="0" borderId="0" xfId="0" applyFont="1"/>
    <xf numFmtId="0" fontId="36" fillId="2" borderId="3" xfId="0" applyFont="1" applyFill="1" applyBorder="1"/>
    <xf numFmtId="0" fontId="35" fillId="2" borderId="3" xfId="0" applyFont="1" applyFill="1" applyBorder="1"/>
    <xf numFmtId="9" fontId="35" fillId="0" borderId="3" xfId="3" applyFont="1" applyBorder="1"/>
    <xf numFmtId="0" fontId="35" fillId="0" borderId="3" xfId="0" applyFont="1" applyBorder="1"/>
    <xf numFmtId="0" fontId="40" fillId="2" borderId="0" xfId="0" applyFont="1" applyFill="1" applyAlignment="1">
      <alignment vertical="center" wrapText="1"/>
    </xf>
    <xf numFmtId="0" fontId="40" fillId="2" borderId="0" xfId="0" applyFont="1" applyFill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top" wrapText="1"/>
    </xf>
    <xf numFmtId="0" fontId="40" fillId="2" borderId="0" xfId="0" applyFont="1" applyFill="1"/>
    <xf numFmtId="41" fontId="41" fillId="2" borderId="0" xfId="1" applyFont="1" applyFill="1" applyBorder="1"/>
    <xf numFmtId="41" fontId="40" fillId="5" borderId="0" xfId="1" applyFont="1" applyFill="1" applyBorder="1"/>
    <xf numFmtId="41" fontId="35" fillId="2" borderId="0" xfId="1" applyFont="1" applyFill="1" applyBorder="1"/>
    <xf numFmtId="41" fontId="41" fillId="2" borderId="1" xfId="1" applyFont="1" applyFill="1" applyBorder="1"/>
    <xf numFmtId="41" fontId="40" fillId="5" borderId="1" xfId="1" applyFont="1" applyFill="1" applyBorder="1"/>
    <xf numFmtId="41" fontId="40" fillId="2" borderId="0" xfId="1" applyFont="1" applyFill="1" applyBorder="1"/>
    <xf numFmtId="41" fontId="36" fillId="2" borderId="0" xfId="1" applyFont="1" applyFill="1" applyBorder="1"/>
    <xf numFmtId="0" fontId="41" fillId="2" borderId="0" xfId="0" applyFont="1" applyFill="1"/>
    <xf numFmtId="0" fontId="39" fillId="2" borderId="0" xfId="0" applyFont="1" applyFill="1"/>
    <xf numFmtId="0" fontId="43" fillId="2" borderId="0" xfId="2" applyFont="1" applyFill="1"/>
    <xf numFmtId="0" fontId="43" fillId="2" borderId="0" xfId="2" applyFont="1" applyFill="1" applyBorder="1"/>
    <xf numFmtId="0" fontId="35" fillId="2" borderId="0" xfId="0" applyFont="1" applyFill="1" applyAlignment="1">
      <alignment horizontal="center" vertical="center"/>
    </xf>
    <xf numFmtId="0" fontId="34" fillId="2" borderId="3" xfId="0" applyFont="1" applyFill="1" applyBorder="1"/>
    <xf numFmtId="41" fontId="35" fillId="0" borderId="0" xfId="1" applyFont="1"/>
    <xf numFmtId="0" fontId="36" fillId="2" borderId="0" xfId="0" applyFont="1" applyFill="1"/>
    <xf numFmtId="41" fontId="33" fillId="2" borderId="0" xfId="1" applyFont="1" applyFill="1" applyBorder="1"/>
    <xf numFmtId="41" fontId="34" fillId="2" borderId="0" xfId="1" applyFont="1" applyFill="1" applyBorder="1"/>
    <xf numFmtId="0" fontId="40" fillId="2" borderId="0" xfId="0" applyFont="1" applyFill="1" applyAlignment="1">
      <alignment horizontal="left"/>
    </xf>
    <xf numFmtId="0" fontId="40" fillId="2" borderId="2" xfId="0" applyFont="1" applyFill="1" applyBorder="1" applyAlignment="1">
      <alignment horizontal="center"/>
    </xf>
    <xf numFmtId="0" fontId="41" fillId="0" borderId="0" xfId="0" applyFont="1"/>
    <xf numFmtId="0" fontId="40" fillId="2" borderId="0" xfId="0" applyFont="1" applyFill="1" applyAlignment="1">
      <alignment horizontal="center"/>
    </xf>
    <xf numFmtId="0" fontId="40" fillId="2" borderId="1" xfId="0" applyFont="1" applyFill="1" applyBorder="1" applyAlignment="1">
      <alignment horizontal="center"/>
    </xf>
    <xf numFmtId="41" fontId="41" fillId="0" borderId="0" xfId="1" applyFont="1"/>
    <xf numFmtId="0" fontId="40" fillId="5" borderId="0" xfId="0" applyFont="1" applyFill="1"/>
    <xf numFmtId="0" fontId="41" fillId="2" borderId="0" xfId="0" applyFont="1" applyFill="1" applyAlignment="1">
      <alignment horizontal="left" indent="2"/>
    </xf>
    <xf numFmtId="41" fontId="35" fillId="2" borderId="0" xfId="1" applyFont="1" applyFill="1"/>
    <xf numFmtId="41" fontId="35" fillId="2" borderId="3" xfId="1" applyFont="1" applyFill="1" applyBorder="1"/>
    <xf numFmtId="41" fontId="35" fillId="0" borderId="3" xfId="1" applyFont="1" applyBorder="1"/>
    <xf numFmtId="41" fontId="35" fillId="2" borderId="0" xfId="1" applyFont="1" applyFill="1" applyAlignment="1">
      <alignment horizontal="center" vertical="center"/>
    </xf>
    <xf numFmtId="41" fontId="36" fillId="2" borderId="0" xfId="1" applyFont="1" applyFill="1" applyBorder="1" applyAlignment="1">
      <alignment horizontal="center" vertical="center"/>
    </xf>
    <xf numFmtId="41" fontId="35" fillId="2" borderId="0" xfId="1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41" fontId="36" fillId="2" borderId="0" xfId="1" applyFont="1" applyFill="1" applyAlignment="1">
      <alignment horizontal="center"/>
    </xf>
    <xf numFmtId="41" fontId="36" fillId="2" borderId="0" xfId="1" applyFont="1" applyFill="1" applyBorder="1" applyAlignment="1">
      <alignment horizontal="center"/>
    </xf>
    <xf numFmtId="41" fontId="36" fillId="2" borderId="1" xfId="1" applyFont="1" applyFill="1" applyBorder="1" applyAlignment="1">
      <alignment horizontal="center"/>
    </xf>
    <xf numFmtId="41" fontId="35" fillId="5" borderId="0" xfId="1" applyFont="1" applyFill="1" applyBorder="1"/>
    <xf numFmtId="41" fontId="33" fillId="5" borderId="0" xfId="1" applyFont="1" applyFill="1" applyBorder="1"/>
    <xf numFmtId="41" fontId="35" fillId="0" borderId="1" xfId="1" applyFont="1" applyBorder="1"/>
    <xf numFmtId="41" fontId="33" fillId="2" borderId="1" xfId="1" applyFont="1" applyFill="1" applyBorder="1"/>
    <xf numFmtId="41" fontId="33" fillId="5" borderId="1" xfId="1" applyFont="1" applyFill="1" applyBorder="1"/>
    <xf numFmtId="0" fontId="36" fillId="0" borderId="0" xfId="0" applyFont="1"/>
    <xf numFmtId="41" fontId="36" fillId="0" borderId="0" xfId="1" applyFont="1"/>
    <xf numFmtId="41" fontId="36" fillId="5" borderId="0" xfId="1" applyFont="1" applyFill="1"/>
    <xf numFmtId="0" fontId="34" fillId="2" borderId="0" xfId="0" applyFont="1" applyFill="1"/>
    <xf numFmtId="41" fontId="34" fillId="2" borderId="0" xfId="1" applyFont="1" applyFill="1" applyBorder="1" applyAlignment="1">
      <alignment horizontal="center"/>
    </xf>
    <xf numFmtId="41" fontId="34" fillId="2" borderId="0" xfId="1" applyFont="1" applyFill="1" applyBorder="1" applyAlignment="1">
      <alignment horizontal="center" vertical="center"/>
    </xf>
    <xf numFmtId="41" fontId="34" fillId="2" borderId="0" xfId="1" applyFont="1" applyFill="1" applyAlignment="1">
      <alignment horizontal="center"/>
    </xf>
    <xf numFmtId="41" fontId="34" fillId="2" borderId="1" xfId="1" applyFont="1" applyFill="1" applyBorder="1" applyAlignment="1">
      <alignment horizontal="center"/>
    </xf>
    <xf numFmtId="3" fontId="35" fillId="2" borderId="0" xfId="1" applyNumberFormat="1" applyFont="1" applyFill="1" applyBorder="1"/>
    <xf numFmtId="3" fontId="35" fillId="2" borderId="0" xfId="1" applyNumberFormat="1" applyFont="1" applyFill="1"/>
    <xf numFmtId="3" fontId="35" fillId="5" borderId="0" xfId="1" applyNumberFormat="1" applyFont="1" applyFill="1" applyBorder="1"/>
    <xf numFmtId="3" fontId="35" fillId="0" borderId="0" xfId="1" applyNumberFormat="1" applyFont="1"/>
    <xf numFmtId="3" fontId="33" fillId="2" borderId="0" xfId="1" applyNumberFormat="1" applyFont="1" applyFill="1" applyBorder="1"/>
    <xf numFmtId="3" fontId="33" fillId="5" borderId="0" xfId="1" applyNumberFormat="1" applyFont="1" applyFill="1" applyBorder="1"/>
    <xf numFmtId="3" fontId="35" fillId="0" borderId="1" xfId="1" applyNumberFormat="1" applyFont="1" applyBorder="1"/>
    <xf numFmtId="3" fontId="33" fillId="2" borderId="1" xfId="1" applyNumberFormat="1" applyFont="1" applyFill="1" applyBorder="1"/>
    <xf numFmtId="3" fontId="33" fillId="5" borderId="1" xfId="1" applyNumberFormat="1" applyFont="1" applyFill="1" applyBorder="1"/>
    <xf numFmtId="3" fontId="36" fillId="0" borderId="0" xfId="1" applyNumberFormat="1" applyFont="1"/>
    <xf numFmtId="3" fontId="36" fillId="5" borderId="0" xfId="1" applyNumberFormat="1" applyFont="1" applyFill="1"/>
    <xf numFmtId="0" fontId="35" fillId="2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41" fontId="35" fillId="0" borderId="0" xfId="0" applyNumberFormat="1" applyFont="1"/>
    <xf numFmtId="0" fontId="35" fillId="2" borderId="0" xfId="0" applyFont="1" applyFill="1" applyAlignment="1">
      <alignment horizontal="left" indent="2"/>
    </xf>
    <xf numFmtId="0" fontId="35" fillId="0" borderId="0" xfId="0" applyFont="1" applyAlignment="1">
      <alignment horizontal="left" indent="2"/>
    </xf>
    <xf numFmtId="41" fontId="36" fillId="5" borderId="0" xfId="1" applyFont="1" applyFill="1" applyBorder="1"/>
    <xf numFmtId="41" fontId="36" fillId="2" borderId="0" xfId="1" applyFont="1" applyFill="1"/>
    <xf numFmtId="41" fontId="35" fillId="0" borderId="0" xfId="1" applyFont="1" applyAlignment="1">
      <alignment horizontal="center" vertical="center"/>
    </xf>
    <xf numFmtId="37" fontId="45" fillId="3" borderId="0" xfId="10" applyFont="1" applyFill="1"/>
    <xf numFmtId="41" fontId="35" fillId="0" borderId="0" xfId="1" applyFont="1" applyBorder="1"/>
    <xf numFmtId="0" fontId="4" fillId="2" borderId="0" xfId="2" applyFill="1"/>
    <xf numFmtId="37" fontId="47" fillId="0" borderId="0" xfId="10" applyFont="1"/>
    <xf numFmtId="37" fontId="48" fillId="0" borderId="0" xfId="2" applyNumberFormat="1" applyFont="1"/>
    <xf numFmtId="41" fontId="41" fillId="0" borderId="0" xfId="1" applyFont="1" applyFill="1" applyBorder="1"/>
    <xf numFmtId="41" fontId="41" fillId="0" borderId="1" xfId="1" applyFont="1" applyFill="1" applyBorder="1"/>
    <xf numFmtId="41" fontId="40" fillId="0" borderId="0" xfId="1" applyFont="1" applyFill="1" applyBorder="1"/>
    <xf numFmtId="41" fontId="41" fillId="0" borderId="0" xfId="0" applyNumberFormat="1" applyFont="1"/>
    <xf numFmtId="164" fontId="35" fillId="0" borderId="0" xfId="57" applyFont="1"/>
    <xf numFmtId="164" fontId="35" fillId="0" borderId="3" xfId="57" applyFont="1" applyBorder="1"/>
    <xf numFmtId="164" fontId="36" fillId="2" borderId="0" xfId="57" applyFont="1" applyFill="1" applyAlignment="1">
      <alignment horizontal="center"/>
    </xf>
    <xf numFmtId="164" fontId="35" fillId="0" borderId="0" xfId="57" applyFont="1" applyBorder="1"/>
    <xf numFmtId="164" fontId="35" fillId="2" borderId="0" xfId="57" applyFont="1" applyFill="1" applyBorder="1"/>
    <xf numFmtId="164" fontId="36" fillId="2" borderId="0" xfId="57" applyFont="1" applyFill="1" applyBorder="1"/>
    <xf numFmtId="164" fontId="35" fillId="2" borderId="0" xfId="57" applyFont="1" applyFill="1"/>
    <xf numFmtId="165" fontId="35" fillId="0" borderId="0" xfId="57" applyNumberFormat="1" applyFont="1"/>
    <xf numFmtId="3" fontId="41" fillId="0" borderId="0" xfId="0" applyNumberFormat="1" applyFont="1"/>
    <xf numFmtId="3" fontId="35" fillId="0" borderId="0" xfId="1" applyNumberFormat="1" applyFont="1" applyFill="1" applyBorder="1"/>
    <xf numFmtId="3" fontId="35" fillId="0" borderId="0" xfId="1" applyNumberFormat="1" applyFont="1" applyFill="1"/>
    <xf numFmtId="3" fontId="35" fillId="0" borderId="1" xfId="1" applyNumberFormat="1" applyFont="1" applyFill="1" applyBorder="1"/>
    <xf numFmtId="3" fontId="36" fillId="0" borderId="0" xfId="1" applyNumberFormat="1" applyFont="1" applyFill="1"/>
    <xf numFmtId="41" fontId="35" fillId="5" borderId="1" xfId="1" applyFont="1" applyFill="1" applyBorder="1"/>
    <xf numFmtId="3" fontId="35" fillId="2" borderId="1" xfId="1" applyNumberFormat="1" applyFont="1" applyFill="1" applyBorder="1"/>
    <xf numFmtId="3" fontId="35" fillId="5" borderId="1" xfId="1" applyNumberFormat="1" applyFont="1" applyFill="1" applyBorder="1"/>
    <xf numFmtId="41" fontId="35" fillId="2" borderId="1" xfId="1" applyFont="1" applyFill="1" applyBorder="1"/>
    <xf numFmtId="0" fontId="35" fillId="2" borderId="0" xfId="0" applyFont="1" applyFill="1" applyAlignment="1">
      <alignment horizontal="left" vertical="top" wrapText="1"/>
    </xf>
    <xf numFmtId="37" fontId="21" fillId="4" borderId="0" xfId="10" applyFont="1" applyFill="1" applyAlignment="1">
      <alignment horizontal="center" vertical="top" wrapText="1"/>
    </xf>
    <xf numFmtId="37" fontId="18" fillId="0" borderId="0" xfId="10" applyFont="1" applyAlignment="1">
      <alignment horizontal="center"/>
    </xf>
    <xf numFmtId="37" fontId="15" fillId="4" borderId="0" xfId="10" applyFont="1" applyFill="1" applyAlignment="1">
      <alignment horizontal="center"/>
    </xf>
    <xf numFmtId="0" fontId="34" fillId="2" borderId="0" xfId="0" applyFont="1" applyFill="1" applyAlignment="1">
      <alignment horizontal="left" vertical="center"/>
    </xf>
    <xf numFmtId="37" fontId="10" fillId="4" borderId="0" xfId="10" applyFont="1" applyFill="1" applyAlignment="1">
      <alignment horizontal="center"/>
    </xf>
    <xf numFmtId="37" fontId="16" fillId="4" borderId="0" xfId="10" applyFont="1" applyFill="1" applyAlignment="1">
      <alignment horizontal="center" vertical="center"/>
    </xf>
    <xf numFmtId="37" fontId="19" fillId="0" borderId="0" xfId="10" applyFont="1" applyAlignment="1">
      <alignment horizontal="center"/>
    </xf>
    <xf numFmtId="14" fontId="46" fillId="0" borderId="0" xfId="10" applyNumberFormat="1" applyFont="1" applyAlignment="1">
      <alignment horizontal="center"/>
    </xf>
    <xf numFmtId="37" fontId="16" fillId="3" borderId="0" xfId="10" applyFont="1" applyFill="1" applyAlignment="1">
      <alignment horizontal="center"/>
    </xf>
    <xf numFmtId="0" fontId="40" fillId="2" borderId="1" xfId="0" applyFont="1" applyFill="1" applyBorder="1" applyAlignment="1">
      <alignment horizontal="center" vertical="center" wrapText="1"/>
    </xf>
    <xf numFmtId="0" fontId="38" fillId="2" borderId="0" xfId="0" applyFont="1" applyFill="1" applyAlignment="1">
      <alignment horizontal="center" vertical="center"/>
    </xf>
    <xf numFmtId="14" fontId="35" fillId="2" borderId="0" xfId="0" applyNumberFormat="1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40" fillId="2" borderId="0" xfId="0" applyFont="1" applyFill="1" applyAlignment="1">
      <alignment horizontal="left" wrapText="1"/>
    </xf>
    <xf numFmtId="0" fontId="40" fillId="2" borderId="0" xfId="0" applyFont="1" applyFill="1" applyAlignment="1">
      <alignment horizontal="left"/>
    </xf>
    <xf numFmtId="0" fontId="40" fillId="2" borderId="2" xfId="0" applyFont="1" applyFill="1" applyBorder="1" applyAlignment="1">
      <alignment horizontal="center" vertical="center"/>
    </xf>
    <xf numFmtId="0" fontId="40" fillId="2" borderId="2" xfId="0" applyFont="1" applyFill="1" applyBorder="1" applyAlignment="1">
      <alignment horizontal="center" wrapText="1"/>
    </xf>
    <xf numFmtId="0" fontId="40" fillId="2" borderId="2" xfId="0" applyFont="1" applyFill="1" applyBorder="1" applyAlignment="1">
      <alignment horizontal="center"/>
    </xf>
    <xf numFmtId="0" fontId="44" fillId="2" borderId="0" xfId="0" applyFont="1" applyFill="1" applyAlignment="1">
      <alignment horizontal="center" vertical="center"/>
    </xf>
    <xf numFmtId="41" fontId="36" fillId="2" borderId="2" xfId="1" applyFont="1" applyFill="1" applyBorder="1" applyAlignment="1">
      <alignment horizontal="center" vertical="center"/>
    </xf>
    <xf numFmtId="0" fontId="36" fillId="2" borderId="0" xfId="0" applyFont="1" applyFill="1" applyAlignment="1">
      <alignment horizontal="left"/>
    </xf>
    <xf numFmtId="41" fontId="36" fillId="2" borderId="2" xfId="1" applyFont="1" applyFill="1" applyBorder="1" applyAlignment="1">
      <alignment horizontal="center" vertical="center" wrapText="1"/>
    </xf>
    <xf numFmtId="41" fontId="34" fillId="2" borderId="2" xfId="1" applyFont="1" applyFill="1" applyBorder="1" applyAlignment="1">
      <alignment horizontal="center" vertical="center"/>
    </xf>
    <xf numFmtId="0" fontId="34" fillId="2" borderId="0" xfId="0" applyFont="1" applyFill="1" applyAlignment="1">
      <alignment horizontal="left"/>
    </xf>
    <xf numFmtId="41" fontId="34" fillId="2" borderId="2" xfId="1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center" vertical="center"/>
    </xf>
    <xf numFmtId="41" fontId="2" fillId="2" borderId="2" xfId="1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41" fontId="2" fillId="2" borderId="2" xfId="1" applyFont="1" applyFill="1" applyBorder="1" applyAlignment="1">
      <alignment horizontal="center" vertical="center" wrapText="1"/>
    </xf>
  </cellXfs>
  <cellStyles count="58">
    <cellStyle name="20% - Énfasis1" xfId="31" builtinId="30" customBuiltin="1"/>
    <cellStyle name="20% - Énfasis2" xfId="35" builtinId="34" customBuiltin="1"/>
    <cellStyle name="20% - Énfasis3" xfId="39" builtinId="38" customBuiltin="1"/>
    <cellStyle name="20% - Énfasis4" xfId="43" builtinId="42" customBuiltin="1"/>
    <cellStyle name="20% - Énfasis5" xfId="47" builtinId="46" customBuiltin="1"/>
    <cellStyle name="20% - Énfasis6" xfId="51" builtinId="50" customBuiltin="1"/>
    <cellStyle name="40% - Énfasis1" xfId="32" builtinId="31" customBuiltin="1"/>
    <cellStyle name="40% - Énfasis2" xfId="36" builtinId="35" customBuiltin="1"/>
    <cellStyle name="40% - Énfasis3" xfId="40" builtinId="39" customBuiltin="1"/>
    <cellStyle name="40% - Énfasis4" xfId="44" builtinId="43" customBuiltin="1"/>
    <cellStyle name="40% - Énfasis5" xfId="48" builtinId="47" customBuiltin="1"/>
    <cellStyle name="40% - Énfasis6" xfId="52" builtinId="51" customBuiltin="1"/>
    <cellStyle name="60% - Énfasis1" xfId="33" builtinId="32" customBuiltin="1"/>
    <cellStyle name="60% - Énfasis2" xfId="37" builtinId="36" customBuiltin="1"/>
    <cellStyle name="60% - Énfasis3" xfId="41" builtinId="40" customBuiltin="1"/>
    <cellStyle name="60% - Énfasis4" xfId="45" builtinId="44" customBuiltin="1"/>
    <cellStyle name="60% - Énfasis5" xfId="49" builtinId="48" customBuiltin="1"/>
    <cellStyle name="60% - Énfasis6" xfId="53" builtinId="52" customBuiltin="1"/>
    <cellStyle name="Bueno" xfId="18" builtinId="26" customBuiltin="1"/>
    <cellStyle name="Cálculo" xfId="23" builtinId="22" customBuiltin="1"/>
    <cellStyle name="Celda de comprobación" xfId="25" builtinId="23" customBuiltin="1"/>
    <cellStyle name="Celda vinculada" xfId="24" builtinId="24" customBuiltin="1"/>
    <cellStyle name="Encabezado 1" xfId="14" builtinId="16" customBuiltin="1"/>
    <cellStyle name="Encabezado 4" xfId="17" builtinId="19" customBuiltin="1"/>
    <cellStyle name="Énfasis1" xfId="30" builtinId="29" customBuiltin="1"/>
    <cellStyle name="Énfasis2" xfId="34" builtinId="33" customBuiltin="1"/>
    <cellStyle name="Énfasis3" xfId="38" builtinId="37" customBuiltin="1"/>
    <cellStyle name="Énfasis4" xfId="42" builtinId="41" customBuiltin="1"/>
    <cellStyle name="Énfasis5" xfId="46" builtinId="45" customBuiltin="1"/>
    <cellStyle name="Énfasis6" xfId="50" builtinId="49" customBuiltin="1"/>
    <cellStyle name="Entrada" xfId="21" builtinId="20" customBuiltin="1"/>
    <cellStyle name="Hipervínculo" xfId="2" builtinId="8"/>
    <cellStyle name="Hipervínculo 2" xfId="12" xr:uid="{234B6F96-9BD4-499C-BB59-1DC0D772F1A5}"/>
    <cellStyle name="Incorrecto" xfId="19" builtinId="27" customBuiltin="1"/>
    <cellStyle name="Millares" xfId="57" builtinId="3"/>
    <cellStyle name="Millares [0]" xfId="1" builtinId="6"/>
    <cellStyle name="Millares [0] 2" xfId="8" xr:uid="{00000000-0005-0000-0000-000003000000}"/>
    <cellStyle name="Millares [0] 3" xfId="6" xr:uid="{00000000-0005-0000-0000-000004000000}"/>
    <cellStyle name="Millares [0] 4" xfId="54" xr:uid="{A0F4CC40-5B74-40CE-BD38-9E06FCFF108D}"/>
    <cellStyle name="Millares 2" xfId="55" xr:uid="{2088C807-37B0-4069-9766-B73EDB1C9DC5}"/>
    <cellStyle name="Millares 3" xfId="56" xr:uid="{3C2E0606-70BF-4E0B-B17A-05053640463B}"/>
    <cellStyle name="Neutral" xfId="20" builtinId="28" customBuiltin="1"/>
    <cellStyle name="Normal" xfId="0" builtinId="0"/>
    <cellStyle name="Normal 2" xfId="7" xr:uid="{00000000-0005-0000-0000-000006000000}"/>
    <cellStyle name="Normal 2 14 2" xfId="10" xr:uid="{182F237F-C731-4AE5-8E19-31414F3EDA7D}"/>
    <cellStyle name="Normal 3" xfId="4" xr:uid="{00000000-0005-0000-0000-000007000000}"/>
    <cellStyle name="Normal_BG-bcos-Jul-2001" xfId="11" xr:uid="{9B80EDB6-8829-4CFB-91A8-1A2D58DF0C95}"/>
    <cellStyle name="Notas" xfId="27" builtinId="10" customBuiltin="1"/>
    <cellStyle name="Porcentaje" xfId="3" builtinId="5"/>
    <cellStyle name="Porcentaje 2" xfId="9" xr:uid="{00000000-0005-0000-0000-000009000000}"/>
    <cellStyle name="Porcentaje 3" xfId="5" xr:uid="{00000000-0005-0000-0000-00000A000000}"/>
    <cellStyle name="Salida" xfId="22" builtinId="21" customBuiltin="1"/>
    <cellStyle name="Texto de advertencia" xfId="26" builtinId="11" customBuiltin="1"/>
    <cellStyle name="Texto explicativo" xfId="28" builtinId="53" customBuiltin="1"/>
    <cellStyle name="Título" xfId="13" builtinId="15" customBuiltin="1"/>
    <cellStyle name="Título 2" xfId="15" builtinId="17" customBuiltin="1"/>
    <cellStyle name="Título 3" xfId="16" builtinId="18" customBuiltin="1"/>
    <cellStyle name="Total" xfId="29" builtinId="25" customBuiltin="1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1</xdr:row>
      <xdr:rowOff>38100</xdr:rowOff>
    </xdr:from>
    <xdr:to>
      <xdr:col>7</xdr:col>
      <xdr:colOff>340995</xdr:colOff>
      <xdr:row>7</xdr:row>
      <xdr:rowOff>118110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C3B7D9D-5ABF-40C9-84F3-D160D8434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3460" y="213360"/>
          <a:ext cx="1430655" cy="1383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15241</xdr:colOff>
      <xdr:row>0</xdr:row>
      <xdr:rowOff>129540</xdr:rowOff>
    </xdr:from>
    <xdr:to>
      <xdr:col>1</xdr:col>
      <xdr:colOff>1607821</xdr:colOff>
      <xdr:row>7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39CD2F-C1F6-47B3-B5EB-E1ADC37C0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1" y="129540"/>
          <a:ext cx="1592580" cy="13030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716280</xdr:colOff>
      <xdr:row>0</xdr:row>
      <xdr:rowOff>83820</xdr:rowOff>
    </xdr:from>
    <xdr:to>
      <xdr:col>4</xdr:col>
      <xdr:colOff>249555</xdr:colOff>
      <xdr:row>5</xdr:row>
      <xdr:rowOff>243840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B20B7877-6804-4A0C-9D17-ABAECBC00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8180" y="83820"/>
          <a:ext cx="1430655" cy="1383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106681</xdr:colOff>
      <xdr:row>1</xdr:row>
      <xdr:rowOff>38100</xdr:rowOff>
    </xdr:from>
    <xdr:to>
      <xdr:col>2</xdr:col>
      <xdr:colOff>340996</xdr:colOff>
      <xdr:row>8</xdr:row>
      <xdr:rowOff>3810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4F98ACD-C985-4372-8EF0-DC36AF858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1" y="220980"/>
          <a:ext cx="1636395" cy="13030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79409</xdr:colOff>
      <xdr:row>1</xdr:row>
      <xdr:rowOff>89435</xdr:rowOff>
    </xdr:from>
    <xdr:to>
      <xdr:col>1</xdr:col>
      <xdr:colOff>1679609</xdr:colOff>
      <xdr:row>7</xdr:row>
      <xdr:rowOff>289159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63055C-5CF0-405A-84AF-9CE5FF466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704" y="273919"/>
          <a:ext cx="1600200" cy="131424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78741</xdr:colOff>
      <xdr:row>1</xdr:row>
      <xdr:rowOff>167640</xdr:rowOff>
    </xdr:from>
    <xdr:to>
      <xdr:col>1</xdr:col>
      <xdr:colOff>1696086</xdr:colOff>
      <xdr:row>8</xdr:row>
      <xdr:rowOff>34925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A8F227-CD6B-4332-BD25-C59C5E906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041" y="345440"/>
          <a:ext cx="1604010" cy="12674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120016</xdr:colOff>
      <xdr:row>1</xdr:row>
      <xdr:rowOff>91440</xdr:rowOff>
    </xdr:from>
    <xdr:to>
      <xdr:col>2</xdr:col>
      <xdr:colOff>57151</xdr:colOff>
      <xdr:row>7</xdr:row>
      <xdr:rowOff>300990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31F9DD-2062-49F2-BF6F-DE9E71202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6" y="272415"/>
          <a:ext cx="1604010" cy="12896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15241</xdr:colOff>
      <xdr:row>0</xdr:row>
      <xdr:rowOff>129540</xdr:rowOff>
    </xdr:from>
    <xdr:to>
      <xdr:col>1</xdr:col>
      <xdr:colOff>1634491</xdr:colOff>
      <xdr:row>7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BAFB61-C70C-4CEA-BA87-C11814B2D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1" y="129540"/>
          <a:ext cx="1592580" cy="13030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15241</xdr:colOff>
      <xdr:row>1</xdr:row>
      <xdr:rowOff>76200</xdr:rowOff>
    </xdr:from>
    <xdr:to>
      <xdr:col>1</xdr:col>
      <xdr:colOff>1634491</xdr:colOff>
      <xdr:row>7</xdr:row>
      <xdr:rowOff>300990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BA3D54-B678-4D2B-B6F7-D9DAAC13B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1" y="259080"/>
          <a:ext cx="1600200" cy="130302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83821</xdr:colOff>
      <xdr:row>1</xdr:row>
      <xdr:rowOff>106680</xdr:rowOff>
    </xdr:from>
    <xdr:to>
      <xdr:col>1</xdr:col>
      <xdr:colOff>1695451</xdr:colOff>
      <xdr:row>7</xdr:row>
      <xdr:rowOff>323850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B3A81C-4C98-4B11-B2F4-6703D8130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1" y="289560"/>
          <a:ext cx="1600200" cy="13030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acosta/Desktop/1_BOLB%200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átula Impresa"/>
      <sheetName val="Carátula"/>
      <sheetName val="Índic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768C3-4860-463B-B633-CC7523C84C14}">
  <sheetPr>
    <tabColor theme="0" tint="-0.14999847407452621"/>
    <pageSetUpPr fitToPage="1"/>
  </sheetPr>
  <dimension ref="A1:N29"/>
  <sheetViews>
    <sheetView showGridLines="0" tabSelected="1" zoomScaleNormal="100" zoomScaleSheetLayoutView="80" workbookViewId="0">
      <selection activeCell="N11" sqref="N11"/>
    </sheetView>
  </sheetViews>
  <sheetFormatPr baseColWidth="10" defaultColWidth="14.6640625" defaultRowHeight="13.8" x14ac:dyDescent="0.3"/>
  <cols>
    <col min="1" max="1" width="2.88671875" style="8" customWidth="1"/>
    <col min="2" max="2" width="27.88671875" style="8" customWidth="1"/>
    <col min="3" max="5" width="13.6640625" style="8" customWidth="1"/>
    <col min="6" max="6" width="3.33203125" style="8" customWidth="1"/>
    <col min="7" max="7" width="13.6640625" style="8" customWidth="1"/>
    <col min="8" max="8" width="22.33203125" style="8" customWidth="1"/>
    <col min="9" max="12" width="13.6640625" style="8" customWidth="1"/>
    <col min="13" max="13" width="3.33203125" style="8" customWidth="1"/>
    <col min="14" max="14" width="13.6640625" style="8" customWidth="1"/>
    <col min="15" max="16384" width="14.6640625" style="8"/>
  </cols>
  <sheetData>
    <row r="1" spans="1:14" x14ac:dyDescent="0.3">
      <c r="A1" s="59"/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</row>
    <row r="2" spans="1:14" x14ac:dyDescent="0.3">
      <c r="A2" s="59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</row>
    <row r="3" spans="1:14" x14ac:dyDescent="0.3">
      <c r="A3" s="59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</row>
    <row r="4" spans="1:14" ht="27.75" customHeight="1" x14ac:dyDescent="0.5">
      <c r="A4" s="59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9"/>
    </row>
    <row r="5" spans="1:14" ht="18" x14ac:dyDescent="0.35">
      <c r="A5" s="59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0"/>
    </row>
    <row r="6" spans="1:14" ht="15.75" customHeight="1" x14ac:dyDescent="0.3">
      <c r="A6" s="59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1"/>
    </row>
    <row r="7" spans="1:14" x14ac:dyDescent="0.3">
      <c r="A7" s="59"/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</row>
    <row r="8" spans="1:14" x14ac:dyDescent="0.3">
      <c r="A8" s="59"/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</row>
    <row r="9" spans="1:14" ht="28.8" x14ac:dyDescent="0.55000000000000004">
      <c r="A9" s="59"/>
      <c r="B9" s="171" t="s">
        <v>0</v>
      </c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</row>
    <row r="10" spans="1:14" ht="23.4" customHeight="1" x14ac:dyDescent="0.3">
      <c r="A10" s="59"/>
      <c r="B10" s="174" t="s">
        <v>1</v>
      </c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</row>
    <row r="11" spans="1:14" ht="29.4" customHeight="1" x14ac:dyDescent="0.3">
      <c r="A11" s="59"/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</row>
    <row r="12" spans="1:14" ht="15.75" customHeight="1" x14ac:dyDescent="0.45">
      <c r="B12" s="170"/>
      <c r="C12" s="170"/>
      <c r="D12" s="170"/>
      <c r="E12" s="170"/>
      <c r="F12" s="170"/>
      <c r="G12" s="170"/>
      <c r="H12" s="170"/>
      <c r="I12" s="170"/>
    </row>
    <row r="13" spans="1:14" ht="33" x14ac:dyDescent="0.6">
      <c r="B13" s="175" t="s">
        <v>2</v>
      </c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</row>
    <row r="14" spans="1:14" ht="9" customHeight="1" x14ac:dyDescent="0.3"/>
    <row r="15" spans="1:14" ht="33" x14ac:dyDescent="0.6">
      <c r="B15" s="175" t="s">
        <v>3</v>
      </c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</row>
    <row r="16" spans="1:14" ht="12.75" customHeight="1" x14ac:dyDescent="0.55000000000000004">
      <c r="B16" s="13"/>
      <c r="C16" s="13"/>
      <c r="D16" s="13"/>
      <c r="E16" s="13"/>
      <c r="F16" s="13"/>
      <c r="G16" s="13"/>
      <c r="H16" s="13"/>
      <c r="I16" s="13"/>
    </row>
    <row r="17" spans="1:13" ht="29.4" x14ac:dyDescent="0.55000000000000004">
      <c r="B17" s="176">
        <v>45565</v>
      </c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</row>
    <row r="18" spans="1:13" ht="11.25" customHeight="1" x14ac:dyDescent="0.55000000000000004">
      <c r="B18" s="13"/>
      <c r="C18" s="13"/>
      <c r="D18" s="13"/>
      <c r="E18" s="13"/>
      <c r="F18" s="13"/>
      <c r="G18" s="13"/>
      <c r="H18" s="13"/>
      <c r="I18" s="13"/>
    </row>
    <row r="19" spans="1:13" s="4" customFormat="1" ht="21" customHeight="1" x14ac:dyDescent="0.3">
      <c r="B19" s="172" t="s">
        <v>95</v>
      </c>
      <c r="C19" s="172"/>
      <c r="D19" s="172"/>
      <c r="E19" s="172"/>
      <c r="F19" s="172"/>
      <c r="G19" s="172"/>
      <c r="H19" s="172"/>
      <c r="I19" s="58"/>
      <c r="J19" s="58"/>
      <c r="K19" s="58"/>
      <c r="L19" s="58"/>
      <c r="M19" s="58"/>
    </row>
    <row r="20" spans="1:13" s="4" customFormat="1" ht="31.5" customHeight="1" x14ac:dyDescent="0.3">
      <c r="A20" s="60" t="s">
        <v>87</v>
      </c>
      <c r="B20" s="168" t="s">
        <v>122</v>
      </c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</row>
    <row r="21" spans="1:13" s="4" customFormat="1" ht="60.75" customHeight="1" x14ac:dyDescent="0.3">
      <c r="A21" s="60"/>
      <c r="B21" s="168" t="s">
        <v>121</v>
      </c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</row>
    <row r="22" spans="1:13" s="4" customFormat="1" ht="30" customHeight="1" x14ac:dyDescent="0.3">
      <c r="A22" s="60" t="s">
        <v>88</v>
      </c>
      <c r="B22" s="168" t="s">
        <v>96</v>
      </c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</row>
    <row r="23" spans="1:13" s="4" customFormat="1" ht="27.75" customHeight="1" x14ac:dyDescent="0.3">
      <c r="A23" s="60" t="s">
        <v>89</v>
      </c>
      <c r="B23" s="168" t="s">
        <v>91</v>
      </c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</row>
    <row r="24" spans="1:13" s="4" customFormat="1" ht="14.25" customHeight="1" x14ac:dyDescent="0.3">
      <c r="A24" s="60" t="s">
        <v>90</v>
      </c>
      <c r="B24" s="168" t="s">
        <v>92</v>
      </c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</row>
    <row r="25" spans="1:13" ht="28.8" x14ac:dyDescent="0.55000000000000004">
      <c r="B25" s="16"/>
      <c r="C25" s="16"/>
      <c r="D25" s="16"/>
      <c r="E25" s="16"/>
      <c r="F25" s="16"/>
      <c r="G25" s="16"/>
      <c r="H25" s="16"/>
      <c r="I25" s="16"/>
    </row>
    <row r="26" spans="1:13" ht="29.4" customHeight="1" x14ac:dyDescent="0.3">
      <c r="A26" s="59"/>
      <c r="B26" s="169" t="s">
        <v>4</v>
      </c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</row>
    <row r="27" spans="1:13" ht="29.4" customHeight="1" x14ac:dyDescent="0.3">
      <c r="A27" s="59"/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</row>
    <row r="28" spans="1:13" ht="29.4" x14ac:dyDescent="0.55000000000000004">
      <c r="B28" s="14"/>
      <c r="C28" s="14"/>
      <c r="D28" s="14"/>
      <c r="E28" s="14"/>
      <c r="F28" s="14"/>
      <c r="G28" s="14"/>
      <c r="H28" s="14"/>
      <c r="I28" s="15"/>
    </row>
    <row r="29" spans="1:13" ht="29.4" x14ac:dyDescent="0.55000000000000004">
      <c r="B29" s="14"/>
      <c r="C29" s="14"/>
      <c r="D29" s="14"/>
      <c r="E29" s="14"/>
      <c r="F29" s="14"/>
      <c r="G29" s="14"/>
      <c r="H29" s="14"/>
      <c r="I29" s="15"/>
    </row>
  </sheetData>
  <mergeCells count="14">
    <mergeCell ref="B1:M8"/>
    <mergeCell ref="B10:M11"/>
    <mergeCell ref="B13:M13"/>
    <mergeCell ref="B15:M15"/>
    <mergeCell ref="B17:M17"/>
    <mergeCell ref="B24:M24"/>
    <mergeCell ref="B26:M27"/>
    <mergeCell ref="B12:I12"/>
    <mergeCell ref="B9:M9"/>
    <mergeCell ref="B20:M20"/>
    <mergeCell ref="B19:H19"/>
    <mergeCell ref="B22:M22"/>
    <mergeCell ref="B23:M23"/>
    <mergeCell ref="B21:M21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7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56EBF-1F1A-47CB-8913-8C4838BA231D}">
  <sheetPr>
    <tabColor rgb="FFFFFF00"/>
    <pageSetUpPr fitToPage="1"/>
  </sheetPr>
  <dimension ref="A1:W41"/>
  <sheetViews>
    <sheetView showGridLines="0" zoomScaleNormal="100" workbookViewId="0">
      <selection activeCell="I42" sqref="I42"/>
    </sheetView>
  </sheetViews>
  <sheetFormatPr baseColWidth="10" defaultColWidth="11.44140625" defaultRowHeight="14.4" x14ac:dyDescent="0.3"/>
  <cols>
    <col min="1" max="1" width="1.6640625" customWidth="1"/>
    <col min="2" max="2" width="36.6640625" customWidth="1"/>
    <col min="3" max="5" width="12.33203125" style="31" customWidth="1"/>
    <col min="6" max="6" width="2.6640625" style="31" customWidth="1"/>
    <col min="7" max="9" width="12.33203125" style="31" customWidth="1"/>
    <col min="10" max="10" width="2.6640625" style="31" customWidth="1"/>
    <col min="11" max="13" width="12.33203125" style="31" customWidth="1"/>
    <col min="14" max="14" width="2.6640625" style="31" customWidth="1"/>
    <col min="15" max="17" width="12.33203125" style="31" customWidth="1"/>
    <col min="18" max="18" width="2.6640625" style="31" customWidth="1"/>
    <col min="19" max="21" width="12.33203125" style="31" customWidth="1"/>
  </cols>
  <sheetData>
    <row r="1" spans="1:21" x14ac:dyDescent="0.3">
      <c r="A1" s="5"/>
      <c r="B1" s="5" t="s">
        <v>12</v>
      </c>
      <c r="C1" s="35"/>
      <c r="D1" s="35"/>
      <c r="E1" s="35"/>
      <c r="F1" s="35"/>
      <c r="G1" s="35"/>
      <c r="H1" s="35"/>
      <c r="I1" s="35"/>
      <c r="J1" s="35"/>
    </row>
    <row r="2" spans="1:21" x14ac:dyDescent="0.3">
      <c r="A2" s="26"/>
      <c r="B2" s="5"/>
      <c r="C2" s="35"/>
      <c r="D2" s="35"/>
      <c r="E2" s="35"/>
      <c r="F2" s="35"/>
    </row>
    <row r="3" spans="1:21" x14ac:dyDescent="0.3">
      <c r="A3" s="26"/>
      <c r="B3" s="5"/>
      <c r="C3" s="35"/>
      <c r="D3" s="35"/>
      <c r="E3" s="35"/>
      <c r="F3" s="35"/>
    </row>
    <row r="4" spans="1:21" x14ac:dyDescent="0.3">
      <c r="A4" s="26"/>
      <c r="B4" s="5"/>
      <c r="C4" s="35"/>
      <c r="D4" s="35"/>
      <c r="E4" s="35"/>
      <c r="F4" s="35"/>
    </row>
    <row r="5" spans="1:21" x14ac:dyDescent="0.3">
      <c r="A5" s="26"/>
      <c r="B5" s="5"/>
      <c r="C5" s="35"/>
      <c r="D5" s="35"/>
      <c r="E5" s="35"/>
      <c r="F5" s="35"/>
    </row>
    <row r="6" spans="1:21" x14ac:dyDescent="0.3">
      <c r="A6" s="26"/>
      <c r="B6" s="5"/>
      <c r="C6" s="35"/>
      <c r="D6" s="35"/>
      <c r="E6" s="35"/>
      <c r="F6" s="35"/>
    </row>
    <row r="7" spans="1:21" x14ac:dyDescent="0.3">
      <c r="A7" s="26"/>
      <c r="B7" s="5"/>
      <c r="C7" s="35"/>
      <c r="D7" s="35"/>
      <c r="E7" s="35"/>
      <c r="F7" s="35"/>
    </row>
    <row r="8" spans="1:21" ht="25.8" x14ac:dyDescent="0.3">
      <c r="A8" s="4"/>
      <c r="B8" s="196" t="s">
        <v>77</v>
      </c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</row>
    <row r="9" spans="1:21" x14ac:dyDescent="0.3">
      <c r="A9" s="4"/>
      <c r="B9" s="197" t="s">
        <v>13</v>
      </c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</row>
    <row r="10" spans="1:21" ht="15" thickBot="1" x14ac:dyDescent="0.35">
      <c r="A10" s="4"/>
      <c r="B10" s="27"/>
      <c r="C10" s="36"/>
      <c r="D10" s="36"/>
      <c r="E10" s="36"/>
      <c r="F10" s="36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</row>
    <row r="11" spans="1:21" x14ac:dyDescent="0.3">
      <c r="A11" s="4"/>
      <c r="B11" s="4"/>
      <c r="C11" s="35"/>
      <c r="D11" s="35"/>
      <c r="E11" s="35"/>
      <c r="F11" s="35"/>
      <c r="G11" s="35"/>
      <c r="H11" s="35"/>
      <c r="I11" s="35"/>
      <c r="J11" s="35"/>
    </row>
    <row r="12" spans="1:21" x14ac:dyDescent="0.3">
      <c r="A12" s="4"/>
      <c r="B12" s="4"/>
      <c r="C12" s="35"/>
      <c r="D12" s="35"/>
      <c r="E12" s="35"/>
      <c r="F12" s="35"/>
      <c r="G12" s="35"/>
      <c r="H12" s="35"/>
      <c r="I12" s="35"/>
      <c r="J12" s="35"/>
    </row>
    <row r="13" spans="1:21" x14ac:dyDescent="0.3">
      <c r="A13" s="4"/>
      <c r="B13" s="32" t="s">
        <v>35</v>
      </c>
      <c r="C13" s="35"/>
      <c r="D13" s="35"/>
      <c r="E13" s="35"/>
      <c r="F13" s="35"/>
      <c r="G13" s="35"/>
      <c r="H13" s="35"/>
      <c r="I13" s="35"/>
      <c r="J13" s="38"/>
      <c r="R13" s="38"/>
    </row>
    <row r="14" spans="1:21" x14ac:dyDescent="0.3">
      <c r="A14" s="4"/>
      <c r="B14" s="32"/>
      <c r="C14" s="35"/>
      <c r="D14" s="35"/>
      <c r="E14" s="35"/>
      <c r="F14" s="35"/>
      <c r="G14" s="35"/>
      <c r="H14" s="35"/>
      <c r="I14" s="35"/>
      <c r="J14" s="38"/>
      <c r="N14" s="38"/>
      <c r="R14" s="38"/>
    </row>
    <row r="15" spans="1:21" s="34" customFormat="1" ht="24" customHeight="1" x14ac:dyDescent="0.3">
      <c r="A15" s="33"/>
      <c r="B15" s="198"/>
      <c r="C15" s="199" t="s">
        <v>19</v>
      </c>
      <c r="D15" s="195"/>
      <c r="E15" s="195"/>
      <c r="F15" s="39"/>
      <c r="G15" s="195" t="s">
        <v>20</v>
      </c>
      <c r="H15" s="195"/>
      <c r="I15" s="195"/>
      <c r="J15" s="40"/>
      <c r="K15" s="199" t="s">
        <v>21</v>
      </c>
      <c r="L15" s="195"/>
      <c r="M15" s="195"/>
      <c r="N15" s="41"/>
      <c r="O15" s="195" t="s">
        <v>22</v>
      </c>
      <c r="P15" s="195"/>
      <c r="Q15" s="195"/>
      <c r="R15" s="40"/>
      <c r="S15" s="195" t="s">
        <v>33</v>
      </c>
      <c r="T15" s="195"/>
      <c r="U15" s="195"/>
    </row>
    <row r="16" spans="1:21" x14ac:dyDescent="0.3">
      <c r="A16" s="4"/>
      <c r="B16" s="198"/>
      <c r="C16" s="42"/>
      <c r="D16" s="42"/>
      <c r="E16" s="42"/>
      <c r="F16" s="35"/>
      <c r="G16" s="42"/>
      <c r="H16" s="42"/>
      <c r="I16" s="42"/>
      <c r="J16" s="43"/>
      <c r="K16" s="42"/>
      <c r="L16" s="42"/>
      <c r="M16" s="42"/>
      <c r="N16" s="43"/>
      <c r="O16" s="42"/>
      <c r="P16" s="42"/>
      <c r="Q16" s="42"/>
      <c r="R16" s="43"/>
      <c r="S16" s="42"/>
      <c r="T16" s="42"/>
      <c r="U16" s="42"/>
    </row>
    <row r="17" spans="1:21" x14ac:dyDescent="0.3">
      <c r="A17" s="4"/>
      <c r="B17" s="198"/>
      <c r="C17" s="44" t="s">
        <v>26</v>
      </c>
      <c r="D17" s="44" t="s">
        <v>27</v>
      </c>
      <c r="E17" s="44" t="s">
        <v>18</v>
      </c>
      <c r="F17" s="35"/>
      <c r="G17" s="44" t="s">
        <v>26</v>
      </c>
      <c r="H17" s="44" t="s">
        <v>27</v>
      </c>
      <c r="I17" s="44" t="s">
        <v>18</v>
      </c>
      <c r="J17" s="43"/>
      <c r="K17" s="44" t="s">
        <v>26</v>
      </c>
      <c r="L17" s="44" t="s">
        <v>27</v>
      </c>
      <c r="M17" s="44" t="s">
        <v>18</v>
      </c>
      <c r="N17" s="43"/>
      <c r="O17" s="44" t="s">
        <v>26</v>
      </c>
      <c r="P17" s="44" t="s">
        <v>27</v>
      </c>
      <c r="Q17" s="44" t="s">
        <v>18</v>
      </c>
      <c r="R17" s="43"/>
      <c r="S17" s="44" t="s">
        <v>26</v>
      </c>
      <c r="T17" s="44" t="s">
        <v>27</v>
      </c>
      <c r="U17" s="44" t="s">
        <v>18</v>
      </c>
    </row>
    <row r="18" spans="1:21" x14ac:dyDescent="0.3">
      <c r="A18" s="4"/>
      <c r="B18" s="1"/>
      <c r="C18" s="2"/>
      <c r="D18" s="2"/>
      <c r="E18" s="2"/>
      <c r="F18" s="35"/>
      <c r="G18" s="2"/>
      <c r="H18" s="2"/>
      <c r="I18" s="2"/>
      <c r="J18" s="2"/>
      <c r="K18" s="2"/>
      <c r="L18" s="2"/>
      <c r="M18" s="2"/>
      <c r="N18" s="43"/>
      <c r="O18" s="2"/>
      <c r="P18" s="2"/>
      <c r="Q18" s="2"/>
      <c r="R18" s="2"/>
      <c r="S18" s="2"/>
      <c r="T18" s="2"/>
      <c r="U18" s="2"/>
    </row>
    <row r="19" spans="1:21" x14ac:dyDescent="0.3">
      <c r="A19" s="4"/>
      <c r="B19" s="3" t="s">
        <v>78</v>
      </c>
      <c r="C19" s="2">
        <v>1117554.6777039999</v>
      </c>
      <c r="D19" s="2">
        <v>16687.919415329998</v>
      </c>
      <c r="E19" s="2">
        <f>+C19+D19</f>
        <v>1134242.59711933</v>
      </c>
      <c r="F19" s="35"/>
      <c r="G19" s="2">
        <v>96643.156617999994</v>
      </c>
      <c r="H19" s="2">
        <v>4133.7547575300005</v>
      </c>
      <c r="I19" s="2">
        <f>+G19+H19</f>
        <v>100776.91137552999</v>
      </c>
      <c r="J19" s="2"/>
      <c r="K19" s="2">
        <v>12223.522367040001</v>
      </c>
      <c r="L19" s="2">
        <v>466.92795841000003</v>
      </c>
      <c r="M19" s="2">
        <f>+K19+L19</f>
        <v>12690.450325450001</v>
      </c>
      <c r="N19" s="2"/>
      <c r="O19" s="2">
        <v>8714.0081076899987</v>
      </c>
      <c r="P19" s="2">
        <v>424.10478329999995</v>
      </c>
      <c r="Q19" s="2">
        <f>+O19+P19</f>
        <v>9138.112890989998</v>
      </c>
      <c r="R19" s="2"/>
      <c r="S19" s="29">
        <f>+C19+G19+K19+O19</f>
        <v>1235135.3647967298</v>
      </c>
      <c r="T19" s="29">
        <f>+D19+H19+L19+P19</f>
        <v>21712.706914570001</v>
      </c>
      <c r="U19" s="29">
        <f>+S19+T19</f>
        <v>1256848.0717112997</v>
      </c>
    </row>
    <row r="20" spans="1:21" x14ac:dyDescent="0.3">
      <c r="B20" t="s">
        <v>79</v>
      </c>
      <c r="C20" s="31">
        <v>1471915.5508900001</v>
      </c>
      <c r="D20" s="31">
        <v>100487.60329611</v>
      </c>
      <c r="E20" s="2">
        <f t="shared" ref="E20:E23" si="0">+C20+D20</f>
        <v>1572403.15418611</v>
      </c>
      <c r="G20" s="31">
        <v>343133.53117094003</v>
      </c>
      <c r="H20" s="31">
        <v>42672.044461989979</v>
      </c>
      <c r="I20" s="2">
        <f t="shared" ref="I20:I23" si="1">+G20+H20</f>
        <v>385805.57563293003</v>
      </c>
      <c r="K20" s="31">
        <v>45451.589584000001</v>
      </c>
      <c r="L20" s="31">
        <v>5654.4068754399996</v>
      </c>
      <c r="M20" s="2">
        <f t="shared" ref="M20:M23" si="2">+K20+L20</f>
        <v>51105.996459440001</v>
      </c>
      <c r="O20" s="31">
        <v>17653.289955</v>
      </c>
      <c r="P20" s="31">
        <v>5209.2720781800017</v>
      </c>
      <c r="Q20" s="2">
        <f t="shared" ref="Q20:Q23" si="3">+O20+P20</f>
        <v>22862.562033180002</v>
      </c>
      <c r="S20" s="29">
        <f t="shared" ref="S20:T23" si="4">+C20+G20+K20+O20</f>
        <v>1878153.96159994</v>
      </c>
      <c r="T20" s="29">
        <f t="shared" si="4"/>
        <v>154023.32671171997</v>
      </c>
      <c r="U20" s="29">
        <f t="shared" ref="U20:U23" si="5">+S20+T20</f>
        <v>2032177.2883116598</v>
      </c>
    </row>
    <row r="21" spans="1:21" x14ac:dyDescent="0.3">
      <c r="B21" t="s">
        <v>80</v>
      </c>
      <c r="C21" s="31">
        <v>1576715.5145990001</v>
      </c>
      <c r="D21" s="31">
        <v>243211.51774803002</v>
      </c>
      <c r="E21" s="2">
        <f t="shared" si="0"/>
        <v>1819927.03234703</v>
      </c>
      <c r="G21" s="31">
        <v>1129188.09294582</v>
      </c>
      <c r="H21" s="31">
        <v>310867.40826655994</v>
      </c>
      <c r="I21" s="2">
        <f t="shared" si="1"/>
        <v>1440055.5012123799</v>
      </c>
      <c r="K21" s="31">
        <v>284228.14150900999</v>
      </c>
      <c r="L21" s="31">
        <v>60272.163312610006</v>
      </c>
      <c r="M21" s="2">
        <f t="shared" si="2"/>
        <v>344500.30482162</v>
      </c>
      <c r="O21" s="31">
        <v>111437.12526</v>
      </c>
      <c r="P21" s="31">
        <v>34481.838527059997</v>
      </c>
      <c r="Q21" s="2">
        <f t="shared" si="3"/>
        <v>145918.96378706</v>
      </c>
      <c r="S21" s="29">
        <f t="shared" si="4"/>
        <v>3101568.8743138299</v>
      </c>
      <c r="T21" s="29">
        <f t="shared" si="4"/>
        <v>648832.92785425996</v>
      </c>
      <c r="U21" s="29">
        <f t="shared" si="5"/>
        <v>3750401.8021680899</v>
      </c>
    </row>
    <row r="22" spans="1:21" x14ac:dyDescent="0.3">
      <c r="B22" t="s">
        <v>81</v>
      </c>
      <c r="C22" s="31">
        <v>815044.06644600001</v>
      </c>
      <c r="D22" s="31">
        <v>262599.84027296997</v>
      </c>
      <c r="E22" s="2">
        <f t="shared" si="0"/>
        <v>1077643.90671897</v>
      </c>
      <c r="G22" s="31">
        <v>1271399.50829297</v>
      </c>
      <c r="H22" s="31">
        <v>834359.00673157047</v>
      </c>
      <c r="I22" s="2">
        <f t="shared" si="1"/>
        <v>2105758.5150245405</v>
      </c>
      <c r="K22" s="31">
        <v>962322.86845900002</v>
      </c>
      <c r="L22" s="31">
        <v>371912.05668426008</v>
      </c>
      <c r="M22" s="2">
        <f t="shared" si="2"/>
        <v>1334234.92514326</v>
      </c>
      <c r="O22" s="31">
        <v>553710.29757299996</v>
      </c>
      <c r="P22" s="31">
        <v>197371.94033467001</v>
      </c>
      <c r="Q22" s="2">
        <f t="shared" si="3"/>
        <v>751082.23790766997</v>
      </c>
      <c r="S22" s="29">
        <f t="shared" si="4"/>
        <v>3602476.7407709705</v>
      </c>
      <c r="T22" s="29">
        <f t="shared" si="4"/>
        <v>1666242.8440234705</v>
      </c>
      <c r="U22" s="29">
        <f t="shared" si="5"/>
        <v>5268719.5847944412</v>
      </c>
    </row>
    <row r="23" spans="1:21" x14ac:dyDescent="0.3">
      <c r="B23" t="s">
        <v>82</v>
      </c>
      <c r="C23" s="47">
        <v>1231926.6774019999</v>
      </c>
      <c r="D23" s="47">
        <v>2070054.4206087897</v>
      </c>
      <c r="E23" s="28">
        <f t="shared" si="0"/>
        <v>3301981.0980107896</v>
      </c>
      <c r="G23" s="47">
        <v>1443439.1678220301</v>
      </c>
      <c r="H23" s="47">
        <v>1556203.57767196</v>
      </c>
      <c r="I23" s="28">
        <f t="shared" si="1"/>
        <v>2999642.7454939904</v>
      </c>
      <c r="K23" s="47">
        <v>2093383.3832534801</v>
      </c>
      <c r="L23" s="47">
        <v>3129149.7530066292</v>
      </c>
      <c r="M23" s="28">
        <f t="shared" si="2"/>
        <v>5222533.136260109</v>
      </c>
      <c r="O23" s="47">
        <v>30586776.692856774</v>
      </c>
      <c r="P23" s="47">
        <v>45998359.451775625</v>
      </c>
      <c r="Q23" s="28">
        <f t="shared" si="3"/>
        <v>76585136.144632399</v>
      </c>
      <c r="S23" s="30">
        <f t="shared" si="4"/>
        <v>35355525.921334282</v>
      </c>
      <c r="T23" s="30">
        <f t="shared" si="4"/>
        <v>52753767.203063004</v>
      </c>
      <c r="U23" s="30">
        <f t="shared" si="5"/>
        <v>88109293.124397278</v>
      </c>
    </row>
    <row r="24" spans="1:21" x14ac:dyDescent="0.3">
      <c r="B24" s="46" t="s">
        <v>54</v>
      </c>
      <c r="C24" s="45">
        <f>SUM(C19:C23)</f>
        <v>6213156.4870410003</v>
      </c>
      <c r="D24" s="45">
        <f>SUM(D19:D23)</f>
        <v>2693041.3013412296</v>
      </c>
      <c r="E24" s="45">
        <f>SUM(E19:E23)</f>
        <v>8906197.7883822285</v>
      </c>
      <c r="G24" s="45">
        <f>SUM(G19:G23)</f>
        <v>4283803.4568497604</v>
      </c>
      <c r="H24" s="45">
        <f>SUM(H19:H23)</f>
        <v>2748235.7918896102</v>
      </c>
      <c r="I24" s="45">
        <f>SUM(I19:I23)</f>
        <v>7032039.2487393711</v>
      </c>
      <c r="K24" s="45">
        <f>SUM(K19:K23)</f>
        <v>3397609.5051725302</v>
      </c>
      <c r="L24" s="45">
        <f>SUM(L19:L23)</f>
        <v>3567455.3078373494</v>
      </c>
      <c r="M24" s="45">
        <f>SUM(M19:M23)</f>
        <v>6965064.8130098786</v>
      </c>
      <c r="O24" s="45">
        <f>SUM(O19:O23)</f>
        <v>31278291.413752463</v>
      </c>
      <c r="P24" s="45">
        <f>SUM(P19:P23)</f>
        <v>46235846.607498832</v>
      </c>
      <c r="Q24" s="45">
        <f>SUM(Q19:Q23)</f>
        <v>77514138.021251306</v>
      </c>
      <c r="S24" s="48">
        <f>SUM(S19:S23)</f>
        <v>45172860.862815753</v>
      </c>
      <c r="T24" s="48">
        <f>SUM(T19:T23)</f>
        <v>55244579.00856702</v>
      </c>
      <c r="U24" s="48">
        <f>SUM(U19:U23)</f>
        <v>100417439.87138277</v>
      </c>
    </row>
    <row r="26" spans="1:21" x14ac:dyDescent="0.3">
      <c r="A26" s="4"/>
      <c r="B26" s="4"/>
      <c r="C26" s="35"/>
      <c r="D26" s="35"/>
      <c r="E26" s="35"/>
      <c r="F26" s="35"/>
      <c r="G26" s="35"/>
      <c r="H26" s="35"/>
      <c r="I26" s="35"/>
      <c r="J26" s="35"/>
    </row>
    <row r="27" spans="1:21" x14ac:dyDescent="0.3">
      <c r="A27" s="4"/>
      <c r="B27" s="32" t="s">
        <v>55</v>
      </c>
      <c r="C27" s="35"/>
      <c r="D27" s="35"/>
      <c r="E27" s="35"/>
      <c r="F27" s="35"/>
      <c r="G27" s="35"/>
      <c r="H27" s="35"/>
      <c r="I27" s="35"/>
      <c r="J27" s="38"/>
      <c r="R27" s="38"/>
    </row>
    <row r="28" spans="1:21" x14ac:dyDescent="0.3">
      <c r="A28" s="4"/>
      <c r="B28" s="32"/>
      <c r="C28" s="35"/>
      <c r="D28" s="35"/>
      <c r="E28" s="35"/>
      <c r="F28" s="35"/>
      <c r="G28" s="35"/>
      <c r="H28" s="35"/>
      <c r="I28" s="35"/>
      <c r="J28" s="38"/>
      <c r="N28" s="38"/>
      <c r="R28" s="38"/>
    </row>
    <row r="29" spans="1:21" s="34" customFormat="1" ht="24" customHeight="1" x14ac:dyDescent="0.3">
      <c r="A29" s="33"/>
      <c r="B29" s="198"/>
      <c r="C29" s="199" t="s">
        <v>19</v>
      </c>
      <c r="D29" s="195"/>
      <c r="E29" s="195"/>
      <c r="F29" s="39"/>
      <c r="G29" s="195" t="s">
        <v>20</v>
      </c>
      <c r="H29" s="195"/>
      <c r="I29" s="195"/>
      <c r="J29" s="40"/>
      <c r="K29" s="199" t="s">
        <v>21</v>
      </c>
      <c r="L29" s="195"/>
      <c r="M29" s="195"/>
      <c r="N29" s="41"/>
      <c r="O29" s="195" t="s">
        <v>22</v>
      </c>
      <c r="P29" s="195"/>
      <c r="Q29" s="195"/>
      <c r="R29" s="40"/>
      <c r="S29" s="195" t="s">
        <v>33</v>
      </c>
      <c r="T29" s="195"/>
      <c r="U29" s="195"/>
    </row>
    <row r="30" spans="1:21" x14ac:dyDescent="0.3">
      <c r="A30" s="4"/>
      <c r="B30" s="198"/>
      <c r="C30" s="42"/>
      <c r="D30" s="42"/>
      <c r="E30" s="42"/>
      <c r="F30" s="35"/>
      <c r="G30" s="42"/>
      <c r="H30" s="42"/>
      <c r="I30" s="42"/>
      <c r="J30" s="43"/>
      <c r="K30" s="42"/>
      <c r="L30" s="42"/>
      <c r="M30" s="42"/>
      <c r="N30" s="43"/>
      <c r="O30" s="42"/>
      <c r="P30" s="42"/>
      <c r="Q30" s="42"/>
      <c r="R30" s="43"/>
      <c r="S30" s="42"/>
      <c r="T30" s="42"/>
      <c r="U30" s="42"/>
    </row>
    <row r="31" spans="1:21" x14ac:dyDescent="0.3">
      <c r="A31" s="4"/>
      <c r="B31" s="198"/>
      <c r="C31" s="44" t="s">
        <v>26</v>
      </c>
      <c r="D31" s="44" t="s">
        <v>27</v>
      </c>
      <c r="E31" s="44" t="s">
        <v>18</v>
      </c>
      <c r="F31" s="35"/>
      <c r="G31" s="44" t="s">
        <v>26</v>
      </c>
      <c r="H31" s="44" t="s">
        <v>27</v>
      </c>
      <c r="I31" s="44" t="s">
        <v>18</v>
      </c>
      <c r="J31" s="43"/>
      <c r="K31" s="44" t="s">
        <v>26</v>
      </c>
      <c r="L31" s="44" t="s">
        <v>27</v>
      </c>
      <c r="M31" s="44" t="s">
        <v>18</v>
      </c>
      <c r="N31" s="43"/>
      <c r="O31" s="44" t="s">
        <v>26</v>
      </c>
      <c r="P31" s="44" t="s">
        <v>27</v>
      </c>
      <c r="Q31" s="44" t="s">
        <v>18</v>
      </c>
      <c r="R31" s="43"/>
      <c r="S31" s="44" t="s">
        <v>26</v>
      </c>
      <c r="T31" s="44" t="s">
        <v>27</v>
      </c>
      <c r="U31" s="44" t="s">
        <v>18</v>
      </c>
    </row>
    <row r="32" spans="1:21" x14ac:dyDescent="0.3">
      <c r="A32" s="4"/>
      <c r="B32" s="1"/>
      <c r="C32" s="2"/>
      <c r="D32" s="2"/>
      <c r="E32" s="2"/>
      <c r="F32" s="35"/>
      <c r="G32" s="2"/>
      <c r="H32" s="2"/>
      <c r="I32" s="2"/>
      <c r="J32" s="2"/>
      <c r="K32" s="2"/>
      <c r="L32" s="2"/>
      <c r="M32" s="2"/>
      <c r="N32" s="43"/>
      <c r="O32" s="2"/>
      <c r="P32" s="2"/>
      <c r="Q32" s="2"/>
      <c r="R32" s="2"/>
      <c r="S32" s="2"/>
      <c r="T32" s="2"/>
      <c r="U32" s="2"/>
    </row>
    <row r="33" spans="1:23" x14ac:dyDescent="0.3">
      <c r="A33" s="4"/>
      <c r="B33" s="3" t="s">
        <v>78</v>
      </c>
      <c r="C33" s="2">
        <v>209120</v>
      </c>
      <c r="D33" s="2">
        <v>1230</v>
      </c>
      <c r="E33" s="2">
        <f t="shared" ref="E33:E37" si="6">+C33+D33</f>
        <v>210350</v>
      </c>
      <c r="F33" s="35"/>
      <c r="G33" s="2">
        <v>16471</v>
      </c>
      <c r="H33" s="2">
        <v>384</v>
      </c>
      <c r="I33" s="2">
        <f t="shared" ref="I33:I37" si="7">+G33+H33</f>
        <v>16855</v>
      </c>
      <c r="J33" s="2"/>
      <c r="K33" s="2">
        <v>2901</v>
      </c>
      <c r="L33" s="2">
        <v>120</v>
      </c>
      <c r="M33" s="2">
        <f t="shared" ref="M33:M37" si="8">+K33+L33</f>
        <v>3021</v>
      </c>
      <c r="N33" s="2"/>
      <c r="O33" s="2">
        <v>2915</v>
      </c>
      <c r="P33" s="2">
        <v>283</v>
      </c>
      <c r="Q33" s="2">
        <f t="shared" ref="Q33:Q37" si="9">+O33+P33</f>
        <v>3198</v>
      </c>
      <c r="R33" s="2"/>
      <c r="S33" s="29">
        <f>+C33+G33+K33+O33</f>
        <v>231407</v>
      </c>
      <c r="T33" s="29">
        <f>+D33+H33+L33+P33</f>
        <v>2017</v>
      </c>
      <c r="U33" s="29">
        <f>+S33+T33</f>
        <v>233424</v>
      </c>
      <c r="V33" s="6"/>
    </row>
    <row r="34" spans="1:23" x14ac:dyDescent="0.3">
      <c r="B34" t="s">
        <v>79</v>
      </c>
      <c r="C34" s="31">
        <v>75123</v>
      </c>
      <c r="D34" s="31">
        <v>2032</v>
      </c>
      <c r="E34" s="2">
        <f t="shared" si="6"/>
        <v>77155</v>
      </c>
      <c r="G34" s="31">
        <v>13950</v>
      </c>
      <c r="H34" s="31">
        <v>694</v>
      </c>
      <c r="I34" s="2">
        <f t="shared" si="7"/>
        <v>14644</v>
      </c>
      <c r="K34" s="31">
        <v>1654</v>
      </c>
      <c r="L34" s="31">
        <v>128</v>
      </c>
      <c r="M34" s="2">
        <f t="shared" si="8"/>
        <v>1782</v>
      </c>
      <c r="O34" s="31">
        <v>771</v>
      </c>
      <c r="P34" s="31">
        <v>188</v>
      </c>
      <c r="Q34" s="2">
        <f t="shared" si="9"/>
        <v>959</v>
      </c>
      <c r="S34" s="29">
        <f t="shared" ref="S34:T37" si="10">+C34+G34+K34+O34</f>
        <v>91498</v>
      </c>
      <c r="T34" s="29">
        <f t="shared" si="10"/>
        <v>3042</v>
      </c>
      <c r="U34" s="29">
        <f t="shared" ref="U34:U37" si="11">+S34+T34</f>
        <v>94540</v>
      </c>
      <c r="V34" s="6"/>
    </row>
    <row r="35" spans="1:23" x14ac:dyDescent="0.3">
      <c r="B35" t="s">
        <v>80</v>
      </c>
      <c r="C35" s="31">
        <v>36102</v>
      </c>
      <c r="D35" s="31">
        <v>2429</v>
      </c>
      <c r="E35" s="2">
        <f t="shared" si="6"/>
        <v>38531</v>
      </c>
      <c r="G35" s="31">
        <v>24748</v>
      </c>
      <c r="H35" s="31">
        <v>2719</v>
      </c>
      <c r="I35" s="2">
        <f t="shared" si="7"/>
        <v>27467</v>
      </c>
      <c r="K35" s="31">
        <v>5315</v>
      </c>
      <c r="L35" s="31">
        <v>449</v>
      </c>
      <c r="M35" s="2">
        <f t="shared" si="8"/>
        <v>5764</v>
      </c>
      <c r="O35" s="31">
        <v>1969</v>
      </c>
      <c r="P35" s="31">
        <v>366</v>
      </c>
      <c r="Q35" s="2">
        <f t="shared" si="9"/>
        <v>2335</v>
      </c>
      <c r="S35" s="29">
        <f t="shared" si="10"/>
        <v>68134</v>
      </c>
      <c r="T35" s="29">
        <f t="shared" si="10"/>
        <v>5963</v>
      </c>
      <c r="U35" s="29">
        <f t="shared" si="11"/>
        <v>74097</v>
      </c>
      <c r="V35" s="6"/>
    </row>
    <row r="36" spans="1:23" x14ac:dyDescent="0.3">
      <c r="B36" t="s">
        <v>81</v>
      </c>
      <c r="C36" s="31">
        <v>8215</v>
      </c>
      <c r="D36" s="31">
        <v>1265</v>
      </c>
      <c r="E36" s="2">
        <f t="shared" si="6"/>
        <v>9480</v>
      </c>
      <c r="G36" s="31">
        <v>16902</v>
      </c>
      <c r="H36" s="31">
        <v>3406</v>
      </c>
      <c r="I36" s="2">
        <f t="shared" si="7"/>
        <v>20308</v>
      </c>
      <c r="K36" s="31">
        <v>12876</v>
      </c>
      <c r="L36" s="31">
        <v>1555</v>
      </c>
      <c r="M36" s="2">
        <f t="shared" si="8"/>
        <v>14431</v>
      </c>
      <c r="O36" s="31">
        <v>8084</v>
      </c>
      <c r="P36" s="31">
        <v>1064</v>
      </c>
      <c r="Q36" s="2">
        <f t="shared" si="9"/>
        <v>9148</v>
      </c>
      <c r="S36" s="29">
        <f t="shared" si="10"/>
        <v>46077</v>
      </c>
      <c r="T36" s="29">
        <f t="shared" si="10"/>
        <v>7290</v>
      </c>
      <c r="U36" s="29">
        <f t="shared" si="11"/>
        <v>53367</v>
      </c>
      <c r="V36" s="6"/>
    </row>
    <row r="37" spans="1:23" x14ac:dyDescent="0.3">
      <c r="B37" t="s">
        <v>82</v>
      </c>
      <c r="C37" s="47">
        <v>2938</v>
      </c>
      <c r="D37" s="47">
        <v>1269</v>
      </c>
      <c r="E37" s="28">
        <f t="shared" si="6"/>
        <v>4207</v>
      </c>
      <c r="G37" s="47">
        <v>6994</v>
      </c>
      <c r="H37" s="47">
        <v>2008</v>
      </c>
      <c r="I37" s="28">
        <f t="shared" si="7"/>
        <v>9002</v>
      </c>
      <c r="K37" s="47">
        <v>13215</v>
      </c>
      <c r="L37" s="47">
        <v>3880</v>
      </c>
      <c r="M37" s="28">
        <f t="shared" si="8"/>
        <v>17095</v>
      </c>
      <c r="O37" s="47">
        <v>88613</v>
      </c>
      <c r="P37" s="47">
        <v>24929</v>
      </c>
      <c r="Q37" s="28">
        <f t="shared" si="9"/>
        <v>113542</v>
      </c>
      <c r="S37" s="30">
        <f t="shared" si="10"/>
        <v>111760</v>
      </c>
      <c r="T37" s="30">
        <f t="shared" si="10"/>
        <v>32086</v>
      </c>
      <c r="U37" s="30">
        <f t="shared" si="11"/>
        <v>143846</v>
      </c>
      <c r="V37" s="6"/>
    </row>
    <row r="38" spans="1:23" x14ac:dyDescent="0.3">
      <c r="B38" s="46" t="s">
        <v>54</v>
      </c>
      <c r="C38" s="45">
        <f>SUM(C33:C37)</f>
        <v>331498</v>
      </c>
      <c r="D38" s="45">
        <f>SUM(D33:D37)</f>
        <v>8225</v>
      </c>
      <c r="E38" s="45">
        <f>SUM(E33:E37)</f>
        <v>339723</v>
      </c>
      <c r="G38" s="45">
        <f>SUM(G33:G37)</f>
        <v>79065</v>
      </c>
      <c r="H38" s="45">
        <f>SUM(H33:H37)</f>
        <v>9211</v>
      </c>
      <c r="I38" s="45">
        <f>SUM(I33:I37)</f>
        <v>88276</v>
      </c>
      <c r="K38" s="45">
        <f>SUM(K33:K37)</f>
        <v>35961</v>
      </c>
      <c r="L38" s="45">
        <f>SUM(L33:L37)</f>
        <v>6132</v>
      </c>
      <c r="M38" s="45">
        <f>SUM(M33:M37)</f>
        <v>42093</v>
      </c>
      <c r="O38" s="45">
        <f>SUM(O33:O37)</f>
        <v>102352</v>
      </c>
      <c r="P38" s="45">
        <f>SUM(P33:P37)</f>
        <v>26830</v>
      </c>
      <c r="Q38" s="45">
        <f>SUM(Q33:Q37)</f>
        <v>129182</v>
      </c>
      <c r="S38" s="48">
        <f>SUM(S33:S37)</f>
        <v>548876</v>
      </c>
      <c r="T38" s="48">
        <f>SUM(T33:T37)</f>
        <v>50398</v>
      </c>
      <c r="U38" s="48">
        <f>SUM(U33:U37)</f>
        <v>599274</v>
      </c>
    </row>
    <row r="40" spans="1:23" s="31" customFormat="1" x14ac:dyDescent="0.3">
      <c r="A40"/>
      <c r="B40"/>
      <c r="V40"/>
      <c r="W40"/>
    </row>
    <row r="41" spans="1:23" x14ac:dyDescent="0.3">
      <c r="B41" t="s">
        <v>84</v>
      </c>
      <c r="S41"/>
      <c r="T41"/>
      <c r="U41"/>
    </row>
  </sheetData>
  <mergeCells count="14">
    <mergeCell ref="S29:U29"/>
    <mergeCell ref="B8:U8"/>
    <mergeCell ref="B9:U9"/>
    <mergeCell ref="B15:B17"/>
    <mergeCell ref="C15:E15"/>
    <mergeCell ref="G15:I15"/>
    <mergeCell ref="K15:M15"/>
    <mergeCell ref="O15:Q15"/>
    <mergeCell ref="S15:U15"/>
    <mergeCell ref="B29:B31"/>
    <mergeCell ref="C29:E29"/>
    <mergeCell ref="G29:I29"/>
    <mergeCell ref="K29:M29"/>
    <mergeCell ref="O29:Q29"/>
  </mergeCells>
  <hyperlinks>
    <hyperlink ref="B1" location="Inicio!B10" display="Ir a inicio" xr:uid="{51B00468-E551-458E-9210-0D24B8F183EC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61" orientation="landscape" r:id="rId1"/>
  <headerFooter alignWithMargins="0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D1118-D444-4697-A9F0-A516B64EF69B}">
  <sheetPr>
    <tabColor theme="0" tint="-0.14999847407452621"/>
    <pageSetUpPr fitToPage="1"/>
  </sheetPr>
  <dimension ref="A1:O33"/>
  <sheetViews>
    <sheetView showGridLines="0" zoomScaleNormal="100" zoomScaleSheetLayoutView="85" workbookViewId="0"/>
  </sheetViews>
  <sheetFormatPr baseColWidth="10" defaultColWidth="14.6640625" defaultRowHeight="18" x14ac:dyDescent="0.35"/>
  <cols>
    <col min="1" max="1" width="8.6640625" style="8" customWidth="1"/>
    <col min="2" max="2" width="46.33203125" style="21" customWidth="1"/>
    <col min="3" max="4" width="13.6640625" style="8" customWidth="1"/>
    <col min="5" max="5" width="12.88671875" style="8" customWidth="1"/>
    <col min="6" max="6" width="5.6640625" style="8" customWidth="1"/>
    <col min="7" max="7" width="15.44140625" style="8" customWidth="1"/>
    <col min="8" max="8" width="13.6640625" style="8" customWidth="1"/>
    <col min="9" max="9" width="20.33203125" style="8" customWidth="1"/>
    <col min="10" max="10" width="3.33203125" style="8" customWidth="1"/>
    <col min="11" max="11" width="5" style="8" customWidth="1"/>
    <col min="12" max="13" width="13.6640625" style="8" customWidth="1"/>
    <col min="14" max="14" width="3.33203125" style="8" customWidth="1"/>
    <col min="15" max="17" width="13.6640625" style="8" customWidth="1"/>
    <col min="18" max="16384" width="14.6640625" style="8"/>
  </cols>
  <sheetData>
    <row r="1" spans="1:15" x14ac:dyDescent="0.35">
      <c r="A1" s="7"/>
      <c r="B1" s="23" t="s">
        <v>5</v>
      </c>
      <c r="C1" s="7"/>
      <c r="D1" s="7"/>
      <c r="E1" s="7"/>
      <c r="F1" s="7"/>
      <c r="G1" s="23" t="s">
        <v>2</v>
      </c>
      <c r="H1" s="7"/>
      <c r="I1" s="7"/>
    </row>
    <row r="2" spans="1:15" x14ac:dyDescent="0.35">
      <c r="A2" s="17"/>
      <c r="B2" s="23" t="s">
        <v>6</v>
      </c>
      <c r="C2" s="17"/>
      <c r="D2" s="17"/>
      <c r="E2" s="17"/>
      <c r="F2" s="17"/>
      <c r="G2" s="23" t="s">
        <v>3</v>
      </c>
      <c r="H2" s="17"/>
      <c r="I2" s="17"/>
      <c r="J2" s="20"/>
      <c r="K2" s="20"/>
      <c r="L2" s="20"/>
      <c r="M2" s="20"/>
      <c r="N2" s="20"/>
      <c r="O2" s="20"/>
    </row>
    <row r="3" spans="1:15" ht="23.4" x14ac:dyDescent="0.45">
      <c r="A3" s="17"/>
      <c r="B3" s="18"/>
      <c r="C3" s="17"/>
      <c r="D3" s="17"/>
      <c r="E3" s="17"/>
      <c r="F3" s="17"/>
      <c r="G3" s="19"/>
      <c r="H3" s="17"/>
      <c r="I3" s="17"/>
      <c r="J3" s="20"/>
      <c r="K3" s="20"/>
      <c r="L3" s="20"/>
      <c r="M3" s="20"/>
      <c r="N3" s="20"/>
      <c r="O3" s="20"/>
    </row>
    <row r="4" spans="1:15" ht="13.8" x14ac:dyDescent="0.3">
      <c r="A4" s="17"/>
      <c r="B4" s="17"/>
      <c r="C4" s="17"/>
      <c r="D4" s="17"/>
      <c r="E4" s="17"/>
      <c r="F4" s="17"/>
      <c r="G4" s="17"/>
      <c r="H4" s="17"/>
      <c r="I4" s="17"/>
      <c r="J4" s="20"/>
      <c r="K4" s="20"/>
      <c r="L4" s="20"/>
      <c r="M4" s="20"/>
      <c r="N4" s="20"/>
      <c r="O4" s="20"/>
    </row>
    <row r="5" spans="1:15" ht="23.4" x14ac:dyDescent="0.45">
      <c r="A5" s="17"/>
      <c r="B5" s="17"/>
      <c r="C5" s="17"/>
      <c r="D5" s="18"/>
      <c r="E5" s="17"/>
      <c r="F5" s="17"/>
      <c r="G5" s="17"/>
      <c r="H5" s="17"/>
      <c r="I5" s="17"/>
      <c r="J5" s="20"/>
      <c r="K5" s="20"/>
      <c r="L5" s="20"/>
      <c r="M5" s="20"/>
      <c r="N5" s="20"/>
      <c r="O5" s="20"/>
    </row>
    <row r="6" spans="1:15" ht="23.4" x14ac:dyDescent="0.45">
      <c r="A6" s="17"/>
      <c r="B6" s="17"/>
      <c r="C6" s="17"/>
      <c r="D6" s="18"/>
      <c r="E6" s="17"/>
      <c r="F6" s="17"/>
      <c r="G6" s="17"/>
      <c r="H6" s="17"/>
      <c r="I6" s="17"/>
      <c r="J6" s="20"/>
      <c r="K6" s="20"/>
      <c r="L6" s="20"/>
      <c r="M6" s="20"/>
      <c r="N6" s="20"/>
      <c r="O6" s="20"/>
    </row>
    <row r="7" spans="1:15" ht="13.8" x14ac:dyDescent="0.3">
      <c r="A7" s="17"/>
      <c r="B7" s="17"/>
      <c r="C7" s="17"/>
      <c r="D7" s="17"/>
      <c r="E7" s="17"/>
      <c r="F7" s="17"/>
      <c r="G7" s="17"/>
      <c r="H7" s="17"/>
      <c r="I7" s="17"/>
      <c r="J7" s="20"/>
      <c r="K7" s="20"/>
      <c r="L7" s="20"/>
      <c r="M7" s="20"/>
      <c r="N7" s="20"/>
      <c r="O7" s="20"/>
    </row>
    <row r="8" spans="1:15" ht="23.4" x14ac:dyDescent="0.45">
      <c r="A8" s="177" t="s">
        <v>7</v>
      </c>
      <c r="B8" s="177"/>
      <c r="C8" s="177"/>
      <c r="D8" s="177"/>
      <c r="E8" s="177"/>
      <c r="F8" s="177"/>
      <c r="G8" s="177"/>
      <c r="H8" s="177"/>
      <c r="I8" s="177"/>
      <c r="J8" s="12"/>
      <c r="K8" s="12"/>
      <c r="L8" s="12"/>
      <c r="M8" s="20"/>
      <c r="N8" s="20"/>
      <c r="O8" s="20"/>
    </row>
    <row r="9" spans="1:15" ht="13.8" x14ac:dyDescent="0.3">
      <c r="A9" s="17"/>
      <c r="B9" s="17"/>
      <c r="C9" s="17"/>
      <c r="D9" s="17"/>
      <c r="E9" s="17"/>
      <c r="F9" s="17"/>
      <c r="G9" s="17"/>
      <c r="H9" s="17"/>
      <c r="I9" s="17"/>
      <c r="J9" s="20"/>
      <c r="K9" s="20"/>
      <c r="L9" s="20"/>
      <c r="M9" s="20"/>
      <c r="N9" s="20"/>
      <c r="O9" s="20"/>
    </row>
    <row r="10" spans="1:15" ht="13.8" x14ac:dyDescent="0.3">
      <c r="A10" s="17"/>
      <c r="B10" s="142"/>
      <c r="C10" s="17"/>
      <c r="D10" s="17"/>
      <c r="E10" s="17"/>
      <c r="F10" s="17"/>
      <c r="G10" s="17"/>
      <c r="H10" s="17"/>
      <c r="I10" s="17"/>
      <c r="J10" s="20"/>
      <c r="K10" s="20"/>
      <c r="L10" s="20"/>
      <c r="M10" s="20"/>
      <c r="N10" s="20"/>
      <c r="O10" s="20"/>
    </row>
    <row r="11" spans="1:15" ht="13.8" x14ac:dyDescent="0.3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 s="49" customFormat="1" ht="21" x14ac:dyDescent="0.4">
      <c r="B12" s="50" t="s">
        <v>94</v>
      </c>
      <c r="G12" s="51">
        <v>1</v>
      </c>
      <c r="H12" s="52"/>
    </row>
    <row r="13" spans="1:15" s="49" customFormat="1" ht="6" customHeight="1" x14ac:dyDescent="0.4">
      <c r="B13" s="53"/>
      <c r="C13" s="53"/>
      <c r="D13" s="53"/>
      <c r="E13" s="53"/>
      <c r="F13" s="53"/>
      <c r="G13" s="52"/>
    </row>
    <row r="14" spans="1:15" s="49" customFormat="1" ht="21" x14ac:dyDescent="0.4">
      <c r="B14" s="52" t="s">
        <v>8</v>
      </c>
      <c r="G14" s="54">
        <v>2</v>
      </c>
    </row>
    <row r="15" spans="1:15" s="49" customFormat="1" ht="6" customHeight="1" x14ac:dyDescent="0.4">
      <c r="B15" s="53"/>
      <c r="C15" s="53"/>
      <c r="D15" s="53"/>
      <c r="E15" s="53"/>
      <c r="F15" s="53"/>
      <c r="G15" s="52"/>
    </row>
    <row r="16" spans="1:15" s="49" customFormat="1" ht="21" x14ac:dyDescent="0.4">
      <c r="B16" s="52" t="s">
        <v>120</v>
      </c>
      <c r="G16" s="54">
        <v>3</v>
      </c>
    </row>
    <row r="17" spans="1:9" s="49" customFormat="1" ht="6" customHeight="1" x14ac:dyDescent="0.4">
      <c r="B17" s="55"/>
    </row>
    <row r="18" spans="1:9" s="49" customFormat="1" ht="21" x14ac:dyDescent="0.4">
      <c r="B18" s="52" t="s">
        <v>9</v>
      </c>
      <c r="G18" s="56">
        <v>4</v>
      </c>
    </row>
    <row r="19" spans="1:9" s="49" customFormat="1" ht="6" customHeight="1" x14ac:dyDescent="0.4">
      <c r="G19" s="57"/>
    </row>
    <row r="20" spans="1:9" s="49" customFormat="1" ht="21" x14ac:dyDescent="0.4">
      <c r="B20" s="52" t="s">
        <v>10</v>
      </c>
      <c r="G20" s="56">
        <v>5</v>
      </c>
    </row>
    <row r="21" spans="1:9" s="49" customFormat="1" ht="6" customHeight="1" x14ac:dyDescent="0.4">
      <c r="B21" s="52"/>
      <c r="G21" s="57"/>
    </row>
    <row r="22" spans="1:9" s="49" customFormat="1" ht="21" x14ac:dyDescent="0.4">
      <c r="B22" s="52" t="s">
        <v>11</v>
      </c>
      <c r="G22" s="56">
        <v>6</v>
      </c>
    </row>
    <row r="23" spans="1:9" s="22" customFormat="1" ht="6" customHeight="1" x14ac:dyDescent="0.4">
      <c r="B23" s="24"/>
      <c r="C23" s="25"/>
      <c r="D23" s="25"/>
      <c r="E23" s="25"/>
      <c r="F23" s="25"/>
      <c r="G23" s="57"/>
      <c r="H23" s="49"/>
    </row>
    <row r="24" spans="1:9" s="22" customFormat="1" ht="6" customHeight="1" x14ac:dyDescent="0.4">
      <c r="B24" s="24"/>
      <c r="C24" s="25"/>
      <c r="D24" s="25"/>
      <c r="E24" s="25"/>
      <c r="F24" s="25"/>
      <c r="G24" s="145"/>
      <c r="H24" s="49"/>
    </row>
    <row r="25" spans="1:9" s="49" customFormat="1" ht="21" x14ac:dyDescent="0.4">
      <c r="B25" s="52" t="s">
        <v>128</v>
      </c>
      <c r="G25" s="56">
        <v>7</v>
      </c>
    </row>
    <row r="26" spans="1:9" s="49" customFormat="1" ht="21" x14ac:dyDescent="0.4">
      <c r="B26" s="52"/>
      <c r="G26" s="146"/>
    </row>
    <row r="27" spans="1:9" ht="13.8" x14ac:dyDescent="0.3">
      <c r="A27" s="17"/>
      <c r="B27" s="17"/>
      <c r="C27" s="17"/>
      <c r="D27" s="17"/>
      <c r="E27" s="17"/>
      <c r="F27" s="17"/>
      <c r="G27" s="17"/>
      <c r="H27" s="17"/>
      <c r="I27" s="17"/>
    </row>
    <row r="28" spans="1:9" ht="13.8" x14ac:dyDescent="0.3">
      <c r="A28" s="17"/>
      <c r="B28" s="17"/>
      <c r="C28" s="17"/>
      <c r="D28" s="17"/>
      <c r="E28" s="17"/>
      <c r="F28" s="17"/>
      <c r="G28" s="17"/>
      <c r="H28" s="17"/>
      <c r="I28" s="17"/>
    </row>
    <row r="29" spans="1:9" ht="13.8" x14ac:dyDescent="0.3">
      <c r="A29" s="17"/>
      <c r="B29" s="17"/>
      <c r="C29" s="17"/>
      <c r="D29" s="17"/>
      <c r="E29" s="17"/>
      <c r="F29" s="17"/>
      <c r="G29" s="17"/>
      <c r="H29" s="17"/>
      <c r="I29" s="17"/>
    </row>
    <row r="30" spans="1:9" ht="13.8" x14ac:dyDescent="0.3">
      <c r="A30" s="17"/>
      <c r="B30" s="17"/>
      <c r="C30" s="17"/>
      <c r="D30" s="17"/>
      <c r="E30" s="17"/>
      <c r="F30" s="17"/>
      <c r="G30" s="17"/>
      <c r="H30" s="17"/>
      <c r="I30" s="17"/>
    </row>
    <row r="31" spans="1:9" ht="13.8" x14ac:dyDescent="0.3">
      <c r="A31" s="17"/>
      <c r="B31" s="17"/>
      <c r="C31" s="17"/>
      <c r="D31" s="17"/>
      <c r="E31" s="17"/>
      <c r="F31" s="17"/>
      <c r="G31" s="17"/>
      <c r="H31" s="17"/>
      <c r="I31" s="17"/>
    </row>
    <row r="32" spans="1:9" ht="13.8" x14ac:dyDescent="0.3">
      <c r="B32" s="20"/>
      <c r="C32" s="20"/>
      <c r="D32" s="20"/>
      <c r="E32" s="20"/>
      <c r="F32" s="20"/>
      <c r="G32" s="20"/>
    </row>
    <row r="33" spans="2:7" ht="13.8" x14ac:dyDescent="0.3">
      <c r="B33" s="20"/>
      <c r="C33" s="20"/>
      <c r="D33" s="20"/>
      <c r="E33" s="20"/>
      <c r="F33" s="20"/>
      <c r="G33" s="20"/>
    </row>
  </sheetData>
  <mergeCells count="1">
    <mergeCell ref="A8:I8"/>
  </mergeCells>
  <hyperlinks>
    <hyperlink ref="G12" location="'1_Acceso-Credito'!A1" display="'1_Acceso-Credito'!A1" xr:uid="{8E83723B-458E-4251-B77D-BA7D218A2709}"/>
    <hyperlink ref="G14" location="'2_Tipo-Entidad '!A1" display="'2_Tipo-Entidad '!A1" xr:uid="{BBAB6D98-0A41-43A1-80FD-465F3CB02F59}"/>
    <hyperlink ref="G20" location="'5_Actividad-Deudor '!A1" display="'5_Actividad-Deudor '!A1" xr:uid="{EA276792-C642-4EC9-A327-A4175BACE6CA}"/>
    <hyperlink ref="G22" location="'6_Rango-Saldo'!A1" display="'6_Rango-Saldo'!A1" xr:uid="{E6A53C97-298A-4D67-BF6C-0AC139E51675}"/>
    <hyperlink ref="G18" location="'4_Zona-Dpto'!Área_de_impresión" display="'4_Zona-Dpto'!Área_de_impresión" xr:uid="{6BDC0C58-0C69-423A-9838-45B3E8FBF79F}"/>
    <hyperlink ref="G16" location="'3_Entidad'!Área_de_impresión" display="'3_Entidad'!Área_de_impresión" xr:uid="{0BA7F03D-ACD7-4D66-A635-028B76F16C63}"/>
    <hyperlink ref="G25" location="'7_Cat. Operación'!A1" display="'7_Cat. Operación'!A1" xr:uid="{1652A705-1DB1-4D6F-8F61-6665CF773337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7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1"/>
  <sheetViews>
    <sheetView showGridLines="0" zoomScaleNormal="100" zoomScaleSheetLayoutView="100" workbookViewId="0">
      <selection activeCell="G18" sqref="G18"/>
    </sheetView>
  </sheetViews>
  <sheetFormatPr baseColWidth="10" defaultColWidth="11.44140625" defaultRowHeight="14.4" x14ac:dyDescent="0.3"/>
  <cols>
    <col min="1" max="1" width="1.6640625" style="65" customWidth="1"/>
    <col min="2" max="2" width="20.44140625" style="65" customWidth="1"/>
    <col min="3" max="3" width="20.88671875" style="65" customWidth="1"/>
    <col min="4" max="5" width="28.109375" style="65" customWidth="1"/>
    <col min="6" max="6" width="24.6640625" style="65" customWidth="1"/>
    <col min="7" max="7" width="24.44140625" style="151" customWidth="1"/>
    <col min="8" max="8" width="1.6640625" style="151" customWidth="1"/>
    <col min="9" max="9" width="11.44140625" style="151"/>
    <col min="10" max="16384" width="11.44140625" style="65"/>
  </cols>
  <sheetData>
    <row r="1" spans="1:8" x14ac:dyDescent="0.3">
      <c r="A1" s="61"/>
      <c r="B1" s="144" t="s">
        <v>12</v>
      </c>
      <c r="C1" s="63"/>
      <c r="D1" s="63"/>
      <c r="E1" s="63"/>
      <c r="F1" s="63"/>
    </row>
    <row r="2" spans="1:8" x14ac:dyDescent="0.3">
      <c r="A2" s="61"/>
      <c r="B2" s="62"/>
      <c r="C2" s="63"/>
      <c r="D2" s="63"/>
      <c r="E2" s="63"/>
      <c r="F2" s="63"/>
    </row>
    <row r="3" spans="1:8" x14ac:dyDescent="0.3">
      <c r="A3" s="61"/>
      <c r="B3" s="62"/>
      <c r="C3" s="63"/>
      <c r="D3" s="63"/>
      <c r="E3" s="63"/>
      <c r="F3" s="63"/>
    </row>
    <row r="4" spans="1:8" x14ac:dyDescent="0.3">
      <c r="A4" s="61"/>
      <c r="B4" s="62"/>
      <c r="C4" s="63"/>
      <c r="D4" s="63"/>
      <c r="E4" s="63"/>
      <c r="F4" s="63"/>
    </row>
    <row r="5" spans="1:8" x14ac:dyDescent="0.3">
      <c r="A5" s="61"/>
      <c r="B5" s="62"/>
      <c r="C5" s="63"/>
      <c r="D5" s="63"/>
      <c r="E5" s="63"/>
      <c r="F5" s="63"/>
    </row>
    <row r="6" spans="1:8" x14ac:dyDescent="0.3">
      <c r="A6" s="61"/>
      <c r="B6" s="62"/>
      <c r="C6" s="63"/>
      <c r="D6" s="63"/>
      <c r="E6" s="63"/>
      <c r="F6" s="63"/>
    </row>
    <row r="7" spans="1:8" x14ac:dyDescent="0.3">
      <c r="A7" s="61"/>
      <c r="B7" s="62"/>
      <c r="C7" s="63"/>
      <c r="D7" s="63"/>
      <c r="E7" s="63"/>
      <c r="F7" s="63"/>
    </row>
    <row r="8" spans="1:8" ht="18" x14ac:dyDescent="0.3">
      <c r="A8" s="63"/>
      <c r="B8" s="179" t="s">
        <v>93</v>
      </c>
      <c r="C8" s="179"/>
      <c r="D8" s="179"/>
      <c r="E8" s="179"/>
      <c r="F8" s="179"/>
      <c r="G8" s="179"/>
      <c r="H8" s="179"/>
    </row>
    <row r="9" spans="1:8" x14ac:dyDescent="0.3">
      <c r="A9" s="63"/>
      <c r="B9" s="180">
        <f>+Carátula!B17</f>
        <v>45565</v>
      </c>
      <c r="C9" s="181"/>
      <c r="D9" s="181"/>
      <c r="E9" s="181"/>
      <c r="F9" s="181"/>
      <c r="G9" s="181"/>
      <c r="H9" s="181"/>
    </row>
    <row r="10" spans="1:8" ht="15" thickBot="1" x14ac:dyDescent="0.35">
      <c r="A10" s="63"/>
      <c r="B10" s="66"/>
      <c r="C10" s="67"/>
      <c r="D10" s="67"/>
      <c r="E10" s="67"/>
      <c r="F10" s="67"/>
      <c r="G10" s="152"/>
      <c r="H10" s="152"/>
    </row>
    <row r="11" spans="1:8" x14ac:dyDescent="0.3">
      <c r="A11" s="63"/>
      <c r="B11" s="63"/>
      <c r="C11" s="63"/>
      <c r="D11" s="63"/>
      <c r="E11" s="63"/>
      <c r="F11" s="63"/>
    </row>
    <row r="12" spans="1:8" x14ac:dyDescent="0.3">
      <c r="A12" s="63"/>
      <c r="B12" s="63"/>
      <c r="C12" s="63"/>
      <c r="D12" s="63"/>
      <c r="E12" s="63"/>
      <c r="F12" s="63"/>
    </row>
    <row r="13" spans="1:8" ht="24" customHeight="1" x14ac:dyDescent="0.3">
      <c r="A13" s="63"/>
      <c r="B13" s="63"/>
      <c r="C13" s="70"/>
      <c r="D13" s="178" t="s">
        <v>14</v>
      </c>
      <c r="E13" s="178"/>
      <c r="F13" s="178"/>
      <c r="G13" s="153"/>
      <c r="H13" s="154"/>
    </row>
    <row r="14" spans="1:8" ht="16.2" x14ac:dyDescent="0.3">
      <c r="A14" s="63"/>
      <c r="B14" s="63"/>
      <c r="C14" s="70"/>
      <c r="D14" s="71"/>
      <c r="E14" s="71"/>
      <c r="F14" s="71"/>
      <c r="G14" s="153"/>
    </row>
    <row r="15" spans="1:8" ht="24.6" customHeight="1" x14ac:dyDescent="0.3">
      <c r="A15" s="63"/>
      <c r="B15" s="63"/>
      <c r="C15" s="70" t="s">
        <v>15</v>
      </c>
      <c r="D15" s="72" t="s">
        <v>16</v>
      </c>
      <c r="E15" s="72" t="s">
        <v>17</v>
      </c>
      <c r="F15" s="72" t="s">
        <v>18</v>
      </c>
      <c r="G15" s="153"/>
    </row>
    <row r="16" spans="1:8" ht="16.2" x14ac:dyDescent="0.35">
      <c r="A16" s="63"/>
      <c r="B16" s="63"/>
      <c r="C16" s="73" t="s">
        <v>19</v>
      </c>
      <c r="D16" s="74">
        <f>+F16-E16</f>
        <v>167530</v>
      </c>
      <c r="E16" s="74">
        <v>145264</v>
      </c>
      <c r="F16" s="75">
        <v>312794</v>
      </c>
      <c r="G16" s="155"/>
    </row>
    <row r="17" spans="1:7" ht="16.2" x14ac:dyDescent="0.35">
      <c r="A17" s="63"/>
      <c r="B17" s="63"/>
      <c r="C17" s="73" t="s">
        <v>20</v>
      </c>
      <c r="D17" s="74">
        <f t="shared" ref="D17:D19" si="0">+F17-E17</f>
        <v>10977</v>
      </c>
      <c r="E17" s="74">
        <v>21255</v>
      </c>
      <c r="F17" s="75">
        <v>32232</v>
      </c>
      <c r="G17" s="155"/>
    </row>
    <row r="18" spans="1:7" ht="16.2" x14ac:dyDescent="0.35">
      <c r="A18" s="63"/>
      <c r="B18" s="63"/>
      <c r="C18" s="73" t="s">
        <v>21</v>
      </c>
      <c r="D18" s="74">
        <f t="shared" si="0"/>
        <v>1944</v>
      </c>
      <c r="E18" s="74">
        <v>5896</v>
      </c>
      <c r="F18" s="75">
        <v>7840</v>
      </c>
      <c r="G18" s="155"/>
    </row>
    <row r="19" spans="1:7" ht="16.2" x14ac:dyDescent="0.35">
      <c r="A19" s="63"/>
      <c r="B19" s="63"/>
      <c r="C19" s="73" t="s">
        <v>22</v>
      </c>
      <c r="D19" s="77">
        <f t="shared" si="0"/>
        <v>1447</v>
      </c>
      <c r="E19" s="77">
        <v>5712</v>
      </c>
      <c r="F19" s="78">
        <v>7159</v>
      </c>
      <c r="G19" s="155"/>
    </row>
    <row r="20" spans="1:7" ht="16.2" x14ac:dyDescent="0.35">
      <c r="A20" s="63"/>
      <c r="B20" s="63"/>
      <c r="C20" s="73" t="s">
        <v>23</v>
      </c>
      <c r="D20" s="79">
        <f>+F20-E20</f>
        <v>181898</v>
      </c>
      <c r="E20" s="79">
        <f>SUM(E16:E19)</f>
        <v>178127</v>
      </c>
      <c r="F20" s="79">
        <v>360025</v>
      </c>
      <c r="G20" s="156"/>
    </row>
    <row r="21" spans="1:7" ht="16.2" x14ac:dyDescent="0.35">
      <c r="A21" s="63"/>
      <c r="B21" s="63"/>
      <c r="C21" s="81"/>
      <c r="D21" s="81"/>
      <c r="E21" s="81"/>
      <c r="F21" s="81"/>
      <c r="G21" s="157"/>
    </row>
    <row r="22" spans="1:7" ht="18" x14ac:dyDescent="0.35">
      <c r="A22" s="63"/>
      <c r="B22" s="63"/>
      <c r="C22" s="82" t="s">
        <v>97</v>
      </c>
      <c r="D22" s="81"/>
      <c r="E22" s="81"/>
      <c r="F22" s="81"/>
      <c r="G22" s="157"/>
    </row>
    <row r="23" spans="1:7" x14ac:dyDescent="0.3">
      <c r="A23" s="63"/>
      <c r="B23" s="63"/>
      <c r="C23" s="63"/>
      <c r="D23" s="63"/>
      <c r="E23" s="63"/>
      <c r="F23" s="63"/>
      <c r="G23" s="157"/>
    </row>
    <row r="27" spans="1:7" x14ac:dyDescent="0.3">
      <c r="G27" s="158"/>
    </row>
    <row r="28" spans="1:7" x14ac:dyDescent="0.3">
      <c r="G28" s="158"/>
    </row>
    <row r="29" spans="1:7" x14ac:dyDescent="0.3">
      <c r="G29" s="158"/>
    </row>
    <row r="30" spans="1:7" x14ac:dyDescent="0.3">
      <c r="G30" s="158"/>
    </row>
    <row r="31" spans="1:7" x14ac:dyDescent="0.3">
      <c r="G31" s="158"/>
    </row>
  </sheetData>
  <mergeCells count="3">
    <mergeCell ref="D13:F13"/>
    <mergeCell ref="B8:H8"/>
    <mergeCell ref="B9:H9"/>
  </mergeCells>
  <hyperlinks>
    <hyperlink ref="B1" location="Índice!A1" display="Ir a inicio" xr:uid="{00000000-0004-0000-0100-000000000000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67" orientation="portrait" r:id="rId1"/>
  <headerFooter alignWithMargins="0"/>
  <rowBreaks count="2" manualBreakCount="2">
    <brk id="5" min="1" max="7" man="1"/>
    <brk id="14" min="1" max="7" man="1"/>
  </rowBreaks>
  <colBreaks count="2" manualBreakCount="2">
    <brk id="2" max="46" man="1"/>
    <brk id="6" max="46" man="1"/>
  </col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F4050-EC70-4569-8FA3-26739675FF50}">
  <sheetPr>
    <pageSetUpPr fitToPage="1"/>
  </sheetPr>
  <dimension ref="A1:N42"/>
  <sheetViews>
    <sheetView showGridLines="0" zoomScaleNormal="100" zoomScaleSheetLayoutView="145" workbookViewId="0">
      <selection activeCell="G20" sqref="G20"/>
    </sheetView>
  </sheetViews>
  <sheetFormatPr baseColWidth="10" defaultColWidth="11.44140625" defaultRowHeight="14.4" x14ac:dyDescent="0.3"/>
  <cols>
    <col min="1" max="1" width="1.6640625" style="65" customWidth="1"/>
    <col min="2" max="2" width="36.33203125" style="65" customWidth="1"/>
    <col min="3" max="5" width="15.6640625" style="65" customWidth="1"/>
    <col min="6" max="6" width="4.5546875" style="65" customWidth="1"/>
    <col min="7" max="9" width="13" style="65" customWidth="1"/>
    <col min="10" max="10" width="2.109375" style="65" customWidth="1"/>
    <col min="11" max="16384" width="11.44140625" style="65"/>
  </cols>
  <sheetData>
    <row r="1" spans="1:13" x14ac:dyDescent="0.3">
      <c r="A1" s="83"/>
      <c r="B1" s="144" t="s">
        <v>12</v>
      </c>
      <c r="C1" s="63"/>
      <c r="D1" s="63"/>
      <c r="E1" s="63"/>
      <c r="F1" s="63"/>
      <c r="G1" s="63"/>
      <c r="H1" s="63"/>
      <c r="I1" s="63"/>
      <c r="J1" s="63"/>
    </row>
    <row r="2" spans="1:13" x14ac:dyDescent="0.3">
      <c r="A2" s="84"/>
      <c r="B2" s="83"/>
      <c r="C2" s="63"/>
      <c r="D2" s="63"/>
      <c r="E2" s="63"/>
      <c r="F2" s="63"/>
      <c r="G2" s="64"/>
    </row>
    <row r="3" spans="1:13" x14ac:dyDescent="0.3">
      <c r="A3" s="84"/>
      <c r="B3" s="83"/>
      <c r="C3" s="63"/>
      <c r="D3" s="63"/>
      <c r="E3" s="63"/>
      <c r="F3" s="63"/>
      <c r="G3" s="64"/>
    </row>
    <row r="4" spans="1:13" x14ac:dyDescent="0.3">
      <c r="A4" s="84"/>
      <c r="B4" s="83"/>
      <c r="C4" s="63"/>
      <c r="D4" s="63"/>
      <c r="E4" s="63"/>
      <c r="F4" s="63"/>
      <c r="G4" s="64"/>
    </row>
    <row r="5" spans="1:13" x14ac:dyDescent="0.3">
      <c r="A5" s="84"/>
      <c r="B5" s="83"/>
      <c r="C5" s="63"/>
      <c r="D5" s="63"/>
      <c r="E5" s="63"/>
      <c r="F5" s="63"/>
      <c r="G5" s="64"/>
    </row>
    <row r="6" spans="1:13" x14ac:dyDescent="0.3">
      <c r="A6" s="84"/>
      <c r="B6" s="83"/>
      <c r="C6" s="63"/>
      <c r="D6" s="63"/>
      <c r="E6" s="63"/>
      <c r="F6" s="63"/>
      <c r="G6" s="64"/>
    </row>
    <row r="7" spans="1:13" x14ac:dyDescent="0.3">
      <c r="A7" s="84"/>
      <c r="B7" s="83"/>
      <c r="C7" s="63"/>
      <c r="D7" s="63"/>
      <c r="E7" s="63"/>
      <c r="F7" s="63"/>
      <c r="G7" s="64"/>
    </row>
    <row r="8" spans="1:13" ht="27" x14ac:dyDescent="0.3">
      <c r="A8" s="63"/>
      <c r="B8" s="187" t="s">
        <v>24</v>
      </c>
      <c r="C8" s="187"/>
      <c r="D8" s="187"/>
      <c r="E8" s="187"/>
      <c r="F8" s="187"/>
      <c r="G8" s="187"/>
      <c r="H8" s="187"/>
      <c r="I8" s="187"/>
      <c r="J8" s="187"/>
    </row>
    <row r="9" spans="1:13" x14ac:dyDescent="0.3">
      <c r="A9" s="63"/>
      <c r="B9" s="180">
        <f>+Carátula!B17</f>
        <v>45565</v>
      </c>
      <c r="C9" s="181"/>
      <c r="D9" s="181"/>
      <c r="E9" s="181"/>
      <c r="F9" s="181"/>
      <c r="G9" s="181"/>
      <c r="H9" s="181"/>
      <c r="I9" s="181"/>
      <c r="J9" s="181"/>
    </row>
    <row r="10" spans="1:13" ht="15" thickBot="1" x14ac:dyDescent="0.35">
      <c r="A10" s="63"/>
      <c r="B10" s="86"/>
      <c r="C10" s="67"/>
      <c r="D10" s="67"/>
      <c r="E10" s="67"/>
      <c r="F10" s="67"/>
      <c r="G10" s="68"/>
      <c r="H10" s="69"/>
      <c r="I10" s="69"/>
      <c r="J10" s="69"/>
    </row>
    <row r="11" spans="1:13" x14ac:dyDescent="0.3">
      <c r="A11" s="63"/>
      <c r="B11" s="63"/>
      <c r="C11" s="63"/>
      <c r="D11" s="63"/>
      <c r="E11" s="63"/>
      <c r="F11" s="63"/>
      <c r="G11" s="63"/>
      <c r="H11" s="63"/>
      <c r="I11" s="63"/>
      <c r="J11" s="63"/>
    </row>
    <row r="12" spans="1:13" x14ac:dyDescent="0.3">
      <c r="A12" s="63"/>
      <c r="B12" s="63"/>
      <c r="C12" s="63"/>
      <c r="D12" s="63"/>
      <c r="E12" s="63"/>
      <c r="F12" s="63"/>
      <c r="G12" s="63"/>
      <c r="H12" s="63"/>
      <c r="I12" s="63"/>
      <c r="J12" s="63"/>
    </row>
    <row r="13" spans="1:13" s="93" customFormat="1" ht="32.25" customHeight="1" x14ac:dyDescent="0.35">
      <c r="A13" s="81"/>
      <c r="B13" s="182" t="s">
        <v>98</v>
      </c>
      <c r="C13" s="185" t="s">
        <v>85</v>
      </c>
      <c r="D13" s="186"/>
      <c r="E13" s="186"/>
      <c r="F13" s="81"/>
      <c r="G13" s="184" t="s">
        <v>25</v>
      </c>
      <c r="H13" s="184"/>
      <c r="I13" s="184"/>
      <c r="J13" s="92"/>
    </row>
    <row r="14" spans="1:13" s="93" customFormat="1" ht="16.2" x14ac:dyDescent="0.35">
      <c r="A14" s="81"/>
      <c r="B14" s="183"/>
      <c r="C14" s="94"/>
      <c r="D14" s="94"/>
      <c r="E14" s="94"/>
      <c r="F14" s="81"/>
      <c r="G14" s="94"/>
      <c r="H14" s="94"/>
      <c r="I14" s="94"/>
      <c r="J14" s="94"/>
    </row>
    <row r="15" spans="1:13" s="93" customFormat="1" ht="16.2" x14ac:dyDescent="0.35">
      <c r="A15" s="81"/>
      <c r="B15" s="183"/>
      <c r="C15" s="95" t="s">
        <v>26</v>
      </c>
      <c r="D15" s="95" t="s">
        <v>27</v>
      </c>
      <c r="E15" s="95" t="s">
        <v>18</v>
      </c>
      <c r="F15" s="81"/>
      <c r="G15" s="95" t="s">
        <v>26</v>
      </c>
      <c r="H15" s="95" t="s">
        <v>27</v>
      </c>
      <c r="I15" s="95" t="s">
        <v>18</v>
      </c>
      <c r="J15" s="94"/>
      <c r="M15" s="96"/>
    </row>
    <row r="16" spans="1:13" s="93" customFormat="1" ht="16.2" x14ac:dyDescent="0.35">
      <c r="A16" s="81"/>
      <c r="B16" s="91"/>
      <c r="C16" s="94"/>
      <c r="D16" s="94"/>
      <c r="E16" s="94"/>
      <c r="F16" s="81"/>
      <c r="G16" s="94"/>
      <c r="H16" s="94"/>
      <c r="I16" s="94"/>
      <c r="J16" s="94"/>
      <c r="M16" s="96"/>
    </row>
    <row r="17" spans="1:14" s="93" customFormat="1" ht="16.2" x14ac:dyDescent="0.35">
      <c r="A17" s="81"/>
      <c r="B17" s="73" t="s">
        <v>19</v>
      </c>
      <c r="C17" s="74"/>
      <c r="D17" s="74"/>
      <c r="E17" s="74"/>
      <c r="F17" s="81"/>
      <c r="G17" s="74"/>
      <c r="H17" s="74"/>
      <c r="I17" s="74"/>
      <c r="J17" s="74"/>
    </row>
    <row r="18" spans="1:14" s="93" customFormat="1" ht="16.2" x14ac:dyDescent="0.35">
      <c r="A18" s="81"/>
      <c r="B18" s="98" t="s">
        <v>28</v>
      </c>
      <c r="C18" s="74">
        <v>7725145.0099812998</v>
      </c>
      <c r="D18" s="74">
        <v>3124804.3196321898</v>
      </c>
      <c r="E18" s="74">
        <f>+C18+D18</f>
        <v>10849949.32961349</v>
      </c>
      <c r="F18" s="81"/>
      <c r="G18" s="147">
        <f>349787-34</f>
        <v>349753</v>
      </c>
      <c r="H18" s="147">
        <f>6715-1</f>
        <v>6714</v>
      </c>
      <c r="I18" s="147">
        <f>+G18+H18</f>
        <v>356467</v>
      </c>
      <c r="J18" s="74"/>
    </row>
    <row r="19" spans="1:14" s="93" customFormat="1" ht="16.2" x14ac:dyDescent="0.35">
      <c r="A19" s="81"/>
      <c r="B19" s="98" t="s">
        <v>133</v>
      </c>
      <c r="C19" s="77">
        <v>309256.17048746999</v>
      </c>
      <c r="D19" s="77">
        <v>36230.792458290001</v>
      </c>
      <c r="E19" s="77">
        <f>+C19+D19</f>
        <v>345486.96294575999</v>
      </c>
      <c r="F19" s="81"/>
      <c r="G19" s="148">
        <v>63999</v>
      </c>
      <c r="H19" s="148">
        <v>177</v>
      </c>
      <c r="I19" s="148">
        <f>+G19+H19</f>
        <v>64176</v>
      </c>
      <c r="J19" s="74"/>
    </row>
    <row r="20" spans="1:14" s="93" customFormat="1" ht="16.2" x14ac:dyDescent="0.35">
      <c r="A20" s="81"/>
      <c r="B20" s="73" t="s">
        <v>29</v>
      </c>
      <c r="C20" s="79">
        <f>SUM(C18:C19)</f>
        <v>8034401.1804687697</v>
      </c>
      <c r="D20" s="79">
        <f>SUM(D18:D19)</f>
        <v>3161035.1120904796</v>
      </c>
      <c r="E20" s="79">
        <f t="shared" ref="E20" si="0">+C20+D20</f>
        <v>11195436.292559249</v>
      </c>
      <c r="F20" s="81"/>
      <c r="G20" s="149">
        <f>SUM(G18:G19)</f>
        <v>413752</v>
      </c>
      <c r="H20" s="149">
        <f>SUM(H18:H19)</f>
        <v>6891</v>
      </c>
      <c r="I20" s="149">
        <f>+G20+H20</f>
        <v>420643</v>
      </c>
      <c r="J20" s="79"/>
    </row>
    <row r="21" spans="1:14" s="93" customFormat="1" ht="16.2" x14ac:dyDescent="0.35">
      <c r="A21" s="81"/>
      <c r="B21" s="81"/>
      <c r="C21" s="81"/>
      <c r="D21" s="81"/>
      <c r="E21" s="81"/>
      <c r="F21" s="81"/>
      <c r="G21" s="150"/>
      <c r="H21" s="150"/>
      <c r="I21" s="150"/>
      <c r="J21" s="81"/>
      <c r="N21" s="159"/>
    </row>
    <row r="22" spans="1:14" s="93" customFormat="1" ht="16.2" x14ac:dyDescent="0.35">
      <c r="A22" s="81"/>
      <c r="B22" s="73" t="s">
        <v>20</v>
      </c>
      <c r="C22" s="74"/>
      <c r="D22" s="74"/>
      <c r="E22" s="74"/>
      <c r="F22" s="81"/>
      <c r="G22" s="147"/>
      <c r="H22" s="147"/>
      <c r="I22" s="147"/>
      <c r="J22" s="74"/>
    </row>
    <row r="23" spans="1:14" s="93" customFormat="1" ht="16.2" x14ac:dyDescent="0.35">
      <c r="A23" s="81"/>
      <c r="B23" s="98" t="s">
        <v>28</v>
      </c>
      <c r="C23" s="74">
        <v>4640323.8978963299</v>
      </c>
      <c r="D23" s="74">
        <v>3676348.2707971698</v>
      </c>
      <c r="E23" s="74">
        <f>+C23+D23</f>
        <v>8316672.1686934996</v>
      </c>
      <c r="F23" s="81"/>
      <c r="G23" s="147">
        <f>77339-12</f>
        <v>77327</v>
      </c>
      <c r="H23" s="147">
        <f>9142-2</f>
        <v>9140</v>
      </c>
      <c r="I23" s="147">
        <f t="shared" ref="I23" si="1">+G23+H23</f>
        <v>86467</v>
      </c>
      <c r="J23" s="74"/>
    </row>
    <row r="24" spans="1:14" s="93" customFormat="1" ht="16.2" x14ac:dyDescent="0.35">
      <c r="A24" s="81"/>
      <c r="B24" s="98" t="s">
        <v>133</v>
      </c>
      <c r="C24" s="77">
        <v>169096.73055101998</v>
      </c>
      <c r="D24" s="77">
        <v>39325.52650665</v>
      </c>
      <c r="E24" s="77">
        <f>+C24+D24</f>
        <v>208422.25705766998</v>
      </c>
      <c r="F24" s="81"/>
      <c r="G24" s="148">
        <v>3807</v>
      </c>
      <c r="H24" s="148">
        <v>104</v>
      </c>
      <c r="I24" s="148">
        <f>+G24+H24</f>
        <v>3911</v>
      </c>
      <c r="J24" s="74"/>
    </row>
    <row r="25" spans="1:14" s="93" customFormat="1" ht="16.2" x14ac:dyDescent="0.35">
      <c r="A25" s="81"/>
      <c r="B25" s="73" t="s">
        <v>30</v>
      </c>
      <c r="C25" s="79">
        <f>SUM(C23:C24)</f>
        <v>4809420.6284473501</v>
      </c>
      <c r="D25" s="79">
        <f>SUM(D23:D24)</f>
        <v>3715673.7973038196</v>
      </c>
      <c r="E25" s="79">
        <f>+C25+D25</f>
        <v>8525094.4257511701</v>
      </c>
      <c r="F25" s="81"/>
      <c r="G25" s="149">
        <f>SUM(G23:G24)</f>
        <v>81134</v>
      </c>
      <c r="H25" s="149">
        <f>SUM(H23:H24)</f>
        <v>9244</v>
      </c>
      <c r="I25" s="149">
        <f>+G25+H25</f>
        <v>90378</v>
      </c>
      <c r="J25" s="79"/>
    </row>
    <row r="26" spans="1:14" s="93" customFormat="1" ht="16.2" x14ac:dyDescent="0.35">
      <c r="A26" s="81"/>
      <c r="B26" s="81"/>
      <c r="C26" s="81"/>
      <c r="D26" s="81"/>
      <c r="E26" s="81"/>
      <c r="F26" s="81"/>
      <c r="J26" s="81"/>
    </row>
    <row r="27" spans="1:14" s="93" customFormat="1" ht="16.2" x14ac:dyDescent="0.35">
      <c r="A27" s="81"/>
      <c r="B27" s="73" t="s">
        <v>21</v>
      </c>
      <c r="C27" s="74"/>
      <c r="D27" s="74"/>
      <c r="E27" s="74"/>
      <c r="F27" s="81"/>
      <c r="G27" s="147"/>
      <c r="H27" s="147"/>
      <c r="I27" s="147"/>
      <c r="J27" s="74"/>
    </row>
    <row r="28" spans="1:14" s="93" customFormat="1" ht="16.2" x14ac:dyDescent="0.35">
      <c r="A28" s="81"/>
      <c r="B28" s="98" t="s">
        <v>28</v>
      </c>
      <c r="C28" s="74">
        <v>3457061.62302052</v>
      </c>
      <c r="D28" s="74">
        <v>4121581.8538547498</v>
      </c>
      <c r="E28" s="74">
        <f>+C28+D28</f>
        <v>7578643.4768752698</v>
      </c>
      <c r="F28" s="81"/>
      <c r="G28" s="147">
        <f>35432-2</f>
        <v>35430</v>
      </c>
      <c r="H28" s="147">
        <v>5595</v>
      </c>
      <c r="I28" s="147">
        <f>+G28+H28</f>
        <v>41025</v>
      </c>
      <c r="J28" s="74"/>
    </row>
    <row r="29" spans="1:14" s="93" customFormat="1" ht="16.2" x14ac:dyDescent="0.35">
      <c r="A29" s="81"/>
      <c r="B29" s="98" t="s">
        <v>133</v>
      </c>
      <c r="C29" s="77">
        <v>91483.3199661299</v>
      </c>
      <c r="D29" s="77">
        <v>18056.987397019999</v>
      </c>
      <c r="E29" s="77">
        <f>+C29+D29</f>
        <v>109540.3073631499</v>
      </c>
      <c r="F29" s="81"/>
      <c r="G29" s="148">
        <v>1177</v>
      </c>
      <c r="H29" s="148">
        <v>54</v>
      </c>
      <c r="I29" s="148">
        <f>+G29+H29</f>
        <v>1231</v>
      </c>
      <c r="J29" s="74"/>
    </row>
    <row r="30" spans="1:14" s="93" customFormat="1" ht="16.2" x14ac:dyDescent="0.35">
      <c r="A30" s="81"/>
      <c r="B30" s="73" t="s">
        <v>31</v>
      </c>
      <c r="C30" s="79">
        <f>SUM(C28:C29)</f>
        <v>3548544.9429866499</v>
      </c>
      <c r="D30" s="79">
        <f>SUM(D28:D29)</f>
        <v>4139638.84125177</v>
      </c>
      <c r="E30" s="79">
        <f>+C30+D30</f>
        <v>7688183.7842384204</v>
      </c>
      <c r="F30" s="81"/>
      <c r="G30" s="149">
        <f>SUM(G28:G29)</f>
        <v>36607</v>
      </c>
      <c r="H30" s="149">
        <f>SUM(H28:H29)</f>
        <v>5649</v>
      </c>
      <c r="I30" s="149">
        <f>+G30+H30</f>
        <v>42256</v>
      </c>
      <c r="J30" s="79"/>
    </row>
    <row r="31" spans="1:14" s="93" customFormat="1" ht="16.2" x14ac:dyDescent="0.35">
      <c r="A31" s="81"/>
      <c r="B31" s="81"/>
      <c r="C31" s="81"/>
      <c r="D31" s="81"/>
      <c r="E31" s="81"/>
      <c r="F31" s="81"/>
      <c r="J31" s="81"/>
    </row>
    <row r="32" spans="1:14" s="93" customFormat="1" ht="16.2" x14ac:dyDescent="0.35">
      <c r="A32" s="81"/>
      <c r="B32" s="73" t="s">
        <v>22</v>
      </c>
      <c r="C32" s="74"/>
      <c r="D32" s="74"/>
      <c r="E32" s="74"/>
      <c r="F32" s="81"/>
      <c r="G32" s="147"/>
      <c r="H32" s="147"/>
      <c r="I32" s="147"/>
      <c r="J32" s="74"/>
    </row>
    <row r="33" spans="1:14" s="93" customFormat="1" ht="16.2" x14ac:dyDescent="0.35">
      <c r="A33" s="81"/>
      <c r="B33" s="98" t="s">
        <v>28</v>
      </c>
      <c r="C33" s="74">
        <v>37356455.354046099</v>
      </c>
      <c r="D33" s="74">
        <v>53564760.983617701</v>
      </c>
      <c r="E33" s="74">
        <f>+C33+D33</f>
        <v>90921216.3376638</v>
      </c>
      <c r="F33" s="81"/>
      <c r="G33" s="147">
        <f>103146-1</f>
        <v>103145</v>
      </c>
      <c r="H33" s="147">
        <v>23282</v>
      </c>
      <c r="I33" s="147">
        <f>+G33+H33</f>
        <v>126427</v>
      </c>
      <c r="J33" s="74"/>
    </row>
    <row r="34" spans="1:14" s="93" customFormat="1" ht="16.2" x14ac:dyDescent="0.35">
      <c r="A34" s="81"/>
      <c r="B34" s="98" t="s">
        <v>133</v>
      </c>
      <c r="C34" s="77">
        <v>612962.508732141</v>
      </c>
      <c r="D34" s="77">
        <v>698701.53458635998</v>
      </c>
      <c r="E34" s="77">
        <f>+C34+D34</f>
        <v>1311664.043318501</v>
      </c>
      <c r="F34" s="81"/>
      <c r="G34" s="148">
        <v>1860</v>
      </c>
      <c r="H34" s="148">
        <v>669</v>
      </c>
      <c r="I34" s="148">
        <f t="shared" ref="I34:I35" si="2">+G34+H34</f>
        <v>2529</v>
      </c>
      <c r="J34" s="74"/>
      <c r="L34" s="159"/>
    </row>
    <row r="35" spans="1:14" s="93" customFormat="1" ht="16.2" x14ac:dyDescent="0.35">
      <c r="A35" s="81"/>
      <c r="B35" s="73" t="s">
        <v>32</v>
      </c>
      <c r="C35" s="79">
        <f>SUM(C33:C34)</f>
        <v>37969417.862778239</v>
      </c>
      <c r="D35" s="79">
        <f>SUM(D33:D34)</f>
        <v>54263462.518204063</v>
      </c>
      <c r="E35" s="79">
        <f>+C35+D35</f>
        <v>92232880.38098231</v>
      </c>
      <c r="F35" s="81"/>
      <c r="G35" s="149">
        <f>SUM(G33:G34)</f>
        <v>105005</v>
      </c>
      <c r="H35" s="149">
        <f>SUM(H33:H34)</f>
        <v>23951</v>
      </c>
      <c r="I35" s="149">
        <f t="shared" si="2"/>
        <v>128956</v>
      </c>
      <c r="J35" s="79"/>
    </row>
    <row r="36" spans="1:14" s="93" customFormat="1" ht="16.2" x14ac:dyDescent="0.35">
      <c r="A36" s="81"/>
      <c r="B36" s="81"/>
      <c r="C36" s="81"/>
      <c r="D36" s="81"/>
      <c r="E36" s="81"/>
      <c r="F36" s="81"/>
      <c r="J36" s="81"/>
    </row>
    <row r="37" spans="1:14" s="93" customFormat="1" ht="16.2" x14ac:dyDescent="0.35">
      <c r="A37" s="81"/>
      <c r="B37" s="73" t="s">
        <v>33</v>
      </c>
      <c r="C37" s="74"/>
      <c r="D37" s="74"/>
      <c r="E37" s="74"/>
      <c r="F37" s="81"/>
      <c r="G37" s="147"/>
      <c r="H37" s="147"/>
      <c r="I37" s="147"/>
      <c r="J37" s="74"/>
    </row>
    <row r="38" spans="1:14" s="93" customFormat="1" ht="16.2" x14ac:dyDescent="0.35">
      <c r="A38" s="81"/>
      <c r="B38" s="98" t="s">
        <v>28</v>
      </c>
      <c r="C38" s="74">
        <f>+C18+C23+C28+C33</f>
        <v>53178985.884944245</v>
      </c>
      <c r="D38" s="74">
        <f>+D18+D23+D28+D33</f>
        <v>64487495.427901812</v>
      </c>
      <c r="E38" s="74">
        <f>+C38+D38</f>
        <v>117666481.31284606</v>
      </c>
      <c r="F38" s="81"/>
      <c r="G38" s="74">
        <f>+G18+G23+G28+G33</f>
        <v>565655</v>
      </c>
      <c r="H38" s="74">
        <f>+H18+H23+H28+H33</f>
        <v>44731</v>
      </c>
      <c r="I38" s="147">
        <f>+G38+H38</f>
        <v>610386</v>
      </c>
      <c r="J38" s="74"/>
    </row>
    <row r="39" spans="1:14" s="93" customFormat="1" ht="16.2" x14ac:dyDescent="0.35">
      <c r="A39" s="81"/>
      <c r="B39" s="98" t="s">
        <v>133</v>
      </c>
      <c r="C39" s="77">
        <f>+C19+C24+C29+C34</f>
        <v>1182798.729736761</v>
      </c>
      <c r="D39" s="77">
        <f>+D19+D24+D29+D34</f>
        <v>792314.84094831999</v>
      </c>
      <c r="E39" s="77">
        <f t="shared" ref="E39" si="3">+C39+D39</f>
        <v>1975113.570685081</v>
      </c>
      <c r="F39" s="81"/>
      <c r="G39" s="77">
        <f>+G19+G24+G29+G34</f>
        <v>70843</v>
      </c>
      <c r="H39" s="77">
        <f>+H19+H24+H29+H34</f>
        <v>1004</v>
      </c>
      <c r="I39" s="148">
        <f>+G39+H39</f>
        <v>71847</v>
      </c>
      <c r="J39" s="74"/>
    </row>
    <row r="40" spans="1:14" s="93" customFormat="1" ht="16.2" x14ac:dyDescent="0.35">
      <c r="A40" s="81"/>
      <c r="B40" s="97" t="s">
        <v>23</v>
      </c>
      <c r="C40" s="75">
        <f t="shared" ref="C40:D40" si="4">+C20+C25+C30+C35</f>
        <v>54361784.614681005</v>
      </c>
      <c r="D40" s="75">
        <f t="shared" si="4"/>
        <v>65279810.268850133</v>
      </c>
      <c r="E40" s="75">
        <f>+C40+D40</f>
        <v>119641594.88353114</v>
      </c>
      <c r="F40" s="81"/>
      <c r="G40" s="75">
        <f t="shared" ref="G40" si="5">+G20+G25+G30+G35</f>
        <v>636498</v>
      </c>
      <c r="H40" s="75">
        <f>+H20+H25+H30+H35</f>
        <v>45735</v>
      </c>
      <c r="I40" s="75">
        <f>+G40+H40</f>
        <v>682233</v>
      </c>
      <c r="J40" s="79"/>
    </row>
    <row r="41" spans="1:14" x14ac:dyDescent="0.3">
      <c r="A41" s="63"/>
      <c r="B41" s="63"/>
      <c r="G41" s="63"/>
      <c r="H41" s="63"/>
      <c r="I41" s="90"/>
      <c r="J41" s="63"/>
      <c r="K41" s="63"/>
      <c r="L41" s="63"/>
      <c r="M41" s="63"/>
      <c r="N41" s="63"/>
    </row>
    <row r="42" spans="1:14" x14ac:dyDescent="0.3">
      <c r="A42" s="63"/>
      <c r="B42" s="63"/>
      <c r="G42" s="63"/>
      <c r="H42" s="63"/>
      <c r="I42" s="63"/>
      <c r="J42" s="63"/>
      <c r="K42" s="63"/>
      <c r="L42" s="63"/>
      <c r="M42" s="63"/>
      <c r="N42" s="63"/>
    </row>
  </sheetData>
  <mergeCells count="5">
    <mergeCell ref="B13:B15"/>
    <mergeCell ref="G13:I13"/>
    <mergeCell ref="C13:E13"/>
    <mergeCell ref="B8:J8"/>
    <mergeCell ref="B9:J9"/>
  </mergeCells>
  <hyperlinks>
    <hyperlink ref="B1" location="Índice!A1" display="Ir a inicio" xr:uid="{5CDD29B9-B1E6-4B07-9F2E-DBAF75413907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77" orientation="portrait" r:id="rId1"/>
  <headerFooter alignWithMargins="0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7C9F9-D75D-4138-9D8B-A47C16462764}">
  <dimension ref="A1:AM80"/>
  <sheetViews>
    <sheetView showGridLines="0" zoomScaleNormal="100" zoomScaleSheetLayoutView="115" workbookViewId="0">
      <selection activeCell="H71" sqref="H71"/>
    </sheetView>
  </sheetViews>
  <sheetFormatPr baseColWidth="10" defaultColWidth="11.44140625" defaultRowHeight="14.4" x14ac:dyDescent="0.3"/>
  <cols>
    <col min="1" max="1" width="1.6640625" style="65" customWidth="1"/>
    <col min="2" max="2" width="65.88671875" style="65" customWidth="1"/>
    <col min="3" max="5" width="16.6640625" style="87" customWidth="1"/>
    <col min="6" max="6" width="2.6640625" style="87" customWidth="1"/>
    <col min="7" max="9" width="16.6640625" style="87" customWidth="1"/>
    <col min="10" max="10" width="2.6640625" style="87" customWidth="1"/>
    <col min="11" max="13" width="16.6640625" style="87" customWidth="1"/>
    <col min="14" max="14" width="2.6640625" style="87" customWidth="1"/>
    <col min="15" max="17" width="16.6640625" style="87" customWidth="1"/>
    <col min="18" max="18" width="2.6640625" style="87" customWidth="1"/>
    <col min="19" max="21" width="16.6640625" style="87" customWidth="1"/>
    <col min="22" max="22" width="11.44140625" style="65"/>
    <col min="23" max="23" width="11.44140625" style="87"/>
    <col min="24" max="16384" width="11.44140625" style="65"/>
  </cols>
  <sheetData>
    <row r="1" spans="1:23" x14ac:dyDescent="0.3">
      <c r="A1" s="83"/>
      <c r="B1" s="144" t="s">
        <v>12</v>
      </c>
      <c r="C1" s="99"/>
      <c r="D1" s="99"/>
      <c r="E1" s="99"/>
      <c r="F1" s="99"/>
      <c r="G1" s="99"/>
      <c r="H1" s="99"/>
      <c r="I1" s="99"/>
      <c r="J1" s="99"/>
    </row>
    <row r="2" spans="1:23" x14ac:dyDescent="0.3">
      <c r="A2" s="84"/>
      <c r="B2" s="83"/>
      <c r="C2" s="99"/>
      <c r="D2" s="99"/>
      <c r="E2" s="99"/>
      <c r="F2" s="99"/>
    </row>
    <row r="3" spans="1:23" x14ac:dyDescent="0.3">
      <c r="A3" s="84"/>
      <c r="B3" s="83"/>
      <c r="C3" s="99"/>
      <c r="D3" s="99"/>
      <c r="E3" s="99"/>
      <c r="F3" s="99"/>
    </row>
    <row r="4" spans="1:23" x14ac:dyDescent="0.3">
      <c r="A4" s="84"/>
      <c r="B4" s="83"/>
      <c r="C4" s="99"/>
      <c r="D4" s="99"/>
      <c r="E4" s="99"/>
      <c r="F4" s="99"/>
    </row>
    <row r="5" spans="1:23" x14ac:dyDescent="0.3">
      <c r="A5" s="84"/>
      <c r="B5" s="83"/>
      <c r="C5" s="99"/>
      <c r="D5" s="99"/>
      <c r="E5" s="99"/>
      <c r="F5" s="99"/>
    </row>
    <row r="6" spans="1:23" x14ac:dyDescent="0.3">
      <c r="A6" s="84"/>
      <c r="B6" s="83"/>
      <c r="C6" s="99"/>
      <c r="D6" s="99"/>
      <c r="E6" s="99"/>
      <c r="F6" s="99"/>
    </row>
    <row r="7" spans="1:23" x14ac:dyDescent="0.3">
      <c r="A7" s="84"/>
      <c r="B7" s="83"/>
      <c r="C7" s="99"/>
      <c r="D7" s="99"/>
      <c r="E7" s="99"/>
      <c r="F7" s="99"/>
    </row>
    <row r="8" spans="1:23" ht="27" x14ac:dyDescent="0.3">
      <c r="A8" s="63"/>
      <c r="B8" s="187" t="s">
        <v>99</v>
      </c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</row>
    <row r="9" spans="1:23" x14ac:dyDescent="0.3">
      <c r="A9" s="63"/>
      <c r="B9" s="180">
        <f>+Carátula!B17</f>
        <v>45565</v>
      </c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</row>
    <row r="10" spans="1:23" ht="15" thickBot="1" x14ac:dyDescent="0.35">
      <c r="A10" s="63"/>
      <c r="B10" s="86"/>
      <c r="C10" s="100"/>
      <c r="D10" s="100"/>
      <c r="E10" s="100"/>
      <c r="F10" s="100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</row>
    <row r="11" spans="1:23" x14ac:dyDescent="0.3">
      <c r="A11" s="63"/>
      <c r="B11" s="63"/>
      <c r="C11" s="99"/>
      <c r="D11" s="99"/>
      <c r="E11" s="99"/>
      <c r="F11" s="99"/>
      <c r="G11" s="99"/>
      <c r="H11" s="99"/>
      <c r="I11" s="99"/>
      <c r="J11" s="99"/>
    </row>
    <row r="12" spans="1:23" x14ac:dyDescent="0.3">
      <c r="A12" s="63"/>
      <c r="B12" s="63"/>
      <c r="C12" s="99"/>
      <c r="D12" s="99"/>
      <c r="E12" s="99"/>
      <c r="F12" s="99"/>
      <c r="G12" s="99"/>
      <c r="H12" s="99"/>
      <c r="I12" s="99"/>
      <c r="J12" s="99"/>
    </row>
    <row r="13" spans="1:23" ht="16.2" x14ac:dyDescent="0.35">
      <c r="A13" s="63"/>
      <c r="B13" s="73" t="s">
        <v>35</v>
      </c>
      <c r="C13" s="99"/>
      <c r="D13" s="99"/>
      <c r="E13" s="99"/>
      <c r="F13" s="99"/>
      <c r="G13" s="99"/>
      <c r="H13" s="99"/>
      <c r="I13" s="99"/>
      <c r="J13" s="76"/>
      <c r="R13" s="76"/>
    </row>
    <row r="14" spans="1:23" x14ac:dyDescent="0.3">
      <c r="A14" s="63"/>
      <c r="B14" s="88"/>
      <c r="C14" s="99"/>
      <c r="D14" s="99"/>
      <c r="E14" s="99"/>
      <c r="F14" s="99"/>
      <c r="G14" s="99"/>
      <c r="H14" s="99"/>
      <c r="I14" s="99"/>
      <c r="J14" s="76"/>
      <c r="N14" s="76"/>
      <c r="R14" s="76"/>
    </row>
    <row r="15" spans="1:23" s="105" customFormat="1" ht="24" customHeight="1" x14ac:dyDescent="0.3">
      <c r="A15" s="85"/>
      <c r="B15" s="189"/>
      <c r="C15" s="190" t="s">
        <v>19</v>
      </c>
      <c r="D15" s="188"/>
      <c r="E15" s="188"/>
      <c r="F15" s="102"/>
      <c r="G15" s="188" t="s">
        <v>20</v>
      </c>
      <c r="H15" s="188"/>
      <c r="I15" s="188"/>
      <c r="J15" s="103"/>
      <c r="K15" s="190" t="s">
        <v>21</v>
      </c>
      <c r="L15" s="188"/>
      <c r="M15" s="188"/>
      <c r="N15" s="104"/>
      <c r="O15" s="188" t="s">
        <v>22</v>
      </c>
      <c r="P15" s="188"/>
      <c r="Q15" s="188"/>
      <c r="R15" s="103"/>
      <c r="S15" s="188" t="s">
        <v>33</v>
      </c>
      <c r="T15" s="188"/>
      <c r="U15" s="188"/>
      <c r="W15" s="141"/>
    </row>
    <row r="16" spans="1:23" x14ac:dyDescent="0.3">
      <c r="A16" s="63"/>
      <c r="B16" s="189"/>
      <c r="C16" s="106"/>
      <c r="D16" s="106"/>
      <c r="E16" s="106"/>
      <c r="F16" s="99"/>
      <c r="G16" s="106"/>
      <c r="H16" s="106"/>
      <c r="I16" s="106"/>
      <c r="J16" s="107"/>
      <c r="K16" s="106"/>
      <c r="L16" s="106"/>
      <c r="M16" s="106"/>
      <c r="N16" s="107"/>
      <c r="O16" s="106"/>
      <c r="P16" s="106"/>
      <c r="Q16" s="106"/>
      <c r="R16" s="107"/>
      <c r="S16" s="106"/>
      <c r="T16" s="106"/>
      <c r="U16" s="106"/>
    </row>
    <row r="17" spans="1:24" x14ac:dyDescent="0.3">
      <c r="A17" s="63"/>
      <c r="B17" s="189"/>
      <c r="C17" s="108" t="s">
        <v>26</v>
      </c>
      <c r="D17" s="108" t="s">
        <v>27</v>
      </c>
      <c r="E17" s="108" t="s">
        <v>18</v>
      </c>
      <c r="F17" s="99"/>
      <c r="G17" s="108" t="s">
        <v>26</v>
      </c>
      <c r="H17" s="108" t="s">
        <v>27</v>
      </c>
      <c r="I17" s="108" t="s">
        <v>18</v>
      </c>
      <c r="J17" s="107"/>
      <c r="K17" s="108" t="s">
        <v>26</v>
      </c>
      <c r="L17" s="108" t="s">
        <v>27</v>
      </c>
      <c r="M17" s="108" t="s">
        <v>18</v>
      </c>
      <c r="N17" s="107"/>
      <c r="O17" s="108" t="s">
        <v>26</v>
      </c>
      <c r="P17" s="108" t="s">
        <v>27</v>
      </c>
      <c r="Q17" s="108" t="s">
        <v>18</v>
      </c>
      <c r="R17" s="107"/>
      <c r="S17" s="108" t="s">
        <v>26</v>
      </c>
      <c r="T17" s="108" t="s">
        <v>27</v>
      </c>
      <c r="U17" s="108" t="s">
        <v>18</v>
      </c>
    </row>
    <row r="18" spans="1:24" x14ac:dyDescent="0.3">
      <c r="A18" s="63"/>
      <c r="C18" s="76"/>
      <c r="D18" s="76"/>
      <c r="E18" s="76"/>
      <c r="F18" s="99"/>
      <c r="G18" s="76"/>
      <c r="H18" s="76"/>
      <c r="I18" s="76"/>
      <c r="J18" s="76"/>
      <c r="K18" s="76"/>
      <c r="L18" s="76"/>
      <c r="M18" s="76"/>
      <c r="N18" s="107"/>
      <c r="O18" s="76"/>
      <c r="P18" s="76"/>
      <c r="Q18" s="76"/>
      <c r="R18" s="76"/>
      <c r="S18" s="76"/>
      <c r="T18" s="76"/>
      <c r="U18" s="76"/>
    </row>
    <row r="19" spans="1:24" s="114" customFormat="1" x14ac:dyDescent="0.3">
      <c r="A19" s="88"/>
      <c r="B19" s="114" t="s">
        <v>119</v>
      </c>
      <c r="C19" s="80">
        <f>+SUM(C20:C36)</f>
        <v>7725145.0099812988</v>
      </c>
      <c r="D19" s="80">
        <f>+SUM(D20:D36)</f>
        <v>3124804.3196321898</v>
      </c>
      <c r="E19" s="80">
        <f>+SUM(E20:E36)</f>
        <v>10849949.329613488</v>
      </c>
      <c r="F19" s="140"/>
      <c r="G19" s="80">
        <f>+SUM(G20:G36)</f>
        <v>4640323.8978963289</v>
      </c>
      <c r="H19" s="80">
        <f>+SUM(H20:H36)</f>
        <v>3676348.2707971698</v>
      </c>
      <c r="I19" s="80">
        <f>+SUM(I20:I36)</f>
        <v>8316672.1686935006</v>
      </c>
      <c r="J19" s="80"/>
      <c r="K19" s="80">
        <f>+SUM(K20:K36)</f>
        <v>3457061.6230205204</v>
      </c>
      <c r="L19" s="80">
        <f>+SUM(L20:L36)</f>
        <v>4121581.8538547498</v>
      </c>
      <c r="M19" s="80">
        <f>+SUM(M20:M36)</f>
        <v>7578643.4768752716</v>
      </c>
      <c r="N19" s="107"/>
      <c r="O19" s="80">
        <f>+SUM(O20:O36)</f>
        <v>37356455.354046062</v>
      </c>
      <c r="P19" s="80">
        <f>+SUM(P20:P36)</f>
        <v>53564760.983617678</v>
      </c>
      <c r="Q19" s="80">
        <f>+SUM(Q20:Q36)</f>
        <v>90921216.337663755</v>
      </c>
      <c r="R19" s="80"/>
      <c r="S19" s="139">
        <f>+C19+G19+K19+O19</f>
        <v>53178985.884944208</v>
      </c>
      <c r="T19" s="139">
        <f>+D19+H19+L19+P19</f>
        <v>64487495.42790179</v>
      </c>
      <c r="U19" s="139">
        <f>+S19+T19</f>
        <v>117666481.312846</v>
      </c>
      <c r="W19" s="115"/>
    </row>
    <row r="20" spans="1:24" x14ac:dyDescent="0.3">
      <c r="A20" s="63"/>
      <c r="B20" s="137" t="s">
        <v>104</v>
      </c>
      <c r="C20" s="76">
        <v>1418847.2020759999</v>
      </c>
      <c r="D20" s="76">
        <v>139200.08927600001</v>
      </c>
      <c r="E20" s="76">
        <f>+D20+C20</f>
        <v>1558047.2913519999</v>
      </c>
      <c r="F20" s="99"/>
      <c r="G20" s="76">
        <v>757913.595111</v>
      </c>
      <c r="H20" s="76">
        <v>620438.42067200004</v>
      </c>
      <c r="I20" s="76">
        <f>+H20+G20</f>
        <v>1378352.015783</v>
      </c>
      <c r="J20" s="99"/>
      <c r="K20" s="76">
        <v>390932.20329600002</v>
      </c>
      <c r="L20" s="76">
        <v>524516.51371500001</v>
      </c>
      <c r="M20" s="76">
        <f>+L20+K20</f>
        <v>915448.71701100003</v>
      </c>
      <c r="N20" s="99"/>
      <c r="O20" s="76">
        <v>1657727.8756659999</v>
      </c>
      <c r="P20" s="76">
        <v>1673649.9242809999</v>
      </c>
      <c r="Q20" s="76">
        <f>+P20+O20</f>
        <v>3331377.7999470001</v>
      </c>
      <c r="R20" s="76"/>
      <c r="S20" s="109">
        <f>+C20+G20+K20+O20</f>
        <v>4225420.8761490006</v>
      </c>
      <c r="T20" s="109">
        <f>+D20+H20+L20+P20</f>
        <v>2957804.9479440004</v>
      </c>
      <c r="U20" s="109">
        <f>+S20+T20</f>
        <v>7183225.824093001</v>
      </c>
      <c r="X20" s="136"/>
    </row>
    <row r="21" spans="1:24" x14ac:dyDescent="0.3">
      <c r="B21" s="138" t="s">
        <v>117</v>
      </c>
      <c r="C21" s="87">
        <v>18927.286574999998</v>
      </c>
      <c r="D21" s="87">
        <v>12219.932369</v>
      </c>
      <c r="E21" s="76">
        <f t="shared" ref="E21:E33" si="0">+D21+C21</f>
        <v>31147.218944</v>
      </c>
      <c r="G21" s="87">
        <v>21946.097994</v>
      </c>
      <c r="H21" s="87">
        <v>32213.504446999999</v>
      </c>
      <c r="I21" s="76">
        <f t="shared" ref="I21:I33" si="1">+H21+G21</f>
        <v>54159.602440999995</v>
      </c>
      <c r="K21" s="87">
        <v>18876.985798999998</v>
      </c>
      <c r="L21" s="87">
        <v>35046.339481000003</v>
      </c>
      <c r="M21" s="76">
        <f t="shared" ref="M21:M33" si="2">+L21+K21</f>
        <v>53923.325280000005</v>
      </c>
      <c r="O21" s="87">
        <v>57981.186188</v>
      </c>
      <c r="P21" s="87">
        <v>116949.710185</v>
      </c>
      <c r="Q21" s="76">
        <f t="shared" ref="Q21:Q33" si="3">+P21+O21</f>
        <v>174930.896373</v>
      </c>
      <c r="S21" s="109">
        <f t="shared" ref="S21:S42" si="4">+C21+G21+K21+O21</f>
        <v>117731.556556</v>
      </c>
      <c r="T21" s="109">
        <f t="shared" ref="T21:T42" si="5">+D21+H21+L21+P21</f>
        <v>196429.48648200001</v>
      </c>
      <c r="U21" s="109">
        <f t="shared" ref="U21:U42" si="6">+S21+T21</f>
        <v>314161.043038</v>
      </c>
      <c r="X21" s="136"/>
    </row>
    <row r="22" spans="1:24" x14ac:dyDescent="0.3">
      <c r="B22" s="138" t="s">
        <v>115</v>
      </c>
      <c r="C22" s="87">
        <v>371705.56356799998</v>
      </c>
      <c r="D22" s="87">
        <v>86444.646275999999</v>
      </c>
      <c r="E22" s="76">
        <f t="shared" si="0"/>
        <v>458150.209844</v>
      </c>
      <c r="G22" s="87">
        <v>204371.011834</v>
      </c>
      <c r="H22" s="87">
        <v>120173.83308700001</v>
      </c>
      <c r="I22" s="76">
        <f t="shared" si="1"/>
        <v>324544.84492100001</v>
      </c>
      <c r="K22" s="87">
        <v>248821.857758</v>
      </c>
      <c r="L22" s="87">
        <v>247348.40423499999</v>
      </c>
      <c r="M22" s="76">
        <f t="shared" si="2"/>
        <v>496170.26199299999</v>
      </c>
      <c r="O22" s="87">
        <v>5492762.4485339997</v>
      </c>
      <c r="P22" s="87">
        <v>8207636.9331210004</v>
      </c>
      <c r="Q22" s="76">
        <f t="shared" si="3"/>
        <v>13700399.381655</v>
      </c>
      <c r="S22" s="109">
        <f t="shared" si="4"/>
        <v>6317660.8816940002</v>
      </c>
      <c r="T22" s="109">
        <f t="shared" si="5"/>
        <v>8661603.8167190012</v>
      </c>
      <c r="U22" s="109">
        <f t="shared" si="6"/>
        <v>14979264.698413001</v>
      </c>
      <c r="X22" s="136"/>
    </row>
    <row r="23" spans="1:24" x14ac:dyDescent="0.3">
      <c r="B23" s="138" t="s">
        <v>116</v>
      </c>
      <c r="C23" s="87">
        <v>0</v>
      </c>
      <c r="D23" s="87">
        <v>273.19395600000001</v>
      </c>
      <c r="E23" s="76">
        <f t="shared" si="0"/>
        <v>273.19395600000001</v>
      </c>
      <c r="G23" s="87">
        <v>0</v>
      </c>
      <c r="H23" s="87">
        <v>21802.399120999999</v>
      </c>
      <c r="I23" s="76">
        <f t="shared" si="1"/>
        <v>21802.399120999999</v>
      </c>
      <c r="K23" s="87">
        <v>0</v>
      </c>
      <c r="L23" s="87">
        <v>1278.398465</v>
      </c>
      <c r="M23" s="76">
        <f t="shared" si="2"/>
        <v>1278.398465</v>
      </c>
      <c r="O23" s="87">
        <v>106685.312425</v>
      </c>
      <c r="P23" s="87">
        <v>591241.97093199997</v>
      </c>
      <c r="Q23" s="76">
        <f t="shared" si="3"/>
        <v>697927.28335699998</v>
      </c>
      <c r="S23" s="109">
        <f t="shared" si="4"/>
        <v>106685.312425</v>
      </c>
      <c r="T23" s="109">
        <f t="shared" si="5"/>
        <v>614595.96247399994</v>
      </c>
      <c r="U23" s="109">
        <f t="shared" si="6"/>
        <v>721281.27489899995</v>
      </c>
      <c r="X23" s="136"/>
    </row>
    <row r="24" spans="1:24" x14ac:dyDescent="0.3">
      <c r="B24" s="138" t="s">
        <v>118</v>
      </c>
      <c r="C24" s="87">
        <v>0</v>
      </c>
      <c r="D24" s="87">
        <v>0</v>
      </c>
      <c r="E24" s="76">
        <f t="shared" si="0"/>
        <v>0</v>
      </c>
      <c r="G24" s="87">
        <v>0</v>
      </c>
      <c r="H24" s="87">
        <v>2.48249809</v>
      </c>
      <c r="I24" s="76">
        <f t="shared" si="1"/>
        <v>2.48249809</v>
      </c>
      <c r="K24" s="87">
        <v>8.4933690000000006E-2</v>
      </c>
      <c r="L24" s="87">
        <v>0</v>
      </c>
      <c r="M24" s="76">
        <f t="shared" si="2"/>
        <v>8.4933690000000006E-2</v>
      </c>
      <c r="O24" s="87">
        <v>243222.47779855999</v>
      </c>
      <c r="P24" s="87">
        <v>155815.19391184</v>
      </c>
      <c r="Q24" s="76">
        <f t="shared" si="3"/>
        <v>399037.67171040003</v>
      </c>
      <c r="S24" s="109">
        <f t="shared" si="4"/>
        <v>243222.56273224999</v>
      </c>
      <c r="T24" s="109">
        <f t="shared" si="5"/>
        <v>155817.67640992999</v>
      </c>
      <c r="U24" s="109">
        <f t="shared" si="6"/>
        <v>399040.23914217995</v>
      </c>
      <c r="X24" s="136"/>
    </row>
    <row r="25" spans="1:24" x14ac:dyDescent="0.3">
      <c r="B25" s="138" t="s">
        <v>114</v>
      </c>
      <c r="C25" s="87">
        <v>813361.36260450003</v>
      </c>
      <c r="D25" s="87">
        <v>786236.60940299998</v>
      </c>
      <c r="E25" s="76">
        <f t="shared" si="0"/>
        <v>1599597.9720075</v>
      </c>
      <c r="G25" s="87">
        <v>603171.95656099997</v>
      </c>
      <c r="H25" s="87">
        <v>624779.71863899997</v>
      </c>
      <c r="I25" s="76">
        <f t="shared" si="1"/>
        <v>1227951.6751999999</v>
      </c>
      <c r="K25" s="87">
        <v>516523.62562900002</v>
      </c>
      <c r="L25" s="87">
        <v>744062.66560900002</v>
      </c>
      <c r="M25" s="76">
        <f t="shared" si="2"/>
        <v>1260586.2912380002</v>
      </c>
      <c r="O25" s="87">
        <v>5996411.9163640002</v>
      </c>
      <c r="P25" s="87">
        <v>14469540.364244999</v>
      </c>
      <c r="Q25" s="76">
        <f t="shared" si="3"/>
        <v>20465952.280609</v>
      </c>
      <c r="S25" s="109">
        <f t="shared" si="4"/>
        <v>7929468.8611584995</v>
      </c>
      <c r="T25" s="109">
        <f t="shared" si="5"/>
        <v>16624619.357896</v>
      </c>
      <c r="U25" s="109">
        <f t="shared" si="6"/>
        <v>24554088.219054498</v>
      </c>
      <c r="X25" s="136"/>
    </row>
    <row r="26" spans="1:24" x14ac:dyDescent="0.3">
      <c r="B26" s="138" t="s">
        <v>113</v>
      </c>
      <c r="C26" s="87">
        <v>1014713.0020560001</v>
      </c>
      <c r="D26" s="87">
        <v>266418.81715700001</v>
      </c>
      <c r="E26" s="76">
        <f t="shared" si="0"/>
        <v>1281131.8192130001</v>
      </c>
      <c r="G26" s="87">
        <v>389070.713154</v>
      </c>
      <c r="H26" s="87">
        <v>177729.53940099999</v>
      </c>
      <c r="I26" s="76">
        <f t="shared" si="1"/>
        <v>566800.25255500001</v>
      </c>
      <c r="K26" s="87">
        <v>267131.45227900002</v>
      </c>
      <c r="L26" s="87">
        <v>461544.62951699999</v>
      </c>
      <c r="M26" s="76">
        <f t="shared" si="2"/>
        <v>728676.08179600001</v>
      </c>
      <c r="O26" s="87">
        <v>4876349.7734820005</v>
      </c>
      <c r="P26" s="87">
        <v>7167523.9667710001</v>
      </c>
      <c r="Q26" s="76">
        <f t="shared" si="3"/>
        <v>12043873.740253001</v>
      </c>
      <c r="S26" s="109">
        <f t="shared" si="4"/>
        <v>6547264.9409710001</v>
      </c>
      <c r="T26" s="109">
        <f t="shared" si="5"/>
        <v>8073216.952846</v>
      </c>
      <c r="U26" s="109">
        <f t="shared" si="6"/>
        <v>14620481.893817</v>
      </c>
      <c r="X26" s="136"/>
    </row>
    <row r="27" spans="1:24" x14ac:dyDescent="0.3">
      <c r="B27" s="138" t="s">
        <v>107</v>
      </c>
      <c r="C27" s="87">
        <v>1061160.682421</v>
      </c>
      <c r="D27" s="87">
        <v>543398.44793307001</v>
      </c>
      <c r="E27" s="76">
        <f t="shared" si="0"/>
        <v>1604559.1303540701</v>
      </c>
      <c r="G27" s="87">
        <v>487270.15332400001</v>
      </c>
      <c r="H27" s="87">
        <v>624571.67289453</v>
      </c>
      <c r="I27" s="76">
        <f t="shared" si="1"/>
        <v>1111841.8262185301</v>
      </c>
      <c r="K27" s="87">
        <v>487274.011183</v>
      </c>
      <c r="L27" s="87">
        <v>772979.57440825005</v>
      </c>
      <c r="M27" s="76">
        <f t="shared" si="2"/>
        <v>1260253.5855912501</v>
      </c>
      <c r="O27" s="87">
        <v>8354858.4344683401</v>
      </c>
      <c r="P27" s="87">
        <v>8564670.0777571108</v>
      </c>
      <c r="Q27" s="76">
        <f t="shared" si="3"/>
        <v>16919528.512225449</v>
      </c>
      <c r="S27" s="109">
        <f t="shared" si="4"/>
        <v>10390563.281396341</v>
      </c>
      <c r="T27" s="109">
        <f t="shared" si="5"/>
        <v>10505619.772992961</v>
      </c>
      <c r="U27" s="109">
        <f t="shared" si="6"/>
        <v>20896183.054389302</v>
      </c>
      <c r="X27" s="136"/>
    </row>
    <row r="28" spans="1:24" x14ac:dyDescent="0.3">
      <c r="B28" s="138" t="s">
        <v>106</v>
      </c>
      <c r="C28" s="87">
        <v>354577.51128600002</v>
      </c>
      <c r="D28" s="87">
        <v>276997.56606300001</v>
      </c>
      <c r="E28" s="76">
        <f t="shared" si="0"/>
        <v>631575.07734900003</v>
      </c>
      <c r="G28" s="87">
        <v>260840.14874100001</v>
      </c>
      <c r="H28" s="87">
        <v>110819.91093100001</v>
      </c>
      <c r="I28" s="76">
        <f t="shared" si="1"/>
        <v>371660.059672</v>
      </c>
      <c r="K28" s="87">
        <v>240948.215222</v>
      </c>
      <c r="L28" s="87">
        <v>50300.690883000003</v>
      </c>
      <c r="M28" s="76">
        <f t="shared" si="2"/>
        <v>291248.906105</v>
      </c>
      <c r="O28" s="87">
        <v>2523858.923676</v>
      </c>
      <c r="P28" s="87">
        <v>2776637.5080313198</v>
      </c>
      <c r="Q28" s="76">
        <f t="shared" si="3"/>
        <v>5300496.4317073198</v>
      </c>
      <c r="S28" s="109">
        <f t="shared" si="4"/>
        <v>3380224.7989250002</v>
      </c>
      <c r="T28" s="109">
        <f t="shared" si="5"/>
        <v>3214755.6759083197</v>
      </c>
      <c r="U28" s="109">
        <f t="shared" si="6"/>
        <v>6594980.4748333199</v>
      </c>
      <c r="X28" s="136"/>
    </row>
    <row r="29" spans="1:24" x14ac:dyDescent="0.3">
      <c r="B29" s="138" t="s">
        <v>108</v>
      </c>
      <c r="C29" s="87">
        <v>149770.249167</v>
      </c>
      <c r="D29" s="87">
        <v>88326.064341999998</v>
      </c>
      <c r="E29" s="76">
        <f t="shared" si="0"/>
        <v>238096.313509</v>
      </c>
      <c r="G29" s="87">
        <v>215360.65754499999</v>
      </c>
      <c r="H29" s="87">
        <v>171829.714473</v>
      </c>
      <c r="I29" s="76">
        <f t="shared" si="1"/>
        <v>387190.37201799999</v>
      </c>
      <c r="K29" s="87">
        <v>242169.829898</v>
      </c>
      <c r="L29" s="87">
        <v>176059.07555800001</v>
      </c>
      <c r="M29" s="76">
        <f t="shared" si="2"/>
        <v>418228.90545600001</v>
      </c>
      <c r="O29" s="87">
        <v>994289.63642400003</v>
      </c>
      <c r="P29" s="87">
        <v>1565982.638577</v>
      </c>
      <c r="Q29" s="76">
        <f t="shared" si="3"/>
        <v>2560272.2750010001</v>
      </c>
      <c r="S29" s="109">
        <f t="shared" si="4"/>
        <v>1601590.3730339999</v>
      </c>
      <c r="T29" s="109">
        <f t="shared" si="5"/>
        <v>2002197.4929499999</v>
      </c>
      <c r="U29" s="109">
        <f t="shared" si="6"/>
        <v>3603787.8659839998</v>
      </c>
      <c r="X29" s="136"/>
    </row>
    <row r="30" spans="1:24" x14ac:dyDescent="0.3">
      <c r="B30" s="138" t="s">
        <v>109</v>
      </c>
      <c r="C30" s="87">
        <v>678934.78642699996</v>
      </c>
      <c r="D30" s="87">
        <v>55887.640573999997</v>
      </c>
      <c r="E30" s="76">
        <f t="shared" si="0"/>
        <v>734822.42700099992</v>
      </c>
      <c r="G30" s="87">
        <v>354192.81302</v>
      </c>
      <c r="H30" s="87">
        <v>144877.390946</v>
      </c>
      <c r="I30" s="76">
        <f t="shared" si="1"/>
        <v>499070.203966</v>
      </c>
      <c r="K30" s="87">
        <v>171251.02744100001</v>
      </c>
      <c r="L30" s="87">
        <v>75150.204545000001</v>
      </c>
      <c r="M30" s="76">
        <f t="shared" si="2"/>
        <v>246401.23198600003</v>
      </c>
      <c r="O30" s="87">
        <v>1593218.9128940001</v>
      </c>
      <c r="P30" s="87">
        <v>1089631.31886</v>
      </c>
      <c r="Q30" s="76">
        <f t="shared" si="3"/>
        <v>2682850.2317540003</v>
      </c>
      <c r="S30" s="109">
        <f t="shared" si="4"/>
        <v>2797597.5397819998</v>
      </c>
      <c r="T30" s="109">
        <f t="shared" si="5"/>
        <v>1365546.5549250001</v>
      </c>
      <c r="U30" s="109">
        <f t="shared" si="6"/>
        <v>4163144.0947070001</v>
      </c>
      <c r="X30" s="136"/>
    </row>
    <row r="31" spans="1:24" x14ac:dyDescent="0.3">
      <c r="B31" s="138" t="s">
        <v>110</v>
      </c>
      <c r="C31" s="87">
        <v>421378.74540399999</v>
      </c>
      <c r="D31" s="87">
        <v>207911.82741900001</v>
      </c>
      <c r="E31" s="76">
        <f t="shared" si="0"/>
        <v>629290.57282300002</v>
      </c>
      <c r="G31" s="87">
        <v>290754.42500749999</v>
      </c>
      <c r="H31" s="87">
        <v>253856.56702300001</v>
      </c>
      <c r="I31" s="76">
        <f t="shared" si="1"/>
        <v>544610.99203049997</v>
      </c>
      <c r="K31" s="87">
        <v>181024.76402999999</v>
      </c>
      <c r="L31" s="87">
        <v>375102.43763499998</v>
      </c>
      <c r="M31" s="76">
        <f t="shared" si="2"/>
        <v>556127.20166499994</v>
      </c>
      <c r="O31" s="87">
        <v>1606364.3633999999</v>
      </c>
      <c r="P31" s="87">
        <v>2580538.3589610001</v>
      </c>
      <c r="Q31" s="76">
        <f t="shared" si="3"/>
        <v>4186902.7223610003</v>
      </c>
      <c r="S31" s="109">
        <f t="shared" si="4"/>
        <v>2499522.2978414996</v>
      </c>
      <c r="T31" s="109">
        <f t="shared" si="5"/>
        <v>3417409.1910380004</v>
      </c>
      <c r="U31" s="109">
        <f t="shared" si="6"/>
        <v>5916931.4888795</v>
      </c>
      <c r="X31" s="136"/>
    </row>
    <row r="32" spans="1:24" x14ac:dyDescent="0.3">
      <c r="B32" s="138" t="s">
        <v>111</v>
      </c>
      <c r="C32" s="87">
        <v>139646.247508</v>
      </c>
      <c r="D32" s="87">
        <v>80486.917967999994</v>
      </c>
      <c r="E32" s="76">
        <f t="shared" si="0"/>
        <v>220133.16547599999</v>
      </c>
      <c r="G32" s="87">
        <v>152136.980553</v>
      </c>
      <c r="H32" s="87">
        <v>229354.57040500001</v>
      </c>
      <c r="I32" s="76">
        <f t="shared" si="1"/>
        <v>381491.55095800001</v>
      </c>
      <c r="K32" s="87">
        <v>159540.799184</v>
      </c>
      <c r="L32" s="87">
        <v>284082.680276</v>
      </c>
      <c r="M32" s="76">
        <f t="shared" si="2"/>
        <v>443623.47946</v>
      </c>
      <c r="O32" s="87">
        <v>1472105.038981</v>
      </c>
      <c r="P32" s="87">
        <v>1575773.88579</v>
      </c>
      <c r="Q32" s="76">
        <f t="shared" si="3"/>
        <v>3047878.9247709997</v>
      </c>
      <c r="S32" s="109">
        <f t="shared" si="4"/>
        <v>1923429.066226</v>
      </c>
      <c r="T32" s="109">
        <f t="shared" si="5"/>
        <v>2169698.0544389999</v>
      </c>
      <c r="U32" s="109">
        <f t="shared" si="6"/>
        <v>4093127.1206649998</v>
      </c>
      <c r="X32" s="136"/>
    </row>
    <row r="33" spans="1:39" x14ac:dyDescent="0.3">
      <c r="B33" s="138" t="s">
        <v>112</v>
      </c>
      <c r="C33" s="87">
        <v>88825.575645000004</v>
      </c>
      <c r="D33" s="87">
        <v>86112.221986000004</v>
      </c>
      <c r="E33" s="76">
        <f t="shared" si="0"/>
        <v>174937.79763099999</v>
      </c>
      <c r="G33" s="87">
        <v>136060.80783199999</v>
      </c>
      <c r="H33" s="87">
        <v>78408.670864999993</v>
      </c>
      <c r="I33" s="76">
        <f t="shared" si="1"/>
        <v>214469.47869699998</v>
      </c>
      <c r="K33" s="87">
        <v>96853.852406000005</v>
      </c>
      <c r="L33" s="87">
        <v>74360.536485880002</v>
      </c>
      <c r="M33" s="76">
        <f t="shared" si="2"/>
        <v>171214.38889187999</v>
      </c>
      <c r="O33" s="87">
        <v>824397.08218899998</v>
      </c>
      <c r="P33" s="87">
        <v>680336.56678518001</v>
      </c>
      <c r="Q33" s="76">
        <f t="shared" si="3"/>
        <v>1504733.64897418</v>
      </c>
      <c r="S33" s="109">
        <f t="shared" si="4"/>
        <v>1146137.3180720001</v>
      </c>
      <c r="T33" s="109">
        <f t="shared" si="5"/>
        <v>919217.99612205999</v>
      </c>
      <c r="U33" s="109">
        <f t="shared" si="6"/>
        <v>2065355.3141940599</v>
      </c>
      <c r="X33" s="136"/>
    </row>
    <row r="34" spans="1:39" x14ac:dyDescent="0.3">
      <c r="B34" s="138" t="s">
        <v>105</v>
      </c>
      <c r="C34" s="87">
        <v>111671.560832</v>
      </c>
      <c r="D34" s="87">
        <v>13408.676310999999</v>
      </c>
      <c r="E34" s="76">
        <f t="shared" ref="E34:E36" si="7">+D34+C34</f>
        <v>125080.23714300001</v>
      </c>
      <c r="G34" s="87">
        <v>41307.940420999999</v>
      </c>
      <c r="H34" s="87">
        <v>4168.2788570000002</v>
      </c>
      <c r="I34" s="76">
        <f>+H34+G34</f>
        <v>45476.219277999997</v>
      </c>
      <c r="K34" s="87">
        <v>35655.009710999999</v>
      </c>
      <c r="L34" s="87">
        <v>9779.1248880000003</v>
      </c>
      <c r="M34" s="76">
        <f>+L34+K34</f>
        <v>45434.134598999997</v>
      </c>
      <c r="O34" s="87">
        <v>457948.03626199998</v>
      </c>
      <c r="P34" s="87">
        <v>389129.425774</v>
      </c>
      <c r="Q34" s="76">
        <f>+P34+O34</f>
        <v>847077.46203599998</v>
      </c>
      <c r="S34" s="109">
        <f>+C34+G34+K34+O34</f>
        <v>646582.547226</v>
      </c>
      <c r="T34" s="109">
        <f>+D34+H34+L34+P34</f>
        <v>416485.50582999998</v>
      </c>
      <c r="U34" s="109">
        <f>+S34+T34</f>
        <v>1063068.053056</v>
      </c>
      <c r="X34" s="136"/>
    </row>
    <row r="35" spans="1:39" x14ac:dyDescent="0.3">
      <c r="B35" s="138" t="s">
        <v>130</v>
      </c>
      <c r="C35" s="87">
        <v>948866.7781898001</v>
      </c>
      <c r="D35" s="87">
        <v>266257.634318</v>
      </c>
      <c r="E35" s="76">
        <f t="shared" si="7"/>
        <v>1215124.4125078002</v>
      </c>
      <c r="G35" s="87">
        <v>580940.95625782991</v>
      </c>
      <c r="H35" s="87">
        <v>230988.749912</v>
      </c>
      <c r="I35" s="76">
        <f t="shared" ref="I35:I36" si="8">+H35+G35</f>
        <v>811929.70616982994</v>
      </c>
      <c r="K35" s="87">
        <v>206627.90947083</v>
      </c>
      <c r="L35" s="87">
        <v>100862.249192</v>
      </c>
      <c r="M35" s="76">
        <f t="shared" ref="M35:M36" si="9">+L35+K35</f>
        <v>307490.15866283001</v>
      </c>
      <c r="O35" s="87">
        <v>445117.36313816998</v>
      </c>
      <c r="P35" s="87">
        <v>1005935.34351583</v>
      </c>
      <c r="Q35" s="76">
        <f t="shared" ref="Q35:Q36" si="10">+P35+O35</f>
        <v>1451052.7066540001</v>
      </c>
      <c r="S35" s="109">
        <f t="shared" ref="S35" si="11">+C35+G35+K35+O35</f>
        <v>2181553.0070566302</v>
      </c>
      <c r="T35" s="109">
        <f t="shared" ref="T35" si="12">+D35+H35+L35+P35</f>
        <v>1604043.97693783</v>
      </c>
      <c r="U35" s="109">
        <f t="shared" ref="U35" si="13">+S35+T35</f>
        <v>3785596.9839944602</v>
      </c>
      <c r="X35" s="136"/>
    </row>
    <row r="36" spans="1:39" x14ac:dyDescent="0.3">
      <c r="B36" s="138" t="s">
        <v>129</v>
      </c>
      <c r="C36" s="87">
        <v>132758.45622200001</v>
      </c>
      <c r="D36" s="87">
        <v>215224.03428112</v>
      </c>
      <c r="E36" s="76">
        <f t="shared" si="7"/>
        <v>347982.49050312</v>
      </c>
      <c r="G36" s="87">
        <v>144985.640541</v>
      </c>
      <c r="H36" s="87">
        <v>230332.84662554998</v>
      </c>
      <c r="I36" s="76">
        <f t="shared" si="8"/>
        <v>375318.48716655001</v>
      </c>
      <c r="K36" s="87">
        <v>193429.99478000001</v>
      </c>
      <c r="L36" s="87">
        <v>189108.32896161999</v>
      </c>
      <c r="M36" s="76">
        <f t="shared" si="9"/>
        <v>382538.32374162</v>
      </c>
      <c r="O36" s="87">
        <v>653156.57215599995</v>
      </c>
      <c r="P36" s="87">
        <v>953767.79611941008</v>
      </c>
      <c r="Q36" s="76">
        <f t="shared" si="10"/>
        <v>1606924.36827541</v>
      </c>
      <c r="S36" s="109">
        <f>+C36+G36+K36+O36</f>
        <v>1124330.6636989999</v>
      </c>
      <c r="T36" s="109">
        <f>+D36+H36+L36+P36</f>
        <v>1588433.0059877001</v>
      </c>
      <c r="U36" s="109">
        <f>+S36+T36</f>
        <v>2712763.6696867002</v>
      </c>
      <c r="X36" s="136"/>
    </row>
    <row r="37" spans="1:39" x14ac:dyDescent="0.3">
      <c r="B37" s="138"/>
      <c r="E37" s="89"/>
      <c r="I37" s="89"/>
      <c r="M37" s="89"/>
      <c r="Q37" s="89"/>
      <c r="S37" s="109"/>
      <c r="T37" s="109"/>
      <c r="U37" s="109"/>
    </row>
    <row r="38" spans="1:39" s="114" customFormat="1" x14ac:dyDescent="0.3">
      <c r="A38" s="88"/>
      <c r="B38" s="114" t="s">
        <v>132</v>
      </c>
      <c r="C38" s="80">
        <f>+SUM(C39:C42)</f>
        <v>309256.17048746999</v>
      </c>
      <c r="D38" s="80">
        <f>+SUM(D39:D42)</f>
        <v>36230.792458290001</v>
      </c>
      <c r="E38" s="80">
        <f>+SUM(E39:E42)</f>
        <v>345486.96294575999</v>
      </c>
      <c r="F38" s="140"/>
      <c r="G38" s="80">
        <f>+SUM(G39:G42)</f>
        <v>169096.73055102001</v>
      </c>
      <c r="H38" s="80">
        <f>+SUM(H39:H42)</f>
        <v>39325.52650665</v>
      </c>
      <c r="I38" s="80">
        <f>+SUM(I39:I42)</f>
        <v>208422.25705766998</v>
      </c>
      <c r="J38" s="80"/>
      <c r="K38" s="80">
        <f>+SUM(K39:K42)</f>
        <v>91483.3199661299</v>
      </c>
      <c r="L38" s="80">
        <f>+SUM(L39:L42)</f>
        <v>18056.987397019999</v>
      </c>
      <c r="M38" s="80">
        <f>+SUM(M39:M42)</f>
        <v>109540.30736314988</v>
      </c>
      <c r="N38" s="107"/>
      <c r="O38" s="80">
        <f>+SUM(O39:O42)</f>
        <v>612962.508732141</v>
      </c>
      <c r="P38" s="80">
        <f>+SUM(P39:P42)</f>
        <v>698701.53458635998</v>
      </c>
      <c r="Q38" s="80">
        <f>+SUM(Q39:Q42)</f>
        <v>1311664.0433185012</v>
      </c>
      <c r="R38" s="80"/>
      <c r="S38" s="139">
        <f>+C38+G38+K38+O38</f>
        <v>1182798.729736761</v>
      </c>
      <c r="T38" s="139">
        <f>+D38+H38+L38+P38</f>
        <v>792314.84094831999</v>
      </c>
      <c r="U38" s="139">
        <f>+S38+T38</f>
        <v>1975113.570685081</v>
      </c>
      <c r="W38" s="115"/>
    </row>
    <row r="39" spans="1:39" x14ac:dyDescent="0.3">
      <c r="B39" s="138" t="s">
        <v>100</v>
      </c>
      <c r="C39" s="87">
        <v>135653.39664799999</v>
      </c>
      <c r="D39" s="87">
        <v>19813.456030000001</v>
      </c>
      <c r="E39" s="76">
        <f>+D39+C39</f>
        <v>155466.852678</v>
      </c>
      <c r="G39" s="87">
        <v>114340.14609202</v>
      </c>
      <c r="H39" s="87">
        <v>32701.454900099998</v>
      </c>
      <c r="I39" s="76">
        <f t="shared" ref="I39:I42" si="14">+H39+G39</f>
        <v>147041.60099211999</v>
      </c>
      <c r="K39" s="87">
        <v>45089.059872099897</v>
      </c>
      <c r="L39" s="87">
        <v>8186.9563629899994</v>
      </c>
      <c r="M39" s="76">
        <f t="shared" ref="M39:M42" si="15">+L39+K39</f>
        <v>53276.016235089897</v>
      </c>
      <c r="N39" s="87">
        <v>226084.37005290997</v>
      </c>
      <c r="O39" s="87">
        <v>193132.00918264099</v>
      </c>
      <c r="P39" s="87">
        <v>291671.63485666999</v>
      </c>
      <c r="Q39" s="76">
        <f t="shared" ref="Q39:Q42" si="16">+P39+O39</f>
        <v>484803.64403931098</v>
      </c>
      <c r="S39" s="109">
        <f t="shared" si="4"/>
        <v>488214.61179476086</v>
      </c>
      <c r="T39" s="109">
        <f t="shared" si="5"/>
        <v>352373.50214975997</v>
      </c>
      <c r="U39" s="109">
        <f t="shared" si="6"/>
        <v>840588.11394452082</v>
      </c>
      <c r="X39" s="136"/>
    </row>
    <row r="40" spans="1:39" x14ac:dyDescent="0.3">
      <c r="B40" s="138" t="s">
        <v>101</v>
      </c>
      <c r="C40" s="87">
        <v>4447.9210329999996</v>
      </c>
      <c r="D40" s="87">
        <v>1312.4144855100001</v>
      </c>
      <c r="E40" s="76">
        <f>+D40+C40</f>
        <v>5760.3355185099999</v>
      </c>
      <c r="G40" s="87">
        <v>4909.2278109999997</v>
      </c>
      <c r="H40" s="87">
        <v>359.58477151</v>
      </c>
      <c r="I40" s="76">
        <f t="shared" si="14"/>
        <v>5268.8125825099996</v>
      </c>
      <c r="K40" s="87">
        <v>6526.0906619999996</v>
      </c>
      <c r="L40" s="87">
        <v>1670.0287213900001</v>
      </c>
      <c r="M40" s="76">
        <f t="shared" si="15"/>
        <v>8196.1193833899997</v>
      </c>
      <c r="N40" s="87">
        <v>29015.546532110009</v>
      </c>
      <c r="O40" s="87">
        <v>65041.401109500002</v>
      </c>
      <c r="P40" s="87">
        <v>29065.133696299999</v>
      </c>
      <c r="Q40" s="76">
        <f t="shared" si="16"/>
        <v>94106.534805800009</v>
      </c>
      <c r="S40" s="109">
        <f t="shared" si="4"/>
        <v>80924.6406155</v>
      </c>
      <c r="T40" s="109">
        <f t="shared" si="5"/>
        <v>32407.161674709998</v>
      </c>
      <c r="U40" s="109">
        <f t="shared" si="6"/>
        <v>113331.80229021001</v>
      </c>
      <c r="X40" s="136"/>
    </row>
    <row r="41" spans="1:39" x14ac:dyDescent="0.3">
      <c r="B41" s="138" t="s">
        <v>102</v>
      </c>
      <c r="C41" s="87">
        <v>109694.04487947001</v>
      </c>
      <c r="D41" s="87">
        <v>2959.3467457800002</v>
      </c>
      <c r="E41" s="76">
        <f>+D41+C41</f>
        <v>112653.39162525001</v>
      </c>
      <c r="G41" s="87">
        <v>27562.066148999998</v>
      </c>
      <c r="H41" s="87">
        <v>316.42296604000001</v>
      </c>
      <c r="I41" s="76">
        <f t="shared" si="14"/>
        <v>27878.48911504</v>
      </c>
      <c r="K41" s="87">
        <v>22665.668684029999</v>
      </c>
      <c r="L41" s="87">
        <v>510.15608764000001</v>
      </c>
      <c r="M41" s="76">
        <f t="shared" si="15"/>
        <v>23175.824771669999</v>
      </c>
      <c r="N41" s="87">
        <v>63366.461546500002</v>
      </c>
      <c r="O41" s="87">
        <v>64496.686345000002</v>
      </c>
      <c r="P41" s="87">
        <v>85642.019538389999</v>
      </c>
      <c r="Q41" s="76">
        <f t="shared" si="16"/>
        <v>150138.70588339001</v>
      </c>
      <c r="S41" s="109">
        <f t="shared" si="4"/>
        <v>224418.46605750002</v>
      </c>
      <c r="T41" s="109">
        <f t="shared" si="5"/>
        <v>89427.945337850004</v>
      </c>
      <c r="U41" s="109">
        <f t="shared" si="6"/>
        <v>313846.41139535001</v>
      </c>
      <c r="X41" s="136"/>
    </row>
    <row r="42" spans="1:39" x14ac:dyDescent="0.3">
      <c r="B42" s="138" t="s">
        <v>103</v>
      </c>
      <c r="C42" s="87">
        <v>59460.807927000002</v>
      </c>
      <c r="D42" s="87">
        <v>12145.575197</v>
      </c>
      <c r="E42" s="76">
        <f>+D42+C42</f>
        <v>71606.383124</v>
      </c>
      <c r="G42" s="87">
        <v>22285.290498999999</v>
      </c>
      <c r="H42" s="87">
        <v>5948.0638689999996</v>
      </c>
      <c r="I42" s="76">
        <f t="shared" si="14"/>
        <v>28233.354368</v>
      </c>
      <c r="K42" s="87">
        <v>17202.500747999999</v>
      </c>
      <c r="L42" s="87">
        <v>7689.8462250000002</v>
      </c>
      <c r="M42" s="76">
        <f t="shared" si="15"/>
        <v>24892.346973</v>
      </c>
      <c r="N42" s="87">
        <v>272020.24399199995</v>
      </c>
      <c r="O42" s="87">
        <v>290292.41209499998</v>
      </c>
      <c r="P42" s="87">
        <v>292322.74649500003</v>
      </c>
      <c r="Q42" s="76">
        <f t="shared" si="16"/>
        <v>582615.15859000001</v>
      </c>
      <c r="S42" s="109">
        <f t="shared" si="4"/>
        <v>389241.01126900001</v>
      </c>
      <c r="T42" s="109">
        <f t="shared" si="5"/>
        <v>318106.23178600002</v>
      </c>
      <c r="U42" s="109">
        <f t="shared" si="6"/>
        <v>707347.24305499997</v>
      </c>
      <c r="X42" s="136"/>
    </row>
    <row r="43" spans="1:39" x14ac:dyDescent="0.3">
      <c r="B43" s="114" t="s">
        <v>54</v>
      </c>
      <c r="C43" s="115">
        <f>+C19+C38</f>
        <v>8034401.1804687688</v>
      </c>
      <c r="D43" s="115">
        <f>+D19+D38</f>
        <v>3161035.1120904796</v>
      </c>
      <c r="E43" s="115">
        <f>+E19+E38</f>
        <v>11195436.292559247</v>
      </c>
      <c r="G43" s="115">
        <f>+G19+G38</f>
        <v>4809420.6284473492</v>
      </c>
      <c r="H43" s="115">
        <f>+H19+H38</f>
        <v>3715673.7973038196</v>
      </c>
      <c r="I43" s="115">
        <f>+I19+I38</f>
        <v>8525094.4257511701</v>
      </c>
      <c r="K43" s="115">
        <f>+K19+K38</f>
        <v>3548544.9429866504</v>
      </c>
      <c r="L43" s="115">
        <f>+L19+L38</f>
        <v>4139638.84125177</v>
      </c>
      <c r="M43" s="115">
        <f>+M19+M38</f>
        <v>7688183.7842384214</v>
      </c>
      <c r="O43" s="115">
        <f>+O19+O38</f>
        <v>37969417.862778202</v>
      </c>
      <c r="P43" s="115">
        <f>+P19+P38</f>
        <v>54263462.518204041</v>
      </c>
      <c r="Q43" s="115">
        <f>+Q19+Q38</f>
        <v>92232880.38098225</v>
      </c>
      <c r="S43" s="116">
        <f>+S19+S38</f>
        <v>54361784.614680968</v>
      </c>
      <c r="T43" s="116">
        <f>+T19+T38</f>
        <v>65279810.26885011</v>
      </c>
      <c r="U43" s="116">
        <f>+U19+U38</f>
        <v>119641594.88353108</v>
      </c>
    </row>
    <row r="45" spans="1:39" x14ac:dyDescent="0.3">
      <c r="A45" s="63"/>
      <c r="B45" s="63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</row>
    <row r="46" spans="1:39" x14ac:dyDescent="0.3">
      <c r="A46" s="63"/>
      <c r="B46" s="63"/>
      <c r="C46" s="99"/>
      <c r="D46" s="99"/>
      <c r="E46" s="99"/>
      <c r="F46" s="99"/>
      <c r="G46" s="99"/>
      <c r="H46" s="99"/>
      <c r="I46" s="99"/>
      <c r="J46" s="99"/>
    </row>
    <row r="47" spans="1:39" x14ac:dyDescent="0.3">
      <c r="A47" s="63"/>
      <c r="B47" s="63"/>
      <c r="C47" s="99"/>
      <c r="D47" s="99"/>
      <c r="E47" s="99"/>
      <c r="F47" s="99"/>
      <c r="G47" s="99"/>
      <c r="H47" s="99"/>
      <c r="I47" s="99"/>
      <c r="J47" s="99"/>
    </row>
    <row r="48" spans="1:39" ht="16.2" x14ac:dyDescent="0.35">
      <c r="A48" s="63"/>
      <c r="B48" s="73" t="s">
        <v>55</v>
      </c>
      <c r="C48" s="99"/>
      <c r="D48" s="99"/>
      <c r="E48" s="99"/>
      <c r="F48" s="99"/>
      <c r="G48" s="99"/>
      <c r="H48" s="99"/>
      <c r="I48" s="99"/>
      <c r="J48" s="76"/>
      <c r="R48" s="76"/>
    </row>
    <row r="49" spans="1:23" x14ac:dyDescent="0.3">
      <c r="A49" s="63"/>
      <c r="B49" s="88"/>
      <c r="C49" s="99"/>
      <c r="D49" s="99"/>
      <c r="E49" s="99"/>
      <c r="F49" s="99"/>
      <c r="G49" s="99"/>
      <c r="H49" s="99"/>
      <c r="I49" s="99"/>
      <c r="J49" s="76"/>
      <c r="N49" s="76"/>
      <c r="R49" s="76"/>
    </row>
    <row r="50" spans="1:23" s="105" customFormat="1" ht="24" customHeight="1" x14ac:dyDescent="0.3">
      <c r="A50" s="85"/>
      <c r="B50" s="189"/>
      <c r="C50" s="190" t="s">
        <v>19</v>
      </c>
      <c r="D50" s="188"/>
      <c r="E50" s="188"/>
      <c r="F50" s="102"/>
      <c r="G50" s="188" t="s">
        <v>20</v>
      </c>
      <c r="H50" s="188"/>
      <c r="I50" s="188"/>
      <c r="J50" s="103"/>
      <c r="K50" s="190" t="s">
        <v>21</v>
      </c>
      <c r="L50" s="188"/>
      <c r="M50" s="188"/>
      <c r="N50" s="104"/>
      <c r="O50" s="188" t="s">
        <v>22</v>
      </c>
      <c r="P50" s="188"/>
      <c r="Q50" s="188"/>
      <c r="R50" s="103"/>
      <c r="S50" s="188" t="s">
        <v>33</v>
      </c>
      <c r="T50" s="188"/>
      <c r="U50" s="188"/>
      <c r="W50" s="141"/>
    </row>
    <row r="51" spans="1:23" x14ac:dyDescent="0.3">
      <c r="A51" s="63"/>
      <c r="B51" s="189"/>
      <c r="C51" s="106"/>
      <c r="D51" s="106"/>
      <c r="E51" s="106"/>
      <c r="F51" s="99"/>
      <c r="G51" s="106"/>
      <c r="H51" s="106"/>
      <c r="I51" s="106"/>
      <c r="J51" s="107"/>
      <c r="K51" s="106"/>
      <c r="L51" s="106"/>
      <c r="M51" s="106"/>
      <c r="N51" s="107"/>
      <c r="O51" s="106"/>
      <c r="P51" s="106"/>
      <c r="Q51" s="106"/>
      <c r="R51" s="107"/>
      <c r="S51" s="106"/>
      <c r="T51" s="106"/>
      <c r="U51" s="106"/>
    </row>
    <row r="52" spans="1:23" x14ac:dyDescent="0.3">
      <c r="A52" s="63"/>
      <c r="B52" s="189"/>
      <c r="C52" s="108" t="s">
        <v>26</v>
      </c>
      <c r="D52" s="108" t="s">
        <v>27</v>
      </c>
      <c r="E52" s="108" t="s">
        <v>18</v>
      </c>
      <c r="F52" s="99"/>
      <c r="G52" s="108" t="s">
        <v>26</v>
      </c>
      <c r="H52" s="108" t="s">
        <v>27</v>
      </c>
      <c r="I52" s="108" t="s">
        <v>18</v>
      </c>
      <c r="J52" s="107"/>
      <c r="K52" s="108" t="s">
        <v>26</v>
      </c>
      <c r="L52" s="108" t="s">
        <v>27</v>
      </c>
      <c r="M52" s="108" t="s">
        <v>18</v>
      </c>
      <c r="N52" s="107"/>
      <c r="O52" s="108" t="s">
        <v>26</v>
      </c>
      <c r="P52" s="108" t="s">
        <v>27</v>
      </c>
      <c r="Q52" s="108" t="s">
        <v>18</v>
      </c>
      <c r="R52" s="107"/>
      <c r="S52" s="108" t="s">
        <v>26</v>
      </c>
      <c r="T52" s="108" t="s">
        <v>27</v>
      </c>
      <c r="U52" s="108" t="s">
        <v>18</v>
      </c>
    </row>
    <row r="53" spans="1:23" x14ac:dyDescent="0.3">
      <c r="A53" s="63"/>
      <c r="B53" s="117"/>
      <c r="C53" s="89"/>
      <c r="D53" s="89"/>
      <c r="E53" s="89"/>
      <c r="F53" s="99"/>
      <c r="G53" s="89"/>
      <c r="H53" s="89"/>
      <c r="I53" s="89"/>
      <c r="J53" s="89"/>
      <c r="K53" s="89"/>
      <c r="L53" s="89"/>
      <c r="M53" s="89"/>
      <c r="N53" s="118"/>
      <c r="O53" s="89"/>
      <c r="P53" s="89"/>
      <c r="Q53" s="89"/>
      <c r="R53" s="89"/>
      <c r="S53" s="89"/>
      <c r="T53" s="89"/>
      <c r="U53" s="89"/>
    </row>
    <row r="54" spans="1:23" s="114" customFormat="1" x14ac:dyDescent="0.3">
      <c r="A54" s="88"/>
      <c r="B54" s="114" t="s">
        <v>119</v>
      </c>
      <c r="C54" s="80">
        <f>+SUM(C55:C71)</f>
        <v>349753</v>
      </c>
      <c r="D54" s="80">
        <f>+SUM(D55:D71)</f>
        <v>6714</v>
      </c>
      <c r="E54" s="80">
        <f>+SUM(E55:E71)</f>
        <v>356467</v>
      </c>
      <c r="F54" s="140"/>
      <c r="G54" s="80">
        <f>+SUM(G55:G71)</f>
        <v>77327</v>
      </c>
      <c r="H54" s="80">
        <f>+SUM(H55:H71)</f>
        <v>9140</v>
      </c>
      <c r="I54" s="80">
        <f>+SUM(I55:I71)</f>
        <v>86467</v>
      </c>
      <c r="J54" s="80"/>
      <c r="K54" s="80">
        <f>+SUM(K55:K71)</f>
        <v>35430</v>
      </c>
      <c r="L54" s="80">
        <f>+SUM(L55:L71)</f>
        <v>5595</v>
      </c>
      <c r="M54" s="80">
        <f>+SUM(M55:M71)</f>
        <v>41025</v>
      </c>
      <c r="N54" s="107"/>
      <c r="O54" s="80">
        <f>+SUM(O55:O71)</f>
        <v>103145</v>
      </c>
      <c r="P54" s="80">
        <f>+SUM(P55:P71)</f>
        <v>23282</v>
      </c>
      <c r="Q54" s="80">
        <f>+SUM(Q55:Q71)</f>
        <v>126427</v>
      </c>
      <c r="R54" s="80"/>
      <c r="S54" s="139">
        <f>+C54+G54+K54+O54</f>
        <v>565655</v>
      </c>
      <c r="T54" s="139">
        <f>+D54+H54+L54+P54</f>
        <v>44731</v>
      </c>
      <c r="U54" s="139">
        <f>+S54+T54</f>
        <v>610386</v>
      </c>
      <c r="W54" s="115"/>
    </row>
    <row r="55" spans="1:23" x14ac:dyDescent="0.3">
      <c r="A55" s="63"/>
      <c r="B55" s="137" t="s">
        <v>104</v>
      </c>
      <c r="C55" s="76">
        <v>33123</v>
      </c>
      <c r="D55" s="76">
        <v>410</v>
      </c>
      <c r="E55" s="76">
        <f>+C55+D55</f>
        <v>33533</v>
      </c>
      <c r="F55" s="99"/>
      <c r="G55" s="76">
        <v>4530</v>
      </c>
      <c r="H55" s="76">
        <v>1187</v>
      </c>
      <c r="I55" s="76">
        <f>+G55+H55</f>
        <v>5717</v>
      </c>
      <c r="J55" s="76"/>
      <c r="K55" s="76">
        <v>1059</v>
      </c>
      <c r="L55" s="76">
        <v>558</v>
      </c>
      <c r="M55" s="76">
        <f>+K55+L55</f>
        <v>1617</v>
      </c>
      <c r="N55" s="76"/>
      <c r="O55" s="76">
        <v>830</v>
      </c>
      <c r="P55" s="76">
        <v>394</v>
      </c>
      <c r="Q55" s="76">
        <f>+O55+P55</f>
        <v>1224</v>
      </c>
      <c r="R55" s="76"/>
      <c r="S55" s="109">
        <f>+C55+G55+K55+O55</f>
        <v>39542</v>
      </c>
      <c r="T55" s="109">
        <f>+D55+H55+L55+P55</f>
        <v>2549</v>
      </c>
      <c r="U55" s="109">
        <f>+S55+T55</f>
        <v>42091</v>
      </c>
    </row>
    <row r="56" spans="1:23" x14ac:dyDescent="0.3">
      <c r="A56" s="63"/>
      <c r="B56" s="137" t="s">
        <v>117</v>
      </c>
      <c r="C56" s="76">
        <v>323</v>
      </c>
      <c r="D56" s="76">
        <v>88</v>
      </c>
      <c r="E56" s="76">
        <f t="shared" ref="E56:E71" si="17">+C56+D56</f>
        <v>411</v>
      </c>
      <c r="F56" s="99"/>
      <c r="G56" s="76">
        <v>405</v>
      </c>
      <c r="H56" s="76">
        <v>172</v>
      </c>
      <c r="I56" s="76">
        <f t="shared" ref="I56:I70" si="18">+G56+H56</f>
        <v>577</v>
      </c>
      <c r="J56" s="76"/>
      <c r="K56" s="76">
        <v>195</v>
      </c>
      <c r="L56" s="76">
        <v>83</v>
      </c>
      <c r="M56" s="76">
        <f t="shared" ref="M56:M71" si="19">+K56+L56</f>
        <v>278</v>
      </c>
      <c r="N56" s="76"/>
      <c r="O56" s="76">
        <v>278</v>
      </c>
      <c r="P56" s="76">
        <v>132</v>
      </c>
      <c r="Q56" s="76">
        <f t="shared" ref="Q56:Q69" si="20">+O56+P56</f>
        <v>410</v>
      </c>
      <c r="R56" s="76"/>
      <c r="S56" s="109">
        <f t="shared" ref="S56:S68" si="21">+C56+G56+K56+O56</f>
        <v>1201</v>
      </c>
      <c r="T56" s="109">
        <f t="shared" ref="T56:T68" si="22">+D56+H56+L56+P56</f>
        <v>475</v>
      </c>
      <c r="U56" s="109">
        <f t="shared" ref="U56:U68" si="23">+S56+T56</f>
        <v>1676</v>
      </c>
    </row>
    <row r="57" spans="1:23" x14ac:dyDescent="0.3">
      <c r="A57" s="63"/>
      <c r="B57" s="137" t="s">
        <v>115</v>
      </c>
      <c r="C57" s="76">
        <v>22387</v>
      </c>
      <c r="D57" s="76">
        <v>184</v>
      </c>
      <c r="E57" s="76">
        <f t="shared" si="17"/>
        <v>22571</v>
      </c>
      <c r="F57" s="99"/>
      <c r="G57" s="76">
        <v>5134</v>
      </c>
      <c r="H57" s="76">
        <v>281</v>
      </c>
      <c r="I57" s="76">
        <f t="shared" si="18"/>
        <v>5415</v>
      </c>
      <c r="J57" s="76"/>
      <c r="K57" s="76">
        <v>2735</v>
      </c>
      <c r="L57" s="76">
        <v>279</v>
      </c>
      <c r="M57" s="76">
        <f t="shared" si="19"/>
        <v>3014</v>
      </c>
      <c r="N57" s="76"/>
      <c r="O57" s="76">
        <v>10663</v>
      </c>
      <c r="P57" s="76">
        <v>2551</v>
      </c>
      <c r="Q57" s="76">
        <f t="shared" si="20"/>
        <v>13214</v>
      </c>
      <c r="R57" s="76"/>
      <c r="S57" s="109">
        <f t="shared" si="21"/>
        <v>40919</v>
      </c>
      <c r="T57" s="109">
        <f t="shared" si="22"/>
        <v>3295</v>
      </c>
      <c r="U57" s="109">
        <f t="shared" si="23"/>
        <v>44214</v>
      </c>
    </row>
    <row r="58" spans="1:23" x14ac:dyDescent="0.3">
      <c r="A58" s="63"/>
      <c r="B58" s="137" t="s">
        <v>116</v>
      </c>
      <c r="C58" s="76"/>
      <c r="D58" s="76">
        <v>1</v>
      </c>
      <c r="E58" s="76">
        <f t="shared" si="17"/>
        <v>1</v>
      </c>
      <c r="F58" s="99"/>
      <c r="G58" s="76"/>
      <c r="H58" s="76">
        <v>1</v>
      </c>
      <c r="I58" s="76">
        <f>+G58+H58</f>
        <v>1</v>
      </c>
      <c r="J58" s="76"/>
      <c r="K58" s="76"/>
      <c r="L58" s="76">
        <v>1</v>
      </c>
      <c r="M58" s="76">
        <f t="shared" si="19"/>
        <v>1</v>
      </c>
      <c r="N58" s="76"/>
      <c r="O58" s="76">
        <v>43</v>
      </c>
      <c r="P58" s="76">
        <v>130</v>
      </c>
      <c r="Q58" s="76">
        <f t="shared" si="20"/>
        <v>173</v>
      </c>
      <c r="R58" s="76"/>
      <c r="S58" s="109">
        <f t="shared" si="21"/>
        <v>43</v>
      </c>
      <c r="T58" s="109">
        <f t="shared" si="22"/>
        <v>133</v>
      </c>
      <c r="U58" s="109">
        <f t="shared" si="23"/>
        <v>176</v>
      </c>
    </row>
    <row r="59" spans="1:23" x14ac:dyDescent="0.3">
      <c r="A59" s="63"/>
      <c r="B59" s="137" t="s">
        <v>118</v>
      </c>
      <c r="C59" s="76"/>
      <c r="D59" s="76"/>
      <c r="E59" s="76">
        <f t="shared" si="17"/>
        <v>0</v>
      </c>
      <c r="F59" s="99"/>
      <c r="G59" s="76"/>
      <c r="H59" s="76">
        <v>1</v>
      </c>
      <c r="I59" s="76">
        <f t="shared" si="18"/>
        <v>1</v>
      </c>
      <c r="J59" s="76"/>
      <c r="K59" s="76">
        <v>1</v>
      </c>
      <c r="L59" s="76"/>
      <c r="M59" s="76">
        <f t="shared" si="19"/>
        <v>1</v>
      </c>
      <c r="N59" s="76"/>
      <c r="O59" s="76">
        <v>281</v>
      </c>
      <c r="P59" s="76">
        <v>98</v>
      </c>
      <c r="Q59" s="76">
        <f t="shared" si="20"/>
        <v>379</v>
      </c>
      <c r="R59" s="76"/>
      <c r="S59" s="109">
        <f t="shared" si="21"/>
        <v>282</v>
      </c>
      <c r="T59" s="109">
        <f t="shared" si="22"/>
        <v>99</v>
      </c>
      <c r="U59" s="109">
        <f t="shared" si="23"/>
        <v>381</v>
      </c>
    </row>
    <row r="60" spans="1:23" x14ac:dyDescent="0.3">
      <c r="A60" s="63"/>
      <c r="B60" s="137" t="s">
        <v>114</v>
      </c>
      <c r="C60" s="76">
        <v>24866</v>
      </c>
      <c r="D60" s="76">
        <v>957</v>
      </c>
      <c r="E60" s="76">
        <f t="shared" si="17"/>
        <v>25823</v>
      </c>
      <c r="F60" s="99"/>
      <c r="G60" s="76">
        <v>7567</v>
      </c>
      <c r="H60" s="76">
        <v>1353</v>
      </c>
      <c r="I60" s="76">
        <f t="shared" si="18"/>
        <v>8920</v>
      </c>
      <c r="J60" s="76"/>
      <c r="K60" s="76">
        <v>3629</v>
      </c>
      <c r="L60" s="76">
        <v>972</v>
      </c>
      <c r="M60" s="76">
        <f t="shared" si="19"/>
        <v>4601</v>
      </c>
      <c r="N60" s="76"/>
      <c r="O60" s="76">
        <f>11325-1</f>
        <v>11324</v>
      </c>
      <c r="P60" s="76">
        <v>3420</v>
      </c>
      <c r="Q60" s="76">
        <f t="shared" si="20"/>
        <v>14744</v>
      </c>
      <c r="R60" s="76"/>
      <c r="S60" s="109">
        <f t="shared" si="21"/>
        <v>47386</v>
      </c>
      <c r="T60" s="109">
        <f t="shared" si="22"/>
        <v>6702</v>
      </c>
      <c r="U60" s="109">
        <f t="shared" si="23"/>
        <v>54088</v>
      </c>
    </row>
    <row r="61" spans="1:23" x14ac:dyDescent="0.3">
      <c r="A61" s="63"/>
      <c r="B61" s="137" t="s">
        <v>113</v>
      </c>
      <c r="C61" s="76">
        <v>73542</v>
      </c>
      <c r="D61" s="76">
        <v>769</v>
      </c>
      <c r="E61" s="76">
        <f t="shared" si="17"/>
        <v>74311</v>
      </c>
      <c r="F61" s="99"/>
      <c r="G61" s="76">
        <v>10246</v>
      </c>
      <c r="H61" s="76">
        <v>492</v>
      </c>
      <c r="I61" s="76">
        <f t="shared" si="18"/>
        <v>10738</v>
      </c>
      <c r="J61" s="76"/>
      <c r="K61" s="76">
        <v>3337</v>
      </c>
      <c r="L61" s="76">
        <v>473</v>
      </c>
      <c r="M61" s="76">
        <f t="shared" si="19"/>
        <v>3810</v>
      </c>
      <c r="N61" s="76"/>
      <c r="O61" s="76">
        <v>7722</v>
      </c>
      <c r="P61" s="76">
        <v>1772</v>
      </c>
      <c r="Q61" s="76">
        <f t="shared" si="20"/>
        <v>9494</v>
      </c>
      <c r="R61" s="76"/>
      <c r="S61" s="109">
        <f t="shared" si="21"/>
        <v>94847</v>
      </c>
      <c r="T61" s="109">
        <f t="shared" si="22"/>
        <v>3506</v>
      </c>
      <c r="U61" s="109">
        <f t="shared" si="23"/>
        <v>98353</v>
      </c>
    </row>
    <row r="62" spans="1:23" x14ac:dyDescent="0.3">
      <c r="A62" s="63"/>
      <c r="B62" s="137" t="s">
        <v>107</v>
      </c>
      <c r="C62" s="76">
        <v>36508</v>
      </c>
      <c r="D62" s="76">
        <v>544</v>
      </c>
      <c r="E62" s="76">
        <f t="shared" si="17"/>
        <v>37052</v>
      </c>
      <c r="F62" s="99"/>
      <c r="G62" s="76">
        <v>12604</v>
      </c>
      <c r="H62" s="76">
        <v>879</v>
      </c>
      <c r="I62" s="76">
        <f t="shared" si="18"/>
        <v>13483</v>
      </c>
      <c r="J62" s="76"/>
      <c r="K62" s="76">
        <v>6683</v>
      </c>
      <c r="L62" s="76">
        <v>696</v>
      </c>
      <c r="M62" s="76">
        <f t="shared" si="19"/>
        <v>7379</v>
      </c>
      <c r="N62" s="76"/>
      <c r="O62" s="76">
        <v>22224</v>
      </c>
      <c r="P62" s="76">
        <v>3199</v>
      </c>
      <c r="Q62" s="76">
        <f t="shared" si="20"/>
        <v>25423</v>
      </c>
      <c r="R62" s="76"/>
      <c r="S62" s="109">
        <f t="shared" si="21"/>
        <v>78019</v>
      </c>
      <c r="T62" s="109">
        <f t="shared" si="22"/>
        <v>5318</v>
      </c>
      <c r="U62" s="109">
        <f t="shared" si="23"/>
        <v>83337</v>
      </c>
    </row>
    <row r="63" spans="1:23" x14ac:dyDescent="0.3">
      <c r="B63" s="138" t="s">
        <v>106</v>
      </c>
      <c r="C63" s="76">
        <v>13241</v>
      </c>
      <c r="D63" s="76">
        <v>278</v>
      </c>
      <c r="E63" s="76">
        <f t="shared" si="17"/>
        <v>13519</v>
      </c>
      <c r="G63" s="76">
        <v>3346</v>
      </c>
      <c r="H63" s="76">
        <v>181</v>
      </c>
      <c r="I63" s="76">
        <f t="shared" si="18"/>
        <v>3527</v>
      </c>
      <c r="K63" s="76">
        <v>1648</v>
      </c>
      <c r="L63" s="76">
        <v>116</v>
      </c>
      <c r="M63" s="76">
        <f t="shared" si="19"/>
        <v>1764</v>
      </c>
      <c r="O63" s="87">
        <v>6391</v>
      </c>
      <c r="P63" s="87">
        <v>2108</v>
      </c>
      <c r="Q63" s="76">
        <f t="shared" si="20"/>
        <v>8499</v>
      </c>
      <c r="S63" s="109">
        <f t="shared" si="21"/>
        <v>24626</v>
      </c>
      <c r="T63" s="109">
        <f t="shared" si="22"/>
        <v>2683</v>
      </c>
      <c r="U63" s="109">
        <f t="shared" si="23"/>
        <v>27309</v>
      </c>
    </row>
    <row r="64" spans="1:23" x14ac:dyDescent="0.3">
      <c r="B64" s="138" t="s">
        <v>108</v>
      </c>
      <c r="C64" s="76">
        <v>5482</v>
      </c>
      <c r="D64" s="76">
        <v>480</v>
      </c>
      <c r="E64" s="76">
        <f t="shared" si="17"/>
        <v>5962</v>
      </c>
      <c r="G64" s="76">
        <v>3489</v>
      </c>
      <c r="H64" s="76">
        <v>1097</v>
      </c>
      <c r="I64" s="76">
        <f t="shared" si="18"/>
        <v>4586</v>
      </c>
      <c r="K64" s="76">
        <v>2342</v>
      </c>
      <c r="L64" s="76">
        <v>525</v>
      </c>
      <c r="M64" s="76">
        <f t="shared" si="19"/>
        <v>2867</v>
      </c>
      <c r="O64" s="87">
        <v>4835</v>
      </c>
      <c r="P64" s="87">
        <v>1258</v>
      </c>
      <c r="Q64" s="76">
        <f t="shared" si="20"/>
        <v>6093</v>
      </c>
      <c r="S64" s="109">
        <f t="shared" si="21"/>
        <v>16148</v>
      </c>
      <c r="T64" s="109">
        <f t="shared" si="22"/>
        <v>3360</v>
      </c>
      <c r="U64" s="109">
        <f t="shared" si="23"/>
        <v>19508</v>
      </c>
    </row>
    <row r="65" spans="1:23" x14ac:dyDescent="0.3">
      <c r="B65" s="138" t="s">
        <v>109</v>
      </c>
      <c r="C65" s="76">
        <v>43687</v>
      </c>
      <c r="D65" s="76">
        <v>157</v>
      </c>
      <c r="E65" s="76">
        <f t="shared" si="17"/>
        <v>43844</v>
      </c>
      <c r="G65" s="76">
        <v>8122</v>
      </c>
      <c r="H65" s="76">
        <v>398</v>
      </c>
      <c r="I65" s="76">
        <f t="shared" si="18"/>
        <v>8520</v>
      </c>
      <c r="K65" s="76">
        <v>3005</v>
      </c>
      <c r="L65" s="76">
        <v>166</v>
      </c>
      <c r="M65" s="76">
        <f t="shared" si="19"/>
        <v>3171</v>
      </c>
      <c r="O65" s="87">
        <v>10010</v>
      </c>
      <c r="P65" s="87">
        <v>387</v>
      </c>
      <c r="Q65" s="76">
        <f t="shared" si="20"/>
        <v>10397</v>
      </c>
      <c r="S65" s="109">
        <f t="shared" si="21"/>
        <v>64824</v>
      </c>
      <c r="T65" s="109">
        <f t="shared" si="22"/>
        <v>1108</v>
      </c>
      <c r="U65" s="109">
        <f t="shared" si="23"/>
        <v>65932</v>
      </c>
    </row>
    <row r="66" spans="1:23" x14ac:dyDescent="0.3">
      <c r="B66" s="138" t="s">
        <v>110</v>
      </c>
      <c r="C66" s="76">
        <f>18024-1</f>
        <v>18023</v>
      </c>
      <c r="D66" s="76">
        <v>731</v>
      </c>
      <c r="E66" s="76">
        <f t="shared" si="17"/>
        <v>18754</v>
      </c>
      <c r="G66" s="76">
        <v>3966</v>
      </c>
      <c r="H66" s="76">
        <v>692</v>
      </c>
      <c r="I66" s="76">
        <f t="shared" si="18"/>
        <v>4658</v>
      </c>
      <c r="K66" s="76">
        <v>2293</v>
      </c>
      <c r="L66" s="76">
        <v>527</v>
      </c>
      <c r="M66" s="76">
        <f t="shared" si="19"/>
        <v>2820</v>
      </c>
      <c r="O66" s="87">
        <v>5409</v>
      </c>
      <c r="P66" s="87">
        <v>1954</v>
      </c>
      <c r="Q66" s="76">
        <f t="shared" si="20"/>
        <v>7363</v>
      </c>
      <c r="S66" s="109">
        <f t="shared" si="21"/>
        <v>29691</v>
      </c>
      <c r="T66" s="109">
        <f t="shared" si="22"/>
        <v>3904</v>
      </c>
      <c r="U66" s="109">
        <f t="shared" si="23"/>
        <v>33595</v>
      </c>
    </row>
    <row r="67" spans="1:23" x14ac:dyDescent="0.3">
      <c r="B67" s="138" t="s">
        <v>111</v>
      </c>
      <c r="C67" s="76">
        <v>3734</v>
      </c>
      <c r="D67" s="76">
        <v>199</v>
      </c>
      <c r="E67" s="76">
        <f t="shared" si="17"/>
        <v>3933</v>
      </c>
      <c r="G67" s="76">
        <v>2517</v>
      </c>
      <c r="H67" s="76">
        <v>394</v>
      </c>
      <c r="I67" s="76">
        <f t="shared" si="18"/>
        <v>2911</v>
      </c>
      <c r="K67" s="76">
        <v>1108</v>
      </c>
      <c r="L67" s="76">
        <v>279</v>
      </c>
      <c r="M67" s="76">
        <f t="shared" si="19"/>
        <v>1387</v>
      </c>
      <c r="O67" s="87">
        <v>6361</v>
      </c>
      <c r="P67" s="87">
        <v>793</v>
      </c>
      <c r="Q67" s="76">
        <f t="shared" si="20"/>
        <v>7154</v>
      </c>
      <c r="S67" s="109">
        <f t="shared" si="21"/>
        <v>13720</v>
      </c>
      <c r="T67" s="109">
        <f t="shared" si="22"/>
        <v>1665</v>
      </c>
      <c r="U67" s="109">
        <f t="shared" si="23"/>
        <v>15385</v>
      </c>
    </row>
    <row r="68" spans="1:23" x14ac:dyDescent="0.3">
      <c r="B68" s="138" t="s">
        <v>112</v>
      </c>
      <c r="C68" s="76">
        <v>4448</v>
      </c>
      <c r="D68" s="76">
        <v>78</v>
      </c>
      <c r="E68" s="76">
        <f t="shared" si="17"/>
        <v>4526</v>
      </c>
      <c r="G68" s="76">
        <v>1501</v>
      </c>
      <c r="H68" s="76">
        <v>134</v>
      </c>
      <c r="I68" s="76">
        <f t="shared" si="18"/>
        <v>1635</v>
      </c>
      <c r="K68" s="76">
        <v>1956</v>
      </c>
      <c r="L68" s="76">
        <v>117</v>
      </c>
      <c r="M68" s="76">
        <f t="shared" si="19"/>
        <v>2073</v>
      </c>
      <c r="O68" s="87">
        <v>4326</v>
      </c>
      <c r="P68" s="87">
        <v>632</v>
      </c>
      <c r="Q68" s="76">
        <f t="shared" si="20"/>
        <v>4958</v>
      </c>
      <c r="S68" s="109">
        <f t="shared" si="21"/>
        <v>12231</v>
      </c>
      <c r="T68" s="109">
        <f t="shared" si="22"/>
        <v>961</v>
      </c>
      <c r="U68" s="109">
        <f t="shared" si="23"/>
        <v>13192</v>
      </c>
    </row>
    <row r="69" spans="1:23" x14ac:dyDescent="0.3">
      <c r="B69" s="138" t="s">
        <v>105</v>
      </c>
      <c r="C69" s="76">
        <v>6927</v>
      </c>
      <c r="D69" s="76">
        <v>111</v>
      </c>
      <c r="E69" s="76">
        <f t="shared" si="17"/>
        <v>7038</v>
      </c>
      <c r="G69" s="76">
        <v>927</v>
      </c>
      <c r="H69" s="76">
        <v>63</v>
      </c>
      <c r="I69" s="76">
        <f t="shared" si="18"/>
        <v>990</v>
      </c>
      <c r="K69" s="76">
        <v>899</v>
      </c>
      <c r="L69" s="76">
        <v>91</v>
      </c>
      <c r="M69" s="76">
        <f t="shared" si="19"/>
        <v>990</v>
      </c>
      <c r="O69" s="87">
        <v>8616</v>
      </c>
      <c r="P69" s="87">
        <v>2321</v>
      </c>
      <c r="Q69" s="76">
        <f t="shared" si="20"/>
        <v>10937</v>
      </c>
      <c r="S69" s="109">
        <f>+C69+G69+K69+O69</f>
        <v>17369</v>
      </c>
      <c r="T69" s="109">
        <f>+D69+H69+L69+P69</f>
        <v>2586</v>
      </c>
      <c r="U69" s="109">
        <f>+S69+T69</f>
        <v>19955</v>
      </c>
    </row>
    <row r="70" spans="1:23" x14ac:dyDescent="0.3">
      <c r="B70" s="138" t="s">
        <v>130</v>
      </c>
      <c r="C70" s="76">
        <f>61634-33</f>
        <v>61601</v>
      </c>
      <c r="D70" s="76">
        <f>1334-1</f>
        <v>1333</v>
      </c>
      <c r="E70" s="76">
        <f t="shared" si="17"/>
        <v>62934</v>
      </c>
      <c r="G70" s="76">
        <f>10719-12</f>
        <v>10707</v>
      </c>
      <c r="H70" s="76">
        <f>1095-2</f>
        <v>1093</v>
      </c>
      <c r="I70" s="76">
        <f t="shared" si="18"/>
        <v>11800</v>
      </c>
      <c r="K70" s="76">
        <f>2605-2</f>
        <v>2603</v>
      </c>
      <c r="L70" s="76">
        <v>376</v>
      </c>
      <c r="M70" s="76">
        <f t="shared" si="19"/>
        <v>2979</v>
      </c>
      <c r="O70" s="87">
        <v>1348</v>
      </c>
      <c r="P70" s="87">
        <v>414</v>
      </c>
      <c r="Q70" s="76">
        <f>+O70+P70</f>
        <v>1762</v>
      </c>
      <c r="S70" s="109">
        <f>+C70+G70+K70+O70</f>
        <v>76259</v>
      </c>
      <c r="T70" s="109">
        <f t="shared" ref="T70:T71" si="24">+D70+H70+L70+P70</f>
        <v>3216</v>
      </c>
      <c r="U70" s="109">
        <f t="shared" ref="U70:U71" si="25">+S70+T70</f>
        <v>79475</v>
      </c>
    </row>
    <row r="71" spans="1:23" x14ac:dyDescent="0.3">
      <c r="B71" s="138" t="s">
        <v>129</v>
      </c>
      <c r="C71" s="76">
        <v>1861</v>
      </c>
      <c r="D71" s="76">
        <v>394</v>
      </c>
      <c r="E71" s="76">
        <f t="shared" si="17"/>
        <v>2255</v>
      </c>
      <c r="G71" s="76">
        <v>2266</v>
      </c>
      <c r="H71" s="76">
        <v>722</v>
      </c>
      <c r="I71" s="76">
        <f>+G71+H71</f>
        <v>2988</v>
      </c>
      <c r="K71" s="76">
        <v>1937</v>
      </c>
      <c r="L71" s="76">
        <v>336</v>
      </c>
      <c r="M71" s="76">
        <f t="shared" si="19"/>
        <v>2273</v>
      </c>
      <c r="O71" s="87">
        <v>2484</v>
      </c>
      <c r="P71" s="87">
        <v>1719</v>
      </c>
      <c r="Q71" s="76">
        <f>+O71+P71</f>
        <v>4203</v>
      </c>
      <c r="S71" s="109">
        <f>+C71+G71+K71+O71</f>
        <v>8548</v>
      </c>
      <c r="T71" s="109">
        <f t="shared" si="24"/>
        <v>3171</v>
      </c>
      <c r="U71" s="109">
        <f t="shared" si="25"/>
        <v>11719</v>
      </c>
    </row>
    <row r="72" spans="1:23" x14ac:dyDescent="0.3">
      <c r="E72" s="89"/>
      <c r="I72" s="89"/>
      <c r="M72" s="89"/>
      <c r="Q72" s="89"/>
      <c r="S72" s="109"/>
      <c r="T72" s="109"/>
      <c r="U72" s="109"/>
    </row>
    <row r="73" spans="1:23" s="114" customFormat="1" x14ac:dyDescent="0.3">
      <c r="A73" s="88"/>
      <c r="B73" s="114" t="s">
        <v>131</v>
      </c>
      <c r="C73" s="80">
        <f>+SUM(C74:C77)</f>
        <v>63999</v>
      </c>
      <c r="D73" s="80">
        <f>+SUM(D74:D77)</f>
        <v>177</v>
      </c>
      <c r="E73" s="80">
        <f>+SUM(E74:E77)</f>
        <v>64176</v>
      </c>
      <c r="F73" s="140"/>
      <c r="G73" s="80">
        <f>+SUM(G74:G77)</f>
        <v>3807</v>
      </c>
      <c r="H73" s="80">
        <f>+SUM(H74:H77)</f>
        <v>104</v>
      </c>
      <c r="I73" s="80">
        <f>+SUM(I74:I77)</f>
        <v>3911</v>
      </c>
      <c r="J73" s="80"/>
      <c r="K73" s="80">
        <f>+SUM(K74:K77)</f>
        <v>1177</v>
      </c>
      <c r="L73" s="80">
        <f>+SUM(L74:L77)</f>
        <v>54</v>
      </c>
      <c r="M73" s="80">
        <f>+SUM(M74:M77)</f>
        <v>1231</v>
      </c>
      <c r="N73" s="107"/>
      <c r="O73" s="80">
        <f>+SUM(O74:O77)</f>
        <v>1860</v>
      </c>
      <c r="P73" s="80">
        <f>+SUM(P74:P77)</f>
        <v>669</v>
      </c>
      <c r="Q73" s="80">
        <f>+SUM(Q74:Q77)</f>
        <v>2529</v>
      </c>
      <c r="R73" s="80"/>
      <c r="S73" s="139">
        <f>+C73+G73+K73+O73</f>
        <v>70843</v>
      </c>
      <c r="T73" s="139">
        <f>+D73+H73+L73+P73</f>
        <v>1004</v>
      </c>
      <c r="U73" s="139">
        <f>+S73+T73</f>
        <v>71847</v>
      </c>
      <c r="W73" s="115"/>
    </row>
    <row r="74" spans="1:23" x14ac:dyDescent="0.3">
      <c r="B74" s="138" t="s">
        <v>100</v>
      </c>
      <c r="C74" s="76">
        <v>7483</v>
      </c>
      <c r="D74" s="76">
        <v>159</v>
      </c>
      <c r="E74" s="76">
        <f>+C74+D74</f>
        <v>7642</v>
      </c>
      <c r="G74" s="87">
        <v>1100</v>
      </c>
      <c r="H74" s="87">
        <v>82</v>
      </c>
      <c r="I74" s="76">
        <f t="shared" ref="I74:I77" si="26">+G74+H74</f>
        <v>1182</v>
      </c>
      <c r="K74" s="87">
        <v>400</v>
      </c>
      <c r="L74" s="87">
        <v>29</v>
      </c>
      <c r="M74" s="76">
        <f t="shared" ref="M74:M77" si="27">+K74+L74</f>
        <v>429</v>
      </c>
      <c r="O74" s="87">
        <v>772</v>
      </c>
      <c r="P74" s="87">
        <v>314</v>
      </c>
      <c r="Q74" s="76">
        <f t="shared" ref="Q74:Q77" si="28">+O74+P74</f>
        <v>1086</v>
      </c>
      <c r="S74" s="109">
        <f>+C74+G74+K74+O74</f>
        <v>9755</v>
      </c>
      <c r="T74" s="109">
        <f t="shared" ref="T74:T77" si="29">+D74+H74+L74+P74</f>
        <v>584</v>
      </c>
      <c r="U74" s="109">
        <f t="shared" ref="U74:U77" si="30">+S74+T74</f>
        <v>10339</v>
      </c>
    </row>
    <row r="75" spans="1:23" x14ac:dyDescent="0.3">
      <c r="B75" s="138" t="s">
        <v>101</v>
      </c>
      <c r="C75" s="76">
        <v>765</v>
      </c>
      <c r="D75" s="76">
        <v>4</v>
      </c>
      <c r="E75" s="76">
        <f>+C75+D75</f>
        <v>769</v>
      </c>
      <c r="G75" s="87">
        <v>398</v>
      </c>
      <c r="H75" s="87">
        <v>4</v>
      </c>
      <c r="I75" s="76">
        <f t="shared" si="26"/>
        <v>402</v>
      </c>
      <c r="K75" s="87">
        <v>172</v>
      </c>
      <c r="L75" s="87">
        <v>5</v>
      </c>
      <c r="M75" s="76">
        <f t="shared" si="27"/>
        <v>177</v>
      </c>
      <c r="O75" s="87">
        <v>321</v>
      </c>
      <c r="P75" s="87">
        <v>123</v>
      </c>
      <c r="Q75" s="76">
        <f t="shared" si="28"/>
        <v>444</v>
      </c>
      <c r="S75" s="109">
        <f t="shared" ref="S75:S77" si="31">+C75+G75+K75+O75</f>
        <v>1656</v>
      </c>
      <c r="T75" s="109">
        <f t="shared" si="29"/>
        <v>136</v>
      </c>
      <c r="U75" s="109">
        <f t="shared" si="30"/>
        <v>1792</v>
      </c>
    </row>
    <row r="76" spans="1:23" x14ac:dyDescent="0.3">
      <c r="B76" s="138" t="s">
        <v>102</v>
      </c>
      <c r="C76" s="76">
        <v>54246</v>
      </c>
      <c r="D76" s="76">
        <v>4</v>
      </c>
      <c r="E76" s="76">
        <f>+C76+D76</f>
        <v>54250</v>
      </c>
      <c r="G76" s="87">
        <v>1877</v>
      </c>
      <c r="H76" s="87">
        <v>1</v>
      </c>
      <c r="I76" s="76">
        <f t="shared" si="26"/>
        <v>1878</v>
      </c>
      <c r="K76" s="87">
        <v>305</v>
      </c>
      <c r="L76" s="87">
        <v>2</v>
      </c>
      <c r="M76" s="76">
        <f t="shared" si="27"/>
        <v>307</v>
      </c>
      <c r="O76" s="87">
        <v>180</v>
      </c>
      <c r="P76" s="87">
        <v>68</v>
      </c>
      <c r="Q76" s="76">
        <f t="shared" si="28"/>
        <v>248</v>
      </c>
      <c r="S76" s="109">
        <f t="shared" si="31"/>
        <v>56608</v>
      </c>
      <c r="T76" s="109">
        <f t="shared" si="29"/>
        <v>75</v>
      </c>
      <c r="U76" s="109">
        <f t="shared" si="30"/>
        <v>56683</v>
      </c>
    </row>
    <row r="77" spans="1:23" x14ac:dyDescent="0.3">
      <c r="B77" s="138" t="s">
        <v>103</v>
      </c>
      <c r="C77" s="76">
        <v>1505</v>
      </c>
      <c r="D77" s="76">
        <v>10</v>
      </c>
      <c r="E77" s="76">
        <f>+C77+D77</f>
        <v>1515</v>
      </c>
      <c r="G77" s="87">
        <v>432</v>
      </c>
      <c r="H77" s="87">
        <v>17</v>
      </c>
      <c r="I77" s="76">
        <f t="shared" si="26"/>
        <v>449</v>
      </c>
      <c r="K77" s="87">
        <v>300</v>
      </c>
      <c r="L77" s="87">
        <v>18</v>
      </c>
      <c r="M77" s="76">
        <f t="shared" si="27"/>
        <v>318</v>
      </c>
      <c r="O77" s="87">
        <v>587</v>
      </c>
      <c r="P77" s="87">
        <v>164</v>
      </c>
      <c r="Q77" s="76">
        <f t="shared" si="28"/>
        <v>751</v>
      </c>
      <c r="S77" s="109">
        <f t="shared" si="31"/>
        <v>2824</v>
      </c>
      <c r="T77" s="109">
        <f t="shared" si="29"/>
        <v>209</v>
      </c>
      <c r="U77" s="109">
        <f t="shared" si="30"/>
        <v>3033</v>
      </c>
    </row>
    <row r="78" spans="1:23" x14ac:dyDescent="0.3">
      <c r="B78" s="114" t="s">
        <v>54</v>
      </c>
      <c r="C78" s="115">
        <f>+C54+C73</f>
        <v>413752</v>
      </c>
      <c r="D78" s="115">
        <f>+D54+D73</f>
        <v>6891</v>
      </c>
      <c r="E78" s="115">
        <f>+E54+E73</f>
        <v>420643</v>
      </c>
      <c r="G78" s="115">
        <f>+G54+G73</f>
        <v>81134</v>
      </c>
      <c r="H78" s="115">
        <f>+H54+H73</f>
        <v>9244</v>
      </c>
      <c r="I78" s="115">
        <f>+I54+I73</f>
        <v>90378</v>
      </c>
      <c r="K78" s="115">
        <f>+K54+K73</f>
        <v>36607</v>
      </c>
      <c r="L78" s="115">
        <f>+L54+L73</f>
        <v>5649</v>
      </c>
      <c r="M78" s="115">
        <f>+M54+M73</f>
        <v>42256</v>
      </c>
      <c r="O78" s="115">
        <f>+O54+O73</f>
        <v>105005</v>
      </c>
      <c r="P78" s="115">
        <f>+P54+P73</f>
        <v>23951</v>
      </c>
      <c r="Q78" s="115">
        <f>+Q54+Q73</f>
        <v>128956</v>
      </c>
      <c r="S78" s="116">
        <f>+S54+S73</f>
        <v>636498</v>
      </c>
      <c r="T78" s="116">
        <f>+T54+T73</f>
        <v>45735</v>
      </c>
      <c r="U78" s="116">
        <f>+U54+U73</f>
        <v>682233</v>
      </c>
    </row>
    <row r="80" spans="1:23" x14ac:dyDescent="0.3">
      <c r="B80" s="63"/>
    </row>
  </sheetData>
  <mergeCells count="14">
    <mergeCell ref="O15:Q15"/>
    <mergeCell ref="S15:U15"/>
    <mergeCell ref="B8:U8"/>
    <mergeCell ref="B9:U9"/>
    <mergeCell ref="B50:B52"/>
    <mergeCell ref="C50:E50"/>
    <mergeCell ref="G50:I50"/>
    <mergeCell ref="K50:M50"/>
    <mergeCell ref="O50:Q50"/>
    <mergeCell ref="S50:U50"/>
    <mergeCell ref="B15:B17"/>
    <mergeCell ref="C15:E15"/>
    <mergeCell ref="G15:I15"/>
    <mergeCell ref="K15:M15"/>
  </mergeCells>
  <hyperlinks>
    <hyperlink ref="B1" location="Índice!A1" display="Ir a inicio" xr:uid="{6B390F77-3455-469A-AE2A-338C1CF0CBFF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43" fitToHeight="2" orientation="landscape" r:id="rId1"/>
  <headerFooter alignWithMargins="0"/>
  <rowBreaks count="1" manualBreakCount="1">
    <brk id="46" max="20" man="1"/>
  </row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5AE3C-538D-4C58-BB97-D0C00D19A918}">
  <dimension ref="A1:U68"/>
  <sheetViews>
    <sheetView showGridLines="0" zoomScaleNormal="100" zoomScaleSheetLayoutView="80" workbookViewId="0">
      <selection activeCell="H50" sqref="H50"/>
    </sheetView>
  </sheetViews>
  <sheetFormatPr baseColWidth="10" defaultColWidth="11.44140625" defaultRowHeight="14.4" x14ac:dyDescent="0.3"/>
  <cols>
    <col min="1" max="1" width="1.6640625" style="65" customWidth="1"/>
    <col min="2" max="2" width="24.44140625" style="65" bestFit="1" customWidth="1"/>
    <col min="3" max="5" width="15" style="87" customWidth="1"/>
    <col min="6" max="6" width="2.6640625" style="87" customWidth="1"/>
    <col min="7" max="9" width="15" style="87" customWidth="1"/>
    <col min="10" max="10" width="2.6640625" style="87" customWidth="1"/>
    <col min="11" max="13" width="15" style="87" customWidth="1"/>
    <col min="14" max="14" width="2.6640625" style="87" customWidth="1"/>
    <col min="15" max="17" width="15" style="87" customWidth="1"/>
    <col min="18" max="18" width="2.6640625" style="87" customWidth="1"/>
    <col min="19" max="21" width="15" style="87" customWidth="1"/>
    <col min="22" max="16384" width="11.44140625" style="65"/>
  </cols>
  <sheetData>
    <row r="1" spans="1:21" x14ac:dyDescent="0.3">
      <c r="A1" s="83"/>
      <c r="B1" s="144" t="s">
        <v>12</v>
      </c>
      <c r="C1" s="99"/>
      <c r="D1" s="99"/>
      <c r="E1" s="99"/>
      <c r="F1" s="99"/>
      <c r="G1" s="99"/>
      <c r="H1" s="99"/>
      <c r="I1" s="99"/>
      <c r="J1" s="99"/>
    </row>
    <row r="2" spans="1:21" x14ac:dyDescent="0.3">
      <c r="A2" s="84"/>
      <c r="B2" s="83"/>
      <c r="C2" s="99"/>
      <c r="D2" s="99"/>
      <c r="E2" s="99"/>
      <c r="F2" s="99"/>
    </row>
    <row r="3" spans="1:21" x14ac:dyDescent="0.3">
      <c r="A3" s="84"/>
      <c r="B3" s="83"/>
      <c r="C3" s="99"/>
      <c r="D3" s="99"/>
      <c r="E3" s="99"/>
      <c r="F3" s="99"/>
    </row>
    <row r="4" spans="1:21" x14ac:dyDescent="0.3">
      <c r="A4" s="84"/>
      <c r="B4" s="83"/>
      <c r="C4" s="99"/>
      <c r="D4" s="99"/>
      <c r="E4" s="99"/>
      <c r="F4" s="99"/>
    </row>
    <row r="5" spans="1:21" x14ac:dyDescent="0.3">
      <c r="A5" s="84"/>
      <c r="B5" s="83"/>
      <c r="C5" s="99"/>
      <c r="D5" s="99"/>
      <c r="E5" s="99"/>
      <c r="F5" s="99"/>
    </row>
    <row r="6" spans="1:21" x14ac:dyDescent="0.3">
      <c r="A6" s="84"/>
      <c r="B6" s="83"/>
      <c r="C6" s="99"/>
      <c r="D6" s="99"/>
      <c r="E6" s="99"/>
      <c r="F6" s="99"/>
    </row>
    <row r="7" spans="1:21" x14ac:dyDescent="0.3">
      <c r="A7" s="84"/>
      <c r="B7" s="83"/>
      <c r="C7" s="99"/>
      <c r="D7" s="99"/>
      <c r="E7" s="99"/>
      <c r="F7" s="99"/>
    </row>
    <row r="8" spans="1:21" ht="27" x14ac:dyDescent="0.3">
      <c r="A8" s="63"/>
      <c r="B8" s="187" t="s">
        <v>34</v>
      </c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</row>
    <row r="9" spans="1:21" x14ac:dyDescent="0.3">
      <c r="A9" s="63"/>
      <c r="B9" s="180">
        <f>+Carátula!B17</f>
        <v>45565</v>
      </c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</row>
    <row r="10" spans="1:21" ht="15" thickBot="1" x14ac:dyDescent="0.35">
      <c r="A10" s="63"/>
      <c r="B10" s="86"/>
      <c r="C10" s="100"/>
      <c r="D10" s="100"/>
      <c r="E10" s="100"/>
      <c r="F10" s="100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</row>
    <row r="11" spans="1:21" x14ac:dyDescent="0.3">
      <c r="A11" s="63"/>
      <c r="B11" s="63"/>
      <c r="C11" s="99"/>
      <c r="D11" s="99"/>
      <c r="E11" s="99"/>
      <c r="F11" s="99"/>
      <c r="G11" s="99"/>
      <c r="H11" s="99"/>
      <c r="I11" s="99"/>
      <c r="J11" s="99"/>
    </row>
    <row r="12" spans="1:21" x14ac:dyDescent="0.3">
      <c r="A12" s="63"/>
      <c r="B12" s="63"/>
      <c r="C12" s="99"/>
      <c r="D12" s="99"/>
      <c r="E12" s="99"/>
      <c r="F12" s="99"/>
      <c r="G12" s="99"/>
      <c r="H12" s="99"/>
      <c r="I12" s="99"/>
      <c r="J12" s="99"/>
    </row>
    <row r="13" spans="1:21" ht="16.2" x14ac:dyDescent="0.35">
      <c r="A13" s="63"/>
      <c r="B13" s="73" t="s">
        <v>35</v>
      </c>
      <c r="C13" s="99"/>
      <c r="D13" s="99"/>
      <c r="E13" s="99"/>
      <c r="F13" s="99"/>
      <c r="G13" s="99"/>
      <c r="H13" s="99"/>
      <c r="I13" s="99"/>
      <c r="J13" s="76"/>
      <c r="R13" s="76"/>
    </row>
    <row r="14" spans="1:21" x14ac:dyDescent="0.3">
      <c r="A14" s="63"/>
      <c r="B14" s="88"/>
      <c r="C14" s="99"/>
      <c r="D14" s="99"/>
      <c r="E14" s="99"/>
      <c r="F14" s="99"/>
      <c r="G14" s="99"/>
      <c r="H14" s="99"/>
      <c r="I14" s="99"/>
      <c r="J14" s="76"/>
      <c r="N14" s="76"/>
      <c r="R14" s="76"/>
    </row>
    <row r="15" spans="1:21" s="105" customFormat="1" ht="24" customHeight="1" x14ac:dyDescent="0.3">
      <c r="A15" s="85"/>
      <c r="B15" s="189"/>
      <c r="C15" s="190" t="s">
        <v>19</v>
      </c>
      <c r="D15" s="188"/>
      <c r="E15" s="188"/>
      <c r="F15" s="102"/>
      <c r="G15" s="188" t="s">
        <v>20</v>
      </c>
      <c r="H15" s="188"/>
      <c r="I15" s="188"/>
      <c r="J15" s="103"/>
      <c r="K15" s="190" t="s">
        <v>21</v>
      </c>
      <c r="L15" s="188"/>
      <c r="M15" s="188"/>
      <c r="N15" s="104"/>
      <c r="O15" s="188" t="s">
        <v>22</v>
      </c>
      <c r="P15" s="188"/>
      <c r="Q15" s="188"/>
      <c r="R15" s="103"/>
      <c r="S15" s="188" t="s">
        <v>33</v>
      </c>
      <c r="T15" s="188"/>
      <c r="U15" s="188"/>
    </row>
    <row r="16" spans="1:21" x14ac:dyDescent="0.3">
      <c r="A16" s="63"/>
      <c r="B16" s="189"/>
      <c r="C16" s="106"/>
      <c r="D16" s="106"/>
      <c r="E16" s="106"/>
      <c r="F16" s="99"/>
      <c r="G16" s="106"/>
      <c r="H16" s="106"/>
      <c r="I16" s="106"/>
      <c r="J16" s="107"/>
      <c r="K16" s="106"/>
      <c r="L16" s="106"/>
      <c r="M16" s="106"/>
      <c r="N16" s="107"/>
      <c r="O16" s="106"/>
      <c r="P16" s="106"/>
      <c r="Q16" s="106"/>
      <c r="R16" s="107"/>
      <c r="S16" s="106"/>
      <c r="T16" s="106"/>
      <c r="U16" s="106"/>
    </row>
    <row r="17" spans="1:21" x14ac:dyDescent="0.3">
      <c r="A17" s="63"/>
      <c r="B17" s="189"/>
      <c r="C17" s="108" t="s">
        <v>26</v>
      </c>
      <c r="D17" s="108" t="s">
        <v>27</v>
      </c>
      <c r="E17" s="108" t="s">
        <v>18</v>
      </c>
      <c r="F17" s="99"/>
      <c r="G17" s="108" t="s">
        <v>26</v>
      </c>
      <c r="H17" s="108" t="s">
        <v>27</v>
      </c>
      <c r="I17" s="108" t="s">
        <v>18</v>
      </c>
      <c r="J17" s="107"/>
      <c r="K17" s="108" t="s">
        <v>26</v>
      </c>
      <c r="L17" s="108" t="s">
        <v>27</v>
      </c>
      <c r="M17" s="108" t="s">
        <v>18</v>
      </c>
      <c r="N17" s="107"/>
      <c r="O17" s="108" t="s">
        <v>26</v>
      </c>
      <c r="P17" s="108" t="s">
        <v>27</v>
      </c>
      <c r="Q17" s="108" t="s">
        <v>18</v>
      </c>
      <c r="R17" s="107"/>
      <c r="S17" s="108" t="s">
        <v>26</v>
      </c>
      <c r="T17" s="108" t="s">
        <v>27</v>
      </c>
      <c r="U17" s="108" t="s">
        <v>18</v>
      </c>
    </row>
    <row r="18" spans="1:21" x14ac:dyDescent="0.3">
      <c r="A18" s="63"/>
      <c r="C18" s="76"/>
      <c r="D18" s="76"/>
      <c r="E18" s="76"/>
      <c r="F18" s="99"/>
      <c r="G18" s="76"/>
      <c r="H18" s="76"/>
      <c r="I18" s="76"/>
      <c r="J18" s="76"/>
      <c r="K18" s="76"/>
      <c r="L18" s="76"/>
      <c r="M18" s="76"/>
      <c r="N18" s="107"/>
      <c r="O18" s="76"/>
      <c r="P18" s="76"/>
      <c r="Q18" s="76"/>
      <c r="R18" s="76"/>
      <c r="S18" s="76"/>
      <c r="T18" s="76"/>
      <c r="U18" s="76"/>
    </row>
    <row r="19" spans="1:21" x14ac:dyDescent="0.3">
      <c r="A19" s="63"/>
      <c r="B19" s="63" t="s">
        <v>36</v>
      </c>
      <c r="C19" s="76">
        <v>7922.7482870000003</v>
      </c>
      <c r="D19" s="76">
        <v>74807.751071000006</v>
      </c>
      <c r="E19" s="76">
        <f>+C19+D19</f>
        <v>82730.499358000001</v>
      </c>
      <c r="F19" s="99"/>
      <c r="G19" s="76">
        <v>26558.228276999998</v>
      </c>
      <c r="H19" s="76">
        <v>15066.597726</v>
      </c>
      <c r="I19" s="76">
        <f>+G19+H19</f>
        <v>41624.826002999995</v>
      </c>
      <c r="J19" s="76"/>
      <c r="K19" s="76">
        <v>74178.001504</v>
      </c>
      <c r="L19" s="76">
        <v>58391.128611169996</v>
      </c>
      <c r="M19" s="76">
        <f>+K19+L19</f>
        <v>132569.13011517</v>
      </c>
      <c r="N19" s="76"/>
      <c r="O19" s="76">
        <v>355539.96648200002</v>
      </c>
      <c r="P19" s="76">
        <v>501523.77384763001</v>
      </c>
      <c r="Q19" s="76">
        <f>+O19+P19</f>
        <v>857063.74032962997</v>
      </c>
      <c r="R19" s="76"/>
      <c r="S19" s="109">
        <f>+C19+G19+K19+O19</f>
        <v>464198.94455000001</v>
      </c>
      <c r="T19" s="109">
        <f>+D19+H19+L19+P19</f>
        <v>649789.25125580002</v>
      </c>
      <c r="U19" s="109">
        <f>+S19+T19</f>
        <v>1113988.1958058001</v>
      </c>
    </row>
    <row r="20" spans="1:21" x14ac:dyDescent="0.3">
      <c r="B20" s="65" t="s">
        <v>37</v>
      </c>
      <c r="C20" s="87">
        <v>639278.60471390001</v>
      </c>
      <c r="D20" s="87">
        <v>467030.63823500002</v>
      </c>
      <c r="E20" s="89">
        <f t="shared" ref="E20:E36" si="0">+C20+D20</f>
        <v>1106309.2429489</v>
      </c>
      <c r="G20" s="87">
        <v>526255.43345050002</v>
      </c>
      <c r="H20" s="87">
        <v>982373.22200400906</v>
      </c>
      <c r="I20" s="89">
        <f t="shared" ref="I20:I36" si="1">+G20+H20</f>
        <v>1508628.655454509</v>
      </c>
      <c r="K20" s="87">
        <v>313932.63143210998</v>
      </c>
      <c r="L20" s="87">
        <v>1540716.5974232401</v>
      </c>
      <c r="M20" s="89">
        <f t="shared" ref="M20:M36" si="2">+K20+L20</f>
        <v>1854649.2288553501</v>
      </c>
      <c r="O20" s="87">
        <v>1811886.6997420201</v>
      </c>
      <c r="P20" s="87">
        <v>14604833.063533802</v>
      </c>
      <c r="Q20" s="89">
        <f t="shared" ref="Q20:Q36" si="3">+O20+P20</f>
        <v>16416719.763275821</v>
      </c>
      <c r="S20" s="110">
        <f t="shared" ref="S20:T36" si="4">+C20+G20+K20+O20</f>
        <v>3291353.3693385301</v>
      </c>
      <c r="T20" s="110">
        <f t="shared" si="4"/>
        <v>17594953.521196052</v>
      </c>
      <c r="U20" s="110">
        <f t="shared" ref="U20:U36" si="5">+S20+T20</f>
        <v>20886306.890534583</v>
      </c>
    </row>
    <row r="21" spans="1:21" x14ac:dyDescent="0.3">
      <c r="B21" s="65" t="s">
        <v>38</v>
      </c>
      <c r="C21" s="87">
        <v>94936.290504999997</v>
      </c>
      <c r="D21" s="87">
        <v>22113.127769080002</v>
      </c>
      <c r="E21" s="89">
        <f t="shared" si="0"/>
        <v>117049.41827408</v>
      </c>
      <c r="G21" s="87">
        <v>76187.890276000006</v>
      </c>
      <c r="H21" s="87">
        <v>68457.535453389995</v>
      </c>
      <c r="I21" s="89">
        <f t="shared" si="1"/>
        <v>144645.42572939</v>
      </c>
      <c r="K21" s="87">
        <v>73340.027627000003</v>
      </c>
      <c r="L21" s="87">
        <v>124719.97023373</v>
      </c>
      <c r="M21" s="89">
        <f t="shared" si="2"/>
        <v>198059.99786072999</v>
      </c>
      <c r="O21" s="87">
        <v>276861.31440600002</v>
      </c>
      <c r="P21" s="87">
        <v>911286.15518601006</v>
      </c>
      <c r="Q21" s="89">
        <f t="shared" si="3"/>
        <v>1188147.4695920101</v>
      </c>
      <c r="S21" s="110">
        <f t="shared" si="4"/>
        <v>521325.52281400003</v>
      </c>
      <c r="T21" s="110">
        <f t="shared" si="4"/>
        <v>1126576.78864221</v>
      </c>
      <c r="U21" s="110">
        <f t="shared" si="5"/>
        <v>1647902.31145621</v>
      </c>
    </row>
    <row r="22" spans="1:21" x14ac:dyDescent="0.3">
      <c r="B22" s="65" t="s">
        <v>39</v>
      </c>
      <c r="C22" s="87">
        <v>69879.627353499993</v>
      </c>
      <c r="D22" s="87">
        <v>38043.875906000001</v>
      </c>
      <c r="E22" s="89">
        <f t="shared" si="0"/>
        <v>107923.50325949999</v>
      </c>
      <c r="G22" s="87">
        <v>99524.132198499996</v>
      </c>
      <c r="H22" s="87">
        <v>294067.88026328001</v>
      </c>
      <c r="I22" s="89">
        <f t="shared" si="1"/>
        <v>393592.01246177999</v>
      </c>
      <c r="K22" s="87">
        <v>67549.402939000007</v>
      </c>
      <c r="L22" s="87">
        <v>34501.020906999998</v>
      </c>
      <c r="M22" s="89">
        <f t="shared" si="2"/>
        <v>102050.42384600001</v>
      </c>
      <c r="O22" s="87">
        <v>903712.22915999999</v>
      </c>
      <c r="P22" s="87">
        <v>339772.55607384001</v>
      </c>
      <c r="Q22" s="89">
        <f t="shared" si="3"/>
        <v>1243484.7852338399</v>
      </c>
      <c r="S22" s="110">
        <f t="shared" si="4"/>
        <v>1140665.3916509999</v>
      </c>
      <c r="T22" s="110">
        <f t="shared" si="4"/>
        <v>706385.33315011999</v>
      </c>
      <c r="U22" s="110">
        <f t="shared" si="5"/>
        <v>1847050.7248011199</v>
      </c>
    </row>
    <row r="23" spans="1:21" x14ac:dyDescent="0.3">
      <c r="B23" s="65" t="s">
        <v>40</v>
      </c>
      <c r="C23" s="87">
        <v>355448.18588349997</v>
      </c>
      <c r="D23" s="87">
        <v>88258.164677559995</v>
      </c>
      <c r="E23" s="89">
        <f t="shared" si="0"/>
        <v>443706.35056105995</v>
      </c>
      <c r="G23" s="87">
        <v>255689.37824600001</v>
      </c>
      <c r="H23" s="87">
        <v>209897.44617889001</v>
      </c>
      <c r="I23" s="89">
        <f t="shared" si="1"/>
        <v>465586.82442488999</v>
      </c>
      <c r="K23" s="87">
        <v>222117.51641849999</v>
      </c>
      <c r="L23" s="87">
        <v>179539.95653551002</v>
      </c>
      <c r="M23" s="89">
        <f t="shared" si="2"/>
        <v>401657.47295401001</v>
      </c>
      <c r="O23" s="87">
        <v>1275923.4019175</v>
      </c>
      <c r="P23" s="87">
        <v>2180511.7154822201</v>
      </c>
      <c r="Q23" s="89">
        <f t="shared" si="3"/>
        <v>3456435.11739972</v>
      </c>
      <c r="S23" s="110">
        <f t="shared" si="4"/>
        <v>2109178.4824655</v>
      </c>
      <c r="T23" s="110">
        <f t="shared" si="4"/>
        <v>2658207.28287418</v>
      </c>
      <c r="U23" s="110">
        <f t="shared" si="5"/>
        <v>4767385.76533968</v>
      </c>
    </row>
    <row r="24" spans="1:21" x14ac:dyDescent="0.3">
      <c r="B24" s="65" t="s">
        <v>41</v>
      </c>
      <c r="C24" s="87">
        <v>89406.377942000006</v>
      </c>
      <c r="D24" s="87">
        <v>16924.975443579999</v>
      </c>
      <c r="E24" s="89">
        <f t="shared" si="0"/>
        <v>106331.35338558001</v>
      </c>
      <c r="G24" s="87">
        <v>30372.247671500001</v>
      </c>
      <c r="H24" s="87">
        <v>66454.146386720007</v>
      </c>
      <c r="I24" s="89">
        <f t="shared" si="1"/>
        <v>96826.394058220001</v>
      </c>
      <c r="K24" s="87">
        <v>28798.065750000002</v>
      </c>
      <c r="L24" s="87">
        <v>37996.36566489</v>
      </c>
      <c r="M24" s="89">
        <f t="shared" si="2"/>
        <v>66794.431414890001</v>
      </c>
      <c r="O24" s="87">
        <v>32646.048642999998</v>
      </c>
      <c r="P24" s="87">
        <v>86714.892579120002</v>
      </c>
      <c r="Q24" s="89">
        <f t="shared" si="3"/>
        <v>119360.94122212</v>
      </c>
      <c r="S24" s="110">
        <f t="shared" si="4"/>
        <v>181222.74000650001</v>
      </c>
      <c r="T24" s="110">
        <f t="shared" si="4"/>
        <v>208090.38007431</v>
      </c>
      <c r="U24" s="110">
        <f t="shared" si="5"/>
        <v>389313.12008081004</v>
      </c>
    </row>
    <row r="25" spans="1:21" x14ac:dyDescent="0.3">
      <c r="B25" s="65" t="s">
        <v>42</v>
      </c>
      <c r="C25" s="87">
        <v>176816.52160000001</v>
      </c>
      <c r="D25" s="87">
        <v>316086.75007424998</v>
      </c>
      <c r="E25" s="89">
        <f t="shared" si="0"/>
        <v>492903.27167425002</v>
      </c>
      <c r="G25" s="87">
        <v>153539.32662732998</v>
      </c>
      <c r="H25" s="87">
        <v>496765.13067043998</v>
      </c>
      <c r="I25" s="89">
        <f t="shared" si="1"/>
        <v>650304.45729776996</v>
      </c>
      <c r="K25" s="87">
        <v>102562.91570933</v>
      </c>
      <c r="L25" s="87">
        <v>419888.52686985</v>
      </c>
      <c r="M25" s="89">
        <f t="shared" si="2"/>
        <v>522451.44257918</v>
      </c>
      <c r="O25" s="87">
        <v>413709.36705649999</v>
      </c>
      <c r="P25" s="87">
        <v>3897678.3883110802</v>
      </c>
      <c r="Q25" s="89">
        <f t="shared" si="3"/>
        <v>4311387.7553675799</v>
      </c>
      <c r="S25" s="110">
        <f t="shared" si="4"/>
        <v>846628.13099315995</v>
      </c>
      <c r="T25" s="110">
        <f t="shared" si="4"/>
        <v>5130418.79592562</v>
      </c>
      <c r="U25" s="110">
        <f t="shared" si="5"/>
        <v>5977046.9269187804</v>
      </c>
    </row>
    <row r="26" spans="1:21" x14ac:dyDescent="0.3">
      <c r="B26" s="65" t="s">
        <v>43</v>
      </c>
      <c r="C26" s="87">
        <v>2052841.5279371699</v>
      </c>
      <c r="D26" s="87">
        <v>1188682.8682424601</v>
      </c>
      <c r="E26" s="89">
        <f t="shared" si="0"/>
        <v>3241524.39617963</v>
      </c>
      <c r="G26" s="87">
        <v>1350521.0184165</v>
      </c>
      <c r="H26" s="87">
        <v>460633.86351152003</v>
      </c>
      <c r="I26" s="89">
        <f t="shared" si="1"/>
        <v>1811154.8819280199</v>
      </c>
      <c r="K26" s="87">
        <v>1136188.07330172</v>
      </c>
      <c r="L26" s="87">
        <v>435152.83077731001</v>
      </c>
      <c r="M26" s="89">
        <f t="shared" si="2"/>
        <v>1571340.90407903</v>
      </c>
      <c r="O26" s="87">
        <v>18737785.3520547</v>
      </c>
      <c r="P26" s="87">
        <v>16970399.880271502</v>
      </c>
      <c r="Q26" s="89">
        <f t="shared" si="3"/>
        <v>35708185.232326202</v>
      </c>
      <c r="S26" s="110">
        <f t="shared" si="4"/>
        <v>23277335.97171009</v>
      </c>
      <c r="T26" s="110">
        <f t="shared" si="4"/>
        <v>19054869.442802791</v>
      </c>
      <c r="U26" s="110">
        <f t="shared" si="5"/>
        <v>42332205.41451288</v>
      </c>
    </row>
    <row r="27" spans="1:21" x14ac:dyDescent="0.3">
      <c r="B27" s="65" t="s">
        <v>44</v>
      </c>
      <c r="C27" s="87">
        <v>2138673.1102156998</v>
      </c>
      <c r="D27" s="87">
        <v>418395.49163965002</v>
      </c>
      <c r="E27" s="89">
        <f t="shared" si="0"/>
        <v>2557068.6018553497</v>
      </c>
      <c r="G27" s="87">
        <v>1009476.4564330101</v>
      </c>
      <c r="H27" s="87">
        <v>110629.41860537</v>
      </c>
      <c r="I27" s="89">
        <f t="shared" si="1"/>
        <v>1120105.87503838</v>
      </c>
      <c r="K27" s="87">
        <v>775341.02414995804</v>
      </c>
      <c r="L27" s="87">
        <v>151304.46225388002</v>
      </c>
      <c r="M27" s="89">
        <f t="shared" si="2"/>
        <v>926645.48640383803</v>
      </c>
      <c r="O27" s="87">
        <v>9306757.5373089798</v>
      </c>
      <c r="P27" s="87">
        <v>5018481.22206786</v>
      </c>
      <c r="Q27" s="89">
        <f t="shared" si="3"/>
        <v>14325238.759376839</v>
      </c>
      <c r="S27" s="110">
        <f t="shared" si="4"/>
        <v>13230248.128107648</v>
      </c>
      <c r="T27" s="110">
        <f t="shared" si="4"/>
        <v>5698810.5945667597</v>
      </c>
      <c r="U27" s="110">
        <f t="shared" si="5"/>
        <v>18929058.722674407</v>
      </c>
    </row>
    <row r="28" spans="1:21" x14ac:dyDescent="0.3">
      <c r="B28" s="65" t="s">
        <v>45</v>
      </c>
      <c r="C28" s="87">
        <v>217598.22638450001</v>
      </c>
      <c r="D28" s="87">
        <v>22681.77674669</v>
      </c>
      <c r="E28" s="89">
        <f t="shared" si="0"/>
        <v>240280.00313119002</v>
      </c>
      <c r="G28" s="87">
        <v>189809.73788999999</v>
      </c>
      <c r="H28" s="87">
        <v>32871.232133769998</v>
      </c>
      <c r="I28" s="89">
        <f t="shared" si="1"/>
        <v>222680.97002377</v>
      </c>
      <c r="K28" s="87">
        <v>124142.22076900001</v>
      </c>
      <c r="L28" s="87">
        <v>27790.33293072</v>
      </c>
      <c r="M28" s="89">
        <f t="shared" si="2"/>
        <v>151932.55369972001</v>
      </c>
      <c r="O28" s="87">
        <v>228689.63421700001</v>
      </c>
      <c r="P28" s="87">
        <v>755266.33789632993</v>
      </c>
      <c r="Q28" s="89">
        <f t="shared" si="3"/>
        <v>983955.97211332992</v>
      </c>
      <c r="S28" s="110">
        <f t="shared" si="4"/>
        <v>760239.81926050002</v>
      </c>
      <c r="T28" s="110">
        <f t="shared" si="4"/>
        <v>838609.67970750993</v>
      </c>
      <c r="U28" s="110">
        <f t="shared" si="5"/>
        <v>1598849.4989680098</v>
      </c>
    </row>
    <row r="29" spans="1:21" x14ac:dyDescent="0.3">
      <c r="B29" s="65" t="s">
        <v>46</v>
      </c>
      <c r="C29" s="87">
        <v>158166.65511550001</v>
      </c>
      <c r="D29" s="87">
        <v>21248.718265</v>
      </c>
      <c r="E29" s="89">
        <f t="shared" si="0"/>
        <v>179415.37338050001</v>
      </c>
      <c r="G29" s="87">
        <v>93591.319680500004</v>
      </c>
      <c r="H29" s="87">
        <v>2878.58920145</v>
      </c>
      <c r="I29" s="89">
        <f t="shared" si="1"/>
        <v>96469.908881950003</v>
      </c>
      <c r="K29" s="87">
        <v>55190.383475499999</v>
      </c>
      <c r="L29" s="87">
        <v>23615.354593430002</v>
      </c>
      <c r="M29" s="89">
        <f t="shared" si="2"/>
        <v>78805.738068930004</v>
      </c>
      <c r="O29" s="87">
        <v>153521.66790500001</v>
      </c>
      <c r="P29" s="87">
        <v>87861.522028859996</v>
      </c>
      <c r="Q29" s="89">
        <f t="shared" si="3"/>
        <v>241383.18993386001</v>
      </c>
      <c r="S29" s="110">
        <f t="shared" si="4"/>
        <v>460470.02617650002</v>
      </c>
      <c r="T29" s="110">
        <f t="shared" si="4"/>
        <v>135604.18408874</v>
      </c>
      <c r="U29" s="110">
        <f t="shared" si="5"/>
        <v>596074.21026524005</v>
      </c>
    </row>
    <row r="30" spans="1:21" x14ac:dyDescent="0.3">
      <c r="B30" s="65" t="s">
        <v>47</v>
      </c>
      <c r="C30" s="87">
        <v>110727.31187999999</v>
      </c>
      <c r="D30" s="87">
        <v>7111.6410595699999</v>
      </c>
      <c r="E30" s="89">
        <f t="shared" si="0"/>
        <v>117838.95293956999</v>
      </c>
      <c r="G30" s="87">
        <v>77716.592604499994</v>
      </c>
      <c r="H30" s="87">
        <v>12971.50699437</v>
      </c>
      <c r="I30" s="89">
        <f t="shared" si="1"/>
        <v>90688.099598870002</v>
      </c>
      <c r="K30" s="87">
        <v>56093.526528499999</v>
      </c>
      <c r="L30" s="87">
        <v>3006.2770351199997</v>
      </c>
      <c r="M30" s="89">
        <f t="shared" si="2"/>
        <v>59099.80356362</v>
      </c>
      <c r="O30" s="87">
        <v>112989.073456</v>
      </c>
      <c r="P30" s="87">
        <v>11040.69991822</v>
      </c>
      <c r="Q30" s="89">
        <f t="shared" si="3"/>
        <v>124029.77337421999</v>
      </c>
      <c r="S30" s="110">
        <f t="shared" si="4"/>
        <v>357526.50446899998</v>
      </c>
      <c r="T30" s="110">
        <f t="shared" si="4"/>
        <v>34130.125007280003</v>
      </c>
      <c r="U30" s="110">
        <f t="shared" si="5"/>
        <v>391656.62947627995</v>
      </c>
    </row>
    <row r="31" spans="1:21" x14ac:dyDescent="0.3">
      <c r="B31" s="65" t="s">
        <v>48</v>
      </c>
      <c r="C31" s="87">
        <v>618801.59826500004</v>
      </c>
      <c r="D31" s="87">
        <v>277425.54294068</v>
      </c>
      <c r="E31" s="89">
        <f t="shared" si="0"/>
        <v>896227.14120568009</v>
      </c>
      <c r="G31" s="87">
        <v>445681.40105951001</v>
      </c>
      <c r="H31" s="87">
        <v>646238.26092684001</v>
      </c>
      <c r="I31" s="89">
        <f t="shared" si="1"/>
        <v>1091919.6619863501</v>
      </c>
      <c r="K31" s="87">
        <v>311164.68277100002</v>
      </c>
      <c r="L31" s="87">
        <v>652949.22686266003</v>
      </c>
      <c r="M31" s="89">
        <f t="shared" si="2"/>
        <v>964113.90963365999</v>
      </c>
      <c r="O31" s="87">
        <v>2480060.3015204798</v>
      </c>
      <c r="P31" s="87">
        <v>5413191.6891119499</v>
      </c>
      <c r="Q31" s="89">
        <f t="shared" si="3"/>
        <v>7893251.9906324297</v>
      </c>
      <c r="S31" s="110">
        <f t="shared" si="4"/>
        <v>3855707.9836159898</v>
      </c>
      <c r="T31" s="110">
        <f t="shared" si="4"/>
        <v>6989804.7198421303</v>
      </c>
      <c r="U31" s="110">
        <f t="shared" si="5"/>
        <v>10845512.703458119</v>
      </c>
    </row>
    <row r="32" spans="1:21" x14ac:dyDescent="0.3">
      <c r="B32" s="65" t="s">
        <v>49</v>
      </c>
      <c r="C32" s="87">
        <v>199777.87946200001</v>
      </c>
      <c r="D32" s="87">
        <v>7257.5522069199997</v>
      </c>
      <c r="E32" s="89">
        <f t="shared" si="0"/>
        <v>207035.43166892001</v>
      </c>
      <c r="G32" s="87">
        <v>54328.676390000001</v>
      </c>
      <c r="H32" s="87">
        <v>18705.120455529999</v>
      </c>
      <c r="I32" s="89">
        <f t="shared" si="1"/>
        <v>73033.79684553</v>
      </c>
      <c r="K32" s="87">
        <v>22909.175891999999</v>
      </c>
      <c r="L32" s="87">
        <v>13407.177844739999</v>
      </c>
      <c r="M32" s="89">
        <f t="shared" si="2"/>
        <v>36316.353736739999</v>
      </c>
      <c r="O32" s="87">
        <v>164551.68783000001</v>
      </c>
      <c r="P32" s="87">
        <v>350962.56245263002</v>
      </c>
      <c r="Q32" s="89">
        <f t="shared" si="3"/>
        <v>515514.25028263003</v>
      </c>
      <c r="S32" s="110">
        <f t="shared" si="4"/>
        <v>441567.419574</v>
      </c>
      <c r="T32" s="110">
        <f t="shared" si="4"/>
        <v>390332.41295982001</v>
      </c>
      <c r="U32" s="110">
        <f t="shared" si="5"/>
        <v>831899.83253382007</v>
      </c>
    </row>
    <row r="33" spans="1:21" x14ac:dyDescent="0.3">
      <c r="B33" s="65" t="s">
        <v>50</v>
      </c>
      <c r="C33" s="87">
        <v>620083.92096749996</v>
      </c>
      <c r="D33" s="87">
        <v>1816.7176844400001</v>
      </c>
      <c r="E33" s="89">
        <f t="shared" si="0"/>
        <v>621900.63865193992</v>
      </c>
      <c r="G33" s="87">
        <v>50092.290726500003</v>
      </c>
      <c r="H33" s="87">
        <v>590.48264317999997</v>
      </c>
      <c r="I33" s="89">
        <f t="shared" si="1"/>
        <v>50682.773369680006</v>
      </c>
      <c r="K33" s="87">
        <v>16804.419908</v>
      </c>
      <c r="L33" s="87">
        <v>572.75770199999999</v>
      </c>
      <c r="M33" s="89">
        <f t="shared" si="2"/>
        <v>17377.177609999999</v>
      </c>
      <c r="O33" s="87">
        <v>44822.161112000002</v>
      </c>
      <c r="P33" s="87">
        <v>19232.404537980001</v>
      </c>
      <c r="Q33" s="89">
        <f t="shared" si="3"/>
        <v>64054.565649980002</v>
      </c>
      <c r="S33" s="110">
        <f t="shared" si="4"/>
        <v>731802.79271399998</v>
      </c>
      <c r="T33" s="110">
        <f t="shared" si="4"/>
        <v>22212.362567600001</v>
      </c>
      <c r="U33" s="110">
        <f t="shared" si="5"/>
        <v>754015.15528159996</v>
      </c>
    </row>
    <row r="34" spans="1:21" x14ac:dyDescent="0.3">
      <c r="B34" s="65" t="s">
        <v>51</v>
      </c>
      <c r="C34" s="87">
        <v>111984.146326</v>
      </c>
      <c r="D34" s="87">
        <v>112176.17496824999</v>
      </c>
      <c r="E34" s="89">
        <f t="shared" si="0"/>
        <v>224160.32129425</v>
      </c>
      <c r="G34" s="87">
        <v>47299.436067000002</v>
      </c>
      <c r="H34" s="87">
        <v>1001.05023687</v>
      </c>
      <c r="I34" s="89">
        <f t="shared" si="1"/>
        <v>48300.486303870006</v>
      </c>
      <c r="K34" s="87">
        <v>19298.004956000001</v>
      </c>
      <c r="L34" s="87">
        <v>12487.069133000001</v>
      </c>
      <c r="M34" s="89">
        <f t="shared" si="2"/>
        <v>31785.074089000002</v>
      </c>
      <c r="O34" s="87">
        <v>153360.79474899999</v>
      </c>
      <c r="P34" s="87">
        <v>2557.5944781599997</v>
      </c>
      <c r="Q34" s="89">
        <f t="shared" si="3"/>
        <v>155918.38922715999</v>
      </c>
      <c r="S34" s="110">
        <f t="shared" si="4"/>
        <v>331942.38209800003</v>
      </c>
      <c r="T34" s="110">
        <f t="shared" si="4"/>
        <v>128221.88881627998</v>
      </c>
      <c r="U34" s="110">
        <f t="shared" si="5"/>
        <v>460164.27091428003</v>
      </c>
    </row>
    <row r="35" spans="1:21" x14ac:dyDescent="0.3">
      <c r="B35" s="65" t="s">
        <v>52</v>
      </c>
      <c r="C35" s="87">
        <v>88680.346344000005</v>
      </c>
      <c r="D35" s="87">
        <v>2367.934119</v>
      </c>
      <c r="E35" s="89">
        <f t="shared" si="0"/>
        <v>91048.280463000003</v>
      </c>
      <c r="G35" s="87">
        <v>104823.08923899999</v>
      </c>
      <c r="H35" s="87">
        <v>3577.7175218899997</v>
      </c>
      <c r="I35" s="89">
        <f t="shared" si="1"/>
        <v>108400.80676088999</v>
      </c>
      <c r="K35" s="87">
        <v>57163.231527999997</v>
      </c>
      <c r="L35" s="87">
        <v>20120.564437060002</v>
      </c>
      <c r="M35" s="89">
        <f t="shared" si="2"/>
        <v>77283.795965059995</v>
      </c>
      <c r="O35" s="87">
        <v>1309638.6887000001</v>
      </c>
      <c r="P35" s="87">
        <v>940358.82876899</v>
      </c>
      <c r="Q35" s="89">
        <f t="shared" si="3"/>
        <v>2249997.5174689898</v>
      </c>
      <c r="S35" s="110">
        <f t="shared" si="4"/>
        <v>1560305.3558110001</v>
      </c>
      <c r="T35" s="110">
        <f t="shared" si="4"/>
        <v>966425.04484693997</v>
      </c>
      <c r="U35" s="110">
        <f t="shared" si="5"/>
        <v>2526730.4006579402</v>
      </c>
    </row>
    <row r="36" spans="1:21" x14ac:dyDescent="0.3">
      <c r="B36" s="65" t="s">
        <v>53</v>
      </c>
      <c r="C36" s="111">
        <v>283378.10128649999</v>
      </c>
      <c r="D36" s="111">
        <v>78605.411041350002</v>
      </c>
      <c r="E36" s="112">
        <f t="shared" si="0"/>
        <v>361983.51232784998</v>
      </c>
      <c r="G36" s="111">
        <v>217953.97319399999</v>
      </c>
      <c r="H36" s="111">
        <v>292494.59639029996</v>
      </c>
      <c r="I36" s="112">
        <f t="shared" si="1"/>
        <v>510448.56958429993</v>
      </c>
      <c r="K36" s="111">
        <v>91771.638327029999</v>
      </c>
      <c r="L36" s="111">
        <v>403479.22143646004</v>
      </c>
      <c r="M36" s="112">
        <f t="shared" si="2"/>
        <v>495250.85976349004</v>
      </c>
      <c r="O36" s="111">
        <v>206961.936518</v>
      </c>
      <c r="P36" s="111">
        <v>2171789.2316578603</v>
      </c>
      <c r="Q36" s="112">
        <f t="shared" si="3"/>
        <v>2378751.1681758603</v>
      </c>
      <c r="S36" s="113">
        <f t="shared" si="4"/>
        <v>800065.64932552993</v>
      </c>
      <c r="T36" s="113">
        <f t="shared" si="4"/>
        <v>2946368.4605259704</v>
      </c>
      <c r="U36" s="113">
        <f t="shared" si="5"/>
        <v>3746434.1098515005</v>
      </c>
    </row>
    <row r="37" spans="1:21" x14ac:dyDescent="0.3">
      <c r="B37" s="114" t="s">
        <v>54</v>
      </c>
      <c r="C37" s="115">
        <f>SUM(C19:C36)</f>
        <v>8034401.1804687679</v>
      </c>
      <c r="D37" s="115">
        <f t="shared" ref="D37" si="6">SUM(D19:D36)</f>
        <v>3161035.1120904796</v>
      </c>
      <c r="E37" s="115">
        <f>SUM(E19:E36)</f>
        <v>11195436.292559249</v>
      </c>
      <c r="G37" s="115">
        <f>SUM(G19:G36)</f>
        <v>4809420.6284473501</v>
      </c>
      <c r="H37" s="115">
        <f t="shared" ref="H37:I37" si="7">SUM(H19:H36)</f>
        <v>3715673.7973038186</v>
      </c>
      <c r="I37" s="115">
        <f t="shared" si="7"/>
        <v>8525094.4257511683</v>
      </c>
      <c r="K37" s="115">
        <f>SUM(K19:K36)</f>
        <v>3548544.9429866485</v>
      </c>
      <c r="L37" s="115">
        <f t="shared" ref="L37" si="8">SUM(L19:L36)</f>
        <v>4139638.8412517705</v>
      </c>
      <c r="M37" s="115">
        <f>SUM(M19:M36)</f>
        <v>7688183.7842384167</v>
      </c>
      <c r="O37" s="115">
        <f>SUM(O19:O36)</f>
        <v>37969417.862778179</v>
      </c>
      <c r="P37" s="115">
        <f t="shared" ref="P37:Q37" si="9">SUM(P19:P36)</f>
        <v>54263462.518204056</v>
      </c>
      <c r="Q37" s="115">
        <f t="shared" si="9"/>
        <v>92232880.380982235</v>
      </c>
      <c r="S37" s="116">
        <f>SUM(S19:S36)</f>
        <v>54361784.614680931</v>
      </c>
      <c r="T37" s="116">
        <f t="shared" ref="T37:U37" si="10">SUM(T19:T36)</f>
        <v>65279810.268850118</v>
      </c>
      <c r="U37" s="116">
        <f t="shared" si="10"/>
        <v>119641594.88353105</v>
      </c>
    </row>
    <row r="39" spans="1:21" ht="16.2" x14ac:dyDescent="0.35">
      <c r="A39" s="63"/>
      <c r="B39" s="93" t="s">
        <v>56</v>
      </c>
      <c r="C39" s="76"/>
      <c r="D39" s="76"/>
      <c r="E39" s="76"/>
      <c r="F39" s="76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</row>
    <row r="40" spans="1:21" x14ac:dyDescent="0.3">
      <c r="A40" s="63"/>
      <c r="B40" s="63"/>
      <c r="C40" s="99"/>
      <c r="D40" s="99"/>
      <c r="E40" s="99"/>
      <c r="F40" s="99"/>
      <c r="G40" s="99"/>
      <c r="H40" s="99"/>
      <c r="I40" s="99"/>
      <c r="J40" s="99"/>
    </row>
    <row r="41" spans="1:21" x14ac:dyDescent="0.3">
      <c r="A41" s="63"/>
      <c r="B41" s="63"/>
      <c r="C41" s="99"/>
      <c r="D41" s="99"/>
      <c r="E41" s="99"/>
      <c r="F41" s="99"/>
      <c r="G41" s="99"/>
      <c r="H41" s="99"/>
      <c r="I41" s="99"/>
      <c r="J41" s="99"/>
    </row>
    <row r="42" spans="1:21" ht="16.2" x14ac:dyDescent="0.35">
      <c r="A42" s="63"/>
      <c r="B42" s="73" t="s">
        <v>55</v>
      </c>
      <c r="C42" s="99"/>
      <c r="D42" s="99"/>
      <c r="E42" s="99"/>
      <c r="F42" s="99"/>
      <c r="G42" s="99"/>
      <c r="H42" s="99"/>
      <c r="I42" s="99"/>
      <c r="J42" s="76"/>
      <c r="R42" s="76"/>
    </row>
    <row r="43" spans="1:21" x14ac:dyDescent="0.3">
      <c r="A43" s="63"/>
      <c r="B43" s="88"/>
      <c r="C43" s="99"/>
      <c r="D43" s="99"/>
      <c r="E43" s="99"/>
      <c r="F43" s="99"/>
      <c r="G43" s="99"/>
      <c r="H43" s="99"/>
      <c r="I43" s="99"/>
      <c r="J43" s="76"/>
      <c r="N43" s="76"/>
      <c r="R43" s="76"/>
    </row>
    <row r="44" spans="1:21" s="105" customFormat="1" ht="24" customHeight="1" x14ac:dyDescent="0.3">
      <c r="A44" s="85"/>
      <c r="B44" s="189"/>
      <c r="C44" s="190" t="s">
        <v>19</v>
      </c>
      <c r="D44" s="188"/>
      <c r="E44" s="188"/>
      <c r="F44" s="102"/>
      <c r="G44" s="188" t="s">
        <v>20</v>
      </c>
      <c r="H44" s="188"/>
      <c r="I44" s="188"/>
      <c r="J44" s="103"/>
      <c r="K44" s="190" t="s">
        <v>21</v>
      </c>
      <c r="L44" s="188"/>
      <c r="M44" s="188"/>
      <c r="N44" s="104"/>
      <c r="O44" s="188" t="s">
        <v>22</v>
      </c>
      <c r="P44" s="188"/>
      <c r="Q44" s="188"/>
      <c r="R44" s="103"/>
      <c r="S44" s="188" t="s">
        <v>33</v>
      </c>
      <c r="T44" s="188"/>
      <c r="U44" s="188"/>
    </row>
    <row r="45" spans="1:21" x14ac:dyDescent="0.3">
      <c r="A45" s="63"/>
      <c r="B45" s="189"/>
      <c r="C45" s="106"/>
      <c r="D45" s="106"/>
      <c r="E45" s="106"/>
      <c r="F45" s="99"/>
      <c r="G45" s="106"/>
      <c r="H45" s="106"/>
      <c r="I45" s="106"/>
      <c r="J45" s="107"/>
      <c r="K45" s="106"/>
      <c r="L45" s="106"/>
      <c r="M45" s="106"/>
      <c r="N45" s="107"/>
      <c r="O45" s="106"/>
      <c r="P45" s="106"/>
      <c r="Q45" s="106"/>
      <c r="R45" s="107"/>
      <c r="S45" s="106"/>
      <c r="T45" s="106"/>
      <c r="U45" s="106"/>
    </row>
    <row r="46" spans="1:21" x14ac:dyDescent="0.3">
      <c r="A46" s="63"/>
      <c r="B46" s="189"/>
      <c r="C46" s="108" t="s">
        <v>26</v>
      </c>
      <c r="D46" s="108" t="s">
        <v>27</v>
      </c>
      <c r="E46" s="108" t="s">
        <v>18</v>
      </c>
      <c r="F46" s="99"/>
      <c r="G46" s="108" t="s">
        <v>26</v>
      </c>
      <c r="H46" s="108" t="s">
        <v>27</v>
      </c>
      <c r="I46" s="108" t="s">
        <v>18</v>
      </c>
      <c r="J46" s="107"/>
      <c r="K46" s="108" t="s">
        <v>26</v>
      </c>
      <c r="L46" s="108" t="s">
        <v>27</v>
      </c>
      <c r="M46" s="108" t="s">
        <v>18</v>
      </c>
      <c r="N46" s="107"/>
      <c r="O46" s="108" t="s">
        <v>26</v>
      </c>
      <c r="P46" s="108" t="s">
        <v>27</v>
      </c>
      <c r="Q46" s="108" t="s">
        <v>18</v>
      </c>
      <c r="R46" s="107"/>
      <c r="S46" s="108" t="s">
        <v>26</v>
      </c>
      <c r="T46" s="108" t="s">
        <v>27</v>
      </c>
      <c r="U46" s="108" t="s">
        <v>18</v>
      </c>
    </row>
    <row r="47" spans="1:21" x14ac:dyDescent="0.3">
      <c r="A47" s="63"/>
      <c r="B47" s="117"/>
      <c r="C47" s="89"/>
      <c r="D47" s="89"/>
      <c r="E47" s="89"/>
      <c r="F47" s="99"/>
      <c r="G47" s="89"/>
      <c r="H47" s="89"/>
      <c r="I47" s="89"/>
      <c r="J47" s="89"/>
      <c r="K47" s="89"/>
      <c r="L47" s="89"/>
      <c r="M47" s="89"/>
      <c r="N47" s="118"/>
      <c r="O47" s="89"/>
      <c r="P47" s="89"/>
      <c r="Q47" s="89"/>
      <c r="R47" s="89"/>
      <c r="S47" s="89"/>
      <c r="T47" s="89"/>
      <c r="U47" s="89"/>
    </row>
    <row r="48" spans="1:21" x14ac:dyDescent="0.3">
      <c r="A48" s="63"/>
      <c r="B48" s="63" t="s">
        <v>36</v>
      </c>
      <c r="C48" s="76">
        <v>335</v>
      </c>
      <c r="D48" s="76">
        <v>11</v>
      </c>
      <c r="E48" s="76">
        <f>+C48+D48</f>
        <v>346</v>
      </c>
      <c r="F48" s="99"/>
      <c r="G48" s="76">
        <v>125</v>
      </c>
      <c r="H48" s="76">
        <v>21</v>
      </c>
      <c r="I48" s="76">
        <f>+G48+H48</f>
        <v>146</v>
      </c>
      <c r="J48" s="76"/>
      <c r="K48" s="76">
        <v>119</v>
      </c>
      <c r="L48" s="76">
        <v>27</v>
      </c>
      <c r="M48" s="76">
        <f>+K48+L48</f>
        <v>146</v>
      </c>
      <c r="N48" s="76"/>
      <c r="O48" s="76">
        <v>105</v>
      </c>
      <c r="P48" s="76">
        <v>80</v>
      </c>
      <c r="Q48" s="76">
        <f>+O48+P48</f>
        <v>185</v>
      </c>
      <c r="R48" s="76"/>
      <c r="S48" s="109">
        <f>+C48+G48+K48+O48</f>
        <v>684</v>
      </c>
      <c r="T48" s="109">
        <f>+D48+H48+L48+P48</f>
        <v>139</v>
      </c>
      <c r="U48" s="109">
        <f>+S48+T48</f>
        <v>823</v>
      </c>
    </row>
    <row r="49" spans="2:21" x14ac:dyDescent="0.3">
      <c r="B49" s="65" t="s">
        <v>37</v>
      </c>
      <c r="C49" s="87">
        <f>49042-2</f>
        <v>49040</v>
      </c>
      <c r="D49" s="87">
        <v>1916</v>
      </c>
      <c r="E49" s="76">
        <f t="shared" ref="E49:E65" si="11">+C49+D49</f>
        <v>50956</v>
      </c>
      <c r="G49" s="87">
        <f>12832</f>
        <v>12832</v>
      </c>
      <c r="H49" s="87">
        <f>3169-2</f>
        <v>3167</v>
      </c>
      <c r="I49" s="76">
        <f t="shared" ref="I49:I65" si="12">+G49+H49</f>
        <v>15999</v>
      </c>
      <c r="K49" s="87">
        <v>6728</v>
      </c>
      <c r="L49" s="87">
        <v>1808</v>
      </c>
      <c r="M49" s="76">
        <f t="shared" ref="M49:M65" si="13">+K49+L49</f>
        <v>8536</v>
      </c>
      <c r="O49" s="87">
        <v>24306</v>
      </c>
      <c r="P49" s="87">
        <v>4880</v>
      </c>
      <c r="Q49" s="76">
        <f t="shared" ref="Q49:Q65" si="14">+O49+P49</f>
        <v>29186</v>
      </c>
      <c r="S49" s="109">
        <f t="shared" ref="S49:T65" si="15">+C49+G49+K49+O49</f>
        <v>92906</v>
      </c>
      <c r="T49" s="109">
        <f t="shared" si="15"/>
        <v>11771</v>
      </c>
      <c r="U49" s="109">
        <f t="shared" ref="U49:U64" si="16">+S49+T49</f>
        <v>104677</v>
      </c>
    </row>
    <row r="50" spans="2:21" x14ac:dyDescent="0.3">
      <c r="B50" s="65" t="s">
        <v>38</v>
      </c>
      <c r="C50" s="87">
        <f>5897-2</f>
        <v>5895</v>
      </c>
      <c r="D50" s="87">
        <v>100</v>
      </c>
      <c r="E50" s="76">
        <f t="shared" si="11"/>
        <v>5995</v>
      </c>
      <c r="G50" s="87">
        <v>1364</v>
      </c>
      <c r="H50" s="87">
        <v>144</v>
      </c>
      <c r="I50" s="76">
        <f t="shared" si="12"/>
        <v>1508</v>
      </c>
      <c r="K50" s="87">
        <v>980</v>
      </c>
      <c r="L50" s="87">
        <v>195</v>
      </c>
      <c r="M50" s="76">
        <f t="shared" si="13"/>
        <v>1175</v>
      </c>
      <c r="O50" s="87">
        <v>2456</v>
      </c>
      <c r="P50" s="87">
        <v>433</v>
      </c>
      <c r="Q50" s="76">
        <f t="shared" si="14"/>
        <v>2889</v>
      </c>
      <c r="S50" s="109">
        <f t="shared" si="15"/>
        <v>10695</v>
      </c>
      <c r="T50" s="109">
        <f t="shared" si="15"/>
        <v>872</v>
      </c>
      <c r="U50" s="109">
        <f t="shared" si="16"/>
        <v>11567</v>
      </c>
    </row>
    <row r="51" spans="2:21" x14ac:dyDescent="0.3">
      <c r="B51" s="65" t="s">
        <v>39</v>
      </c>
      <c r="C51" s="87">
        <v>3437</v>
      </c>
      <c r="D51" s="87">
        <v>30</v>
      </c>
      <c r="E51" s="76">
        <f t="shared" si="11"/>
        <v>3467</v>
      </c>
      <c r="G51" s="87">
        <v>1554</v>
      </c>
      <c r="H51" s="87">
        <v>74</v>
      </c>
      <c r="I51" s="76">
        <f t="shared" si="12"/>
        <v>1628</v>
      </c>
      <c r="K51" s="87">
        <v>362</v>
      </c>
      <c r="L51" s="87">
        <v>38</v>
      </c>
      <c r="M51" s="76">
        <f t="shared" si="13"/>
        <v>400</v>
      </c>
      <c r="O51" s="87">
        <v>1165</v>
      </c>
      <c r="P51" s="87">
        <v>156</v>
      </c>
      <c r="Q51" s="76">
        <f t="shared" si="14"/>
        <v>1321</v>
      </c>
      <c r="S51" s="109">
        <f t="shared" si="15"/>
        <v>6518</v>
      </c>
      <c r="T51" s="109">
        <f t="shared" si="15"/>
        <v>298</v>
      </c>
      <c r="U51" s="109">
        <f t="shared" si="16"/>
        <v>6816</v>
      </c>
    </row>
    <row r="52" spans="2:21" x14ac:dyDescent="0.3">
      <c r="B52" s="65" t="s">
        <v>40</v>
      </c>
      <c r="C52" s="87">
        <f>21629-3</f>
        <v>21626</v>
      </c>
      <c r="D52" s="87">
        <v>415</v>
      </c>
      <c r="E52" s="76">
        <f t="shared" si="11"/>
        <v>22041</v>
      </c>
      <c r="G52" s="87">
        <f>6252-2</f>
        <v>6250</v>
      </c>
      <c r="H52" s="87">
        <v>648</v>
      </c>
      <c r="I52" s="76">
        <f t="shared" si="12"/>
        <v>6898</v>
      </c>
      <c r="K52" s="87">
        <f>2921-1</f>
        <v>2920</v>
      </c>
      <c r="L52" s="87">
        <v>266</v>
      </c>
      <c r="M52" s="76">
        <f t="shared" si="13"/>
        <v>3186</v>
      </c>
      <c r="O52" s="87">
        <v>3266</v>
      </c>
      <c r="P52" s="87">
        <v>970</v>
      </c>
      <c r="Q52" s="76">
        <f t="shared" si="14"/>
        <v>4236</v>
      </c>
      <c r="S52" s="109">
        <f t="shared" si="15"/>
        <v>34062</v>
      </c>
      <c r="T52" s="109">
        <f t="shared" si="15"/>
        <v>2299</v>
      </c>
      <c r="U52" s="109">
        <f t="shared" si="16"/>
        <v>36361</v>
      </c>
    </row>
    <row r="53" spans="2:21" x14ac:dyDescent="0.3">
      <c r="B53" s="65" t="s">
        <v>41</v>
      </c>
      <c r="C53" s="87">
        <v>3768</v>
      </c>
      <c r="D53" s="87">
        <v>101</v>
      </c>
      <c r="E53" s="76">
        <f t="shared" si="11"/>
        <v>3869</v>
      </c>
      <c r="G53" s="87">
        <v>635</v>
      </c>
      <c r="H53" s="87">
        <v>158</v>
      </c>
      <c r="I53" s="76">
        <f t="shared" si="12"/>
        <v>793</v>
      </c>
      <c r="K53" s="87">
        <v>209</v>
      </c>
      <c r="L53" s="87">
        <v>63</v>
      </c>
      <c r="M53" s="76">
        <f t="shared" si="13"/>
        <v>272</v>
      </c>
      <c r="O53" s="87">
        <v>159</v>
      </c>
      <c r="P53" s="87">
        <v>71</v>
      </c>
      <c r="Q53" s="76">
        <f t="shared" si="14"/>
        <v>230</v>
      </c>
      <c r="S53" s="109">
        <f t="shared" si="15"/>
        <v>4771</v>
      </c>
      <c r="T53" s="109">
        <f t="shared" si="15"/>
        <v>393</v>
      </c>
      <c r="U53" s="109">
        <f t="shared" si="16"/>
        <v>5164</v>
      </c>
    </row>
    <row r="54" spans="2:21" x14ac:dyDescent="0.3">
      <c r="B54" s="65" t="s">
        <v>42</v>
      </c>
      <c r="C54" s="87">
        <v>9176</v>
      </c>
      <c r="D54" s="87">
        <v>692</v>
      </c>
      <c r="E54" s="76">
        <f t="shared" si="11"/>
        <v>9868</v>
      </c>
      <c r="G54" s="87">
        <f>2888-3</f>
        <v>2885</v>
      </c>
      <c r="H54" s="87">
        <v>1118</v>
      </c>
      <c r="I54" s="76">
        <f t="shared" si="12"/>
        <v>4003</v>
      </c>
      <c r="K54" s="87">
        <v>1294</v>
      </c>
      <c r="L54" s="87">
        <v>682</v>
      </c>
      <c r="M54" s="76">
        <f t="shared" si="13"/>
        <v>1976</v>
      </c>
      <c r="O54" s="87">
        <v>1748</v>
      </c>
      <c r="P54" s="87">
        <v>1436</v>
      </c>
      <c r="Q54" s="76">
        <f t="shared" si="14"/>
        <v>3184</v>
      </c>
      <c r="S54" s="109">
        <f t="shared" si="15"/>
        <v>15103</v>
      </c>
      <c r="T54" s="109">
        <f t="shared" si="15"/>
        <v>3928</v>
      </c>
      <c r="U54" s="109">
        <f t="shared" si="16"/>
        <v>19031</v>
      </c>
    </row>
    <row r="55" spans="2:21" x14ac:dyDescent="0.3">
      <c r="B55" s="65" t="s">
        <v>43</v>
      </c>
      <c r="C55" s="87">
        <f>88504-5</f>
        <v>88499</v>
      </c>
      <c r="D55" s="87">
        <v>1335</v>
      </c>
      <c r="E55" s="76">
        <f t="shared" si="11"/>
        <v>89834</v>
      </c>
      <c r="G55" s="87">
        <f>15773-1</f>
        <v>15772</v>
      </c>
      <c r="H55" s="87">
        <v>748</v>
      </c>
      <c r="I55" s="76">
        <f t="shared" si="12"/>
        <v>16520</v>
      </c>
      <c r="K55" s="87">
        <v>7518</v>
      </c>
      <c r="L55" s="87">
        <v>538</v>
      </c>
      <c r="M55" s="76">
        <f t="shared" si="13"/>
        <v>8056</v>
      </c>
      <c r="O55" s="87">
        <f>30232-1</f>
        <v>30231</v>
      </c>
      <c r="P55" s="87">
        <v>9643</v>
      </c>
      <c r="Q55" s="76">
        <f t="shared" si="14"/>
        <v>39874</v>
      </c>
      <c r="S55" s="109">
        <f t="shared" si="15"/>
        <v>142020</v>
      </c>
      <c r="T55" s="109">
        <f t="shared" si="15"/>
        <v>12264</v>
      </c>
      <c r="U55" s="109">
        <f t="shared" si="16"/>
        <v>154284</v>
      </c>
    </row>
    <row r="56" spans="2:21" x14ac:dyDescent="0.3">
      <c r="B56" s="65" t="s">
        <v>44</v>
      </c>
      <c r="C56" s="87">
        <f>142360-12</f>
        <v>142348</v>
      </c>
      <c r="D56" s="87">
        <v>699</v>
      </c>
      <c r="E56" s="76">
        <f t="shared" si="11"/>
        <v>143047</v>
      </c>
      <c r="G56" s="87">
        <f>19207-1</f>
        <v>19206</v>
      </c>
      <c r="H56" s="87">
        <v>340</v>
      </c>
      <c r="I56" s="76">
        <f t="shared" si="12"/>
        <v>19546</v>
      </c>
      <c r="K56" s="87">
        <v>9036</v>
      </c>
      <c r="L56" s="87">
        <v>336</v>
      </c>
      <c r="M56" s="76">
        <f t="shared" si="13"/>
        <v>9372</v>
      </c>
      <c r="O56" s="87">
        <v>28923</v>
      </c>
      <c r="P56" s="87">
        <v>2429</v>
      </c>
      <c r="Q56" s="76">
        <f t="shared" si="14"/>
        <v>31352</v>
      </c>
      <c r="S56" s="109">
        <f t="shared" si="15"/>
        <v>199513</v>
      </c>
      <c r="T56" s="109">
        <f t="shared" si="15"/>
        <v>3804</v>
      </c>
      <c r="U56" s="109">
        <f t="shared" si="16"/>
        <v>203317</v>
      </c>
    </row>
    <row r="57" spans="2:21" x14ac:dyDescent="0.3">
      <c r="B57" s="65" t="s">
        <v>45</v>
      </c>
      <c r="C57" s="87">
        <f>8316-2</f>
        <v>8314</v>
      </c>
      <c r="D57" s="87">
        <v>92</v>
      </c>
      <c r="E57" s="76">
        <f t="shared" si="11"/>
        <v>8406</v>
      </c>
      <c r="G57" s="87">
        <v>2465</v>
      </c>
      <c r="H57" s="87">
        <v>83</v>
      </c>
      <c r="I57" s="76">
        <f t="shared" si="12"/>
        <v>2548</v>
      </c>
      <c r="K57" s="87">
        <v>876</v>
      </c>
      <c r="L57" s="87">
        <v>73</v>
      </c>
      <c r="M57" s="76">
        <f t="shared" si="13"/>
        <v>949</v>
      </c>
      <c r="O57" s="87">
        <v>2620</v>
      </c>
      <c r="P57" s="87">
        <v>426</v>
      </c>
      <c r="Q57" s="76">
        <f t="shared" si="14"/>
        <v>3046</v>
      </c>
      <c r="S57" s="109">
        <f t="shared" si="15"/>
        <v>14275</v>
      </c>
      <c r="T57" s="109">
        <f t="shared" si="15"/>
        <v>674</v>
      </c>
      <c r="U57" s="109">
        <f t="shared" si="16"/>
        <v>14949</v>
      </c>
    </row>
    <row r="58" spans="2:21" x14ac:dyDescent="0.3">
      <c r="B58" s="65" t="s">
        <v>46</v>
      </c>
      <c r="C58" s="87">
        <v>9564</v>
      </c>
      <c r="D58" s="87">
        <v>31</v>
      </c>
      <c r="E58" s="76">
        <f t="shared" si="11"/>
        <v>9595</v>
      </c>
      <c r="G58" s="87">
        <f>1695-2</f>
        <v>1693</v>
      </c>
      <c r="H58" s="87">
        <v>15</v>
      </c>
      <c r="I58" s="76">
        <f t="shared" si="12"/>
        <v>1708</v>
      </c>
      <c r="K58" s="87">
        <v>514</v>
      </c>
      <c r="L58" s="87">
        <v>19</v>
      </c>
      <c r="M58" s="76">
        <f t="shared" si="13"/>
        <v>533</v>
      </c>
      <c r="O58" s="87">
        <v>465</v>
      </c>
      <c r="P58" s="87">
        <v>16</v>
      </c>
      <c r="Q58" s="76">
        <f t="shared" si="14"/>
        <v>481</v>
      </c>
      <c r="S58" s="109">
        <f t="shared" si="15"/>
        <v>12236</v>
      </c>
      <c r="T58" s="109">
        <f t="shared" si="15"/>
        <v>81</v>
      </c>
      <c r="U58" s="109">
        <f t="shared" si="16"/>
        <v>12317</v>
      </c>
    </row>
    <row r="59" spans="2:21" x14ac:dyDescent="0.3">
      <c r="B59" s="65" t="s">
        <v>47</v>
      </c>
      <c r="C59" s="87">
        <v>7563</v>
      </c>
      <c r="D59" s="87">
        <v>46</v>
      </c>
      <c r="E59" s="76">
        <f t="shared" si="11"/>
        <v>7609</v>
      </c>
      <c r="G59" s="87">
        <f>1770-1</f>
        <v>1769</v>
      </c>
      <c r="H59" s="87">
        <v>70</v>
      </c>
      <c r="I59" s="76">
        <f t="shared" si="12"/>
        <v>1839</v>
      </c>
      <c r="K59" s="87">
        <v>619</v>
      </c>
      <c r="L59" s="87">
        <v>16</v>
      </c>
      <c r="M59" s="76">
        <f t="shared" si="13"/>
        <v>635</v>
      </c>
      <c r="O59" s="87">
        <v>796</v>
      </c>
      <c r="P59" s="87">
        <v>33</v>
      </c>
      <c r="Q59" s="76">
        <f t="shared" si="14"/>
        <v>829</v>
      </c>
      <c r="S59" s="109">
        <f t="shared" si="15"/>
        <v>10747</v>
      </c>
      <c r="T59" s="109">
        <f t="shared" si="15"/>
        <v>165</v>
      </c>
      <c r="U59" s="109">
        <f t="shared" si="16"/>
        <v>10912</v>
      </c>
    </row>
    <row r="60" spans="2:21" x14ac:dyDescent="0.3">
      <c r="B60" s="65" t="s">
        <v>48</v>
      </c>
      <c r="C60" s="87">
        <f>31210-4</f>
        <v>31206</v>
      </c>
      <c r="D60" s="87">
        <v>1010</v>
      </c>
      <c r="E60" s="76">
        <f t="shared" si="11"/>
        <v>32216</v>
      </c>
      <c r="G60" s="87">
        <v>7849</v>
      </c>
      <c r="H60" s="87">
        <v>1852</v>
      </c>
      <c r="I60" s="76">
        <f t="shared" si="12"/>
        <v>9701</v>
      </c>
      <c r="K60" s="87">
        <v>3457</v>
      </c>
      <c r="L60" s="87">
        <v>1007</v>
      </c>
      <c r="M60" s="76">
        <f t="shared" si="13"/>
        <v>4464</v>
      </c>
      <c r="O60" s="87">
        <v>6299</v>
      </c>
      <c r="P60" s="87">
        <v>2152</v>
      </c>
      <c r="Q60" s="76">
        <f t="shared" si="14"/>
        <v>8451</v>
      </c>
      <c r="S60" s="109">
        <f t="shared" si="15"/>
        <v>48811</v>
      </c>
      <c r="T60" s="109">
        <f t="shared" si="15"/>
        <v>6021</v>
      </c>
      <c r="U60" s="109">
        <f t="shared" si="16"/>
        <v>54832</v>
      </c>
    </row>
    <row r="61" spans="2:21" x14ac:dyDescent="0.3">
      <c r="B61" s="65" t="s">
        <v>49</v>
      </c>
      <c r="C61" s="87">
        <v>6783</v>
      </c>
      <c r="D61" s="87">
        <v>40</v>
      </c>
      <c r="E61" s="76">
        <f t="shared" si="11"/>
        <v>6823</v>
      </c>
      <c r="G61" s="87">
        <v>1048</v>
      </c>
      <c r="H61" s="87">
        <v>52</v>
      </c>
      <c r="I61" s="76">
        <f t="shared" si="12"/>
        <v>1100</v>
      </c>
      <c r="K61" s="87">
        <v>274</v>
      </c>
      <c r="L61" s="87">
        <v>21</v>
      </c>
      <c r="M61" s="76">
        <f t="shared" si="13"/>
        <v>295</v>
      </c>
      <c r="O61" s="87">
        <v>395</v>
      </c>
      <c r="P61" s="87">
        <v>116</v>
      </c>
      <c r="Q61" s="76">
        <f t="shared" si="14"/>
        <v>511</v>
      </c>
      <c r="S61" s="109">
        <f t="shared" si="15"/>
        <v>8500</v>
      </c>
      <c r="T61" s="109">
        <f t="shared" si="15"/>
        <v>229</v>
      </c>
      <c r="U61" s="109">
        <f t="shared" si="16"/>
        <v>8729</v>
      </c>
    </row>
    <row r="62" spans="2:21" x14ac:dyDescent="0.3">
      <c r="B62" s="65" t="s">
        <v>50</v>
      </c>
      <c r="C62" s="87">
        <v>3730</v>
      </c>
      <c r="D62" s="87">
        <v>11</v>
      </c>
      <c r="E62" s="76">
        <f t="shared" si="11"/>
        <v>3741</v>
      </c>
      <c r="G62" s="87">
        <v>842</v>
      </c>
      <c r="H62" s="87">
        <v>5</v>
      </c>
      <c r="I62" s="76">
        <f t="shared" si="12"/>
        <v>847</v>
      </c>
      <c r="K62" s="87">
        <v>208</v>
      </c>
      <c r="L62" s="87">
        <v>4</v>
      </c>
      <c r="M62" s="76">
        <f t="shared" si="13"/>
        <v>212</v>
      </c>
      <c r="O62" s="87">
        <v>106</v>
      </c>
      <c r="P62" s="87">
        <v>22</v>
      </c>
      <c r="Q62" s="76">
        <f t="shared" si="14"/>
        <v>128</v>
      </c>
      <c r="S62" s="109">
        <f t="shared" si="15"/>
        <v>4886</v>
      </c>
      <c r="T62" s="109">
        <f t="shared" si="15"/>
        <v>42</v>
      </c>
      <c r="U62" s="109">
        <f t="shared" si="16"/>
        <v>4928</v>
      </c>
    </row>
    <row r="63" spans="2:21" x14ac:dyDescent="0.3">
      <c r="B63" s="65" t="s">
        <v>51</v>
      </c>
      <c r="C63" s="87">
        <f>6178-2</f>
        <v>6176</v>
      </c>
      <c r="D63" s="87">
        <v>20</v>
      </c>
      <c r="E63" s="76">
        <f t="shared" si="11"/>
        <v>6196</v>
      </c>
      <c r="G63" s="87">
        <v>810</v>
      </c>
      <c r="H63" s="87">
        <v>5</v>
      </c>
      <c r="I63" s="76">
        <f t="shared" si="12"/>
        <v>815</v>
      </c>
      <c r="K63" s="87">
        <f>239-1</f>
        <v>238</v>
      </c>
      <c r="L63" s="87">
        <v>3</v>
      </c>
      <c r="M63" s="76">
        <f t="shared" si="13"/>
        <v>241</v>
      </c>
      <c r="O63" s="87">
        <v>506</v>
      </c>
      <c r="P63" s="87">
        <v>7</v>
      </c>
      <c r="Q63" s="76">
        <f t="shared" si="14"/>
        <v>513</v>
      </c>
      <c r="S63" s="109">
        <f t="shared" si="15"/>
        <v>7730</v>
      </c>
      <c r="T63" s="109">
        <f t="shared" si="15"/>
        <v>35</v>
      </c>
      <c r="U63" s="109">
        <f t="shared" si="16"/>
        <v>7765</v>
      </c>
    </row>
    <row r="64" spans="2:21" x14ac:dyDescent="0.3">
      <c r="B64" s="65" t="s">
        <v>52</v>
      </c>
      <c r="C64" s="87">
        <v>4336</v>
      </c>
      <c r="D64" s="87">
        <v>20</v>
      </c>
      <c r="E64" s="76">
        <f t="shared" si="11"/>
        <v>4356</v>
      </c>
      <c r="G64" s="87">
        <v>901</v>
      </c>
      <c r="H64" s="87">
        <v>19</v>
      </c>
      <c r="I64" s="76">
        <f t="shared" si="12"/>
        <v>920</v>
      </c>
      <c r="K64" s="87">
        <v>249</v>
      </c>
      <c r="L64" s="87">
        <v>29</v>
      </c>
      <c r="M64" s="76">
        <f t="shared" si="13"/>
        <v>278</v>
      </c>
      <c r="O64" s="87">
        <v>441</v>
      </c>
      <c r="P64" s="87">
        <v>251</v>
      </c>
      <c r="Q64" s="76">
        <f t="shared" si="14"/>
        <v>692</v>
      </c>
      <c r="S64" s="109">
        <f t="shared" si="15"/>
        <v>5927</v>
      </c>
      <c r="T64" s="109">
        <f t="shared" si="15"/>
        <v>319</v>
      </c>
      <c r="U64" s="109">
        <f t="shared" si="16"/>
        <v>6246</v>
      </c>
    </row>
    <row r="65" spans="2:21" x14ac:dyDescent="0.3">
      <c r="B65" s="65" t="s">
        <v>53</v>
      </c>
      <c r="C65" s="111">
        <f>11958-2</f>
        <v>11956</v>
      </c>
      <c r="D65" s="111">
        <f>323-1</f>
        <v>322</v>
      </c>
      <c r="E65" s="167">
        <f t="shared" si="11"/>
        <v>12278</v>
      </c>
      <c r="G65" s="111">
        <f>3136-2</f>
        <v>3134</v>
      </c>
      <c r="H65" s="111">
        <v>725</v>
      </c>
      <c r="I65" s="167">
        <f t="shared" si="12"/>
        <v>3859</v>
      </c>
      <c r="K65" s="111">
        <v>1006</v>
      </c>
      <c r="L65" s="111">
        <v>524</v>
      </c>
      <c r="M65" s="167">
        <f t="shared" si="13"/>
        <v>1530</v>
      </c>
      <c r="O65" s="111">
        <v>1018</v>
      </c>
      <c r="P65" s="111">
        <v>830</v>
      </c>
      <c r="Q65" s="167">
        <f t="shared" si="14"/>
        <v>1848</v>
      </c>
      <c r="S65" s="164">
        <f t="shared" si="15"/>
        <v>17114</v>
      </c>
      <c r="T65" s="164">
        <f t="shared" si="15"/>
        <v>2401</v>
      </c>
      <c r="U65" s="164">
        <f>+S65+T65</f>
        <v>19515</v>
      </c>
    </row>
    <row r="66" spans="2:21" x14ac:dyDescent="0.3">
      <c r="B66" s="114" t="s">
        <v>54</v>
      </c>
      <c r="C66" s="115">
        <f>SUM(C48:C65)</f>
        <v>413752</v>
      </c>
      <c r="D66" s="115">
        <f>SUM(D48:D65)</f>
        <v>6891</v>
      </c>
      <c r="E66" s="115">
        <f>SUM(E48:E65)</f>
        <v>420643</v>
      </c>
      <c r="G66" s="115">
        <f>SUM(G48:G65)</f>
        <v>81134</v>
      </c>
      <c r="H66" s="115">
        <f t="shared" ref="H66:I66" si="17">SUM(H48:H65)</f>
        <v>9244</v>
      </c>
      <c r="I66" s="115">
        <f t="shared" si="17"/>
        <v>90378</v>
      </c>
      <c r="K66" s="115">
        <f>SUM(K48:K65)</f>
        <v>36607</v>
      </c>
      <c r="L66" s="115">
        <f t="shared" ref="L66:M66" si="18">SUM(L48:L65)</f>
        <v>5649</v>
      </c>
      <c r="M66" s="115">
        <f t="shared" si="18"/>
        <v>42256</v>
      </c>
      <c r="O66" s="115">
        <f>SUM(O48:O65)</f>
        <v>105005</v>
      </c>
      <c r="P66" s="115">
        <f>SUM(P48:P65)</f>
        <v>23951</v>
      </c>
      <c r="Q66" s="115">
        <f t="shared" ref="Q66" si="19">SUM(Q48:Q65)</f>
        <v>128956</v>
      </c>
      <c r="S66" s="116">
        <f>SUM(S48:S65)</f>
        <v>636498</v>
      </c>
      <c r="T66" s="116">
        <f>SUM(T48:T65)</f>
        <v>45735</v>
      </c>
      <c r="U66" s="116">
        <f>SUM(U48:U65)</f>
        <v>682233</v>
      </c>
    </row>
    <row r="68" spans="2:21" ht="16.2" x14ac:dyDescent="0.35">
      <c r="B68" s="93" t="s">
        <v>56</v>
      </c>
    </row>
  </sheetData>
  <mergeCells count="14">
    <mergeCell ref="S44:U44"/>
    <mergeCell ref="B8:U8"/>
    <mergeCell ref="B9:U9"/>
    <mergeCell ref="B15:B17"/>
    <mergeCell ref="C15:E15"/>
    <mergeCell ref="G15:I15"/>
    <mergeCell ref="K15:M15"/>
    <mergeCell ref="O15:Q15"/>
    <mergeCell ref="S15:U15"/>
    <mergeCell ref="B44:B46"/>
    <mergeCell ref="C44:E44"/>
    <mergeCell ref="G44:I44"/>
    <mergeCell ref="K44:M44"/>
    <mergeCell ref="O44:Q44"/>
  </mergeCells>
  <hyperlinks>
    <hyperlink ref="B1" location="Índice!A1" display="Ir a inicio" xr:uid="{EC0E6BFF-CAFD-4154-BCD9-7F69E62841C1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5" fitToHeight="2" orientation="landscape" r:id="rId1"/>
  <headerFooter alignWithMargins="0"/>
  <rowBreaks count="1" manualBreakCount="1">
    <brk id="40" min="1" max="20" man="1"/>
  </row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E2EE0-59EA-4704-AF5C-16E023B1CC2B}">
  <dimension ref="A1:U67"/>
  <sheetViews>
    <sheetView showGridLines="0" zoomScaleNormal="100" zoomScaleSheetLayoutView="100" workbookViewId="0">
      <selection activeCell="H67" sqref="H67"/>
    </sheetView>
  </sheetViews>
  <sheetFormatPr baseColWidth="10" defaultColWidth="11.44140625" defaultRowHeight="14.4" x14ac:dyDescent="0.3"/>
  <cols>
    <col min="1" max="1" width="1.6640625" style="65" customWidth="1"/>
    <col min="2" max="2" width="45.109375" style="65" customWidth="1"/>
    <col min="3" max="5" width="14.5546875" style="87" customWidth="1"/>
    <col min="6" max="6" width="2.6640625" style="87" customWidth="1"/>
    <col min="7" max="9" width="14.5546875" style="87" customWidth="1"/>
    <col min="10" max="10" width="2.6640625" style="87" customWidth="1"/>
    <col min="11" max="13" width="14.5546875" style="87" customWidth="1"/>
    <col min="14" max="14" width="2.6640625" style="87" customWidth="1"/>
    <col min="15" max="17" width="14.5546875" style="87" customWidth="1"/>
    <col min="18" max="18" width="2.6640625" style="87" customWidth="1"/>
    <col min="19" max="21" width="14.5546875" style="87" customWidth="1"/>
    <col min="22" max="16384" width="11.44140625" style="65"/>
  </cols>
  <sheetData>
    <row r="1" spans="1:21" x14ac:dyDescent="0.3">
      <c r="A1" s="83"/>
      <c r="B1" s="144" t="s">
        <v>12</v>
      </c>
      <c r="C1" s="99"/>
      <c r="D1" s="99"/>
      <c r="E1" s="99"/>
      <c r="F1" s="99"/>
      <c r="G1" s="99"/>
      <c r="H1" s="99"/>
      <c r="I1" s="99"/>
      <c r="J1" s="99"/>
    </row>
    <row r="2" spans="1:21" x14ac:dyDescent="0.3">
      <c r="A2" s="84"/>
      <c r="B2" s="83"/>
      <c r="C2" s="99"/>
      <c r="D2" s="99"/>
      <c r="E2" s="99"/>
      <c r="F2" s="99"/>
    </row>
    <row r="3" spans="1:21" x14ac:dyDescent="0.3">
      <c r="A3" s="84"/>
      <c r="B3" s="83"/>
      <c r="C3" s="99"/>
      <c r="D3" s="99"/>
      <c r="E3" s="99"/>
      <c r="F3" s="99"/>
    </row>
    <row r="4" spans="1:21" x14ac:dyDescent="0.3">
      <c r="A4" s="84"/>
      <c r="B4" s="83"/>
      <c r="C4" s="99"/>
      <c r="D4" s="99"/>
      <c r="E4" s="99"/>
      <c r="F4" s="99"/>
    </row>
    <row r="5" spans="1:21" x14ac:dyDescent="0.3">
      <c r="A5" s="84"/>
      <c r="B5" s="83"/>
      <c r="C5" s="99"/>
      <c r="D5" s="99"/>
      <c r="E5" s="99"/>
      <c r="F5" s="99"/>
    </row>
    <row r="6" spans="1:21" x14ac:dyDescent="0.3">
      <c r="A6" s="84"/>
      <c r="B6" s="83"/>
      <c r="C6" s="99"/>
      <c r="D6" s="99"/>
      <c r="E6" s="99"/>
      <c r="F6" s="99"/>
    </row>
    <row r="7" spans="1:21" x14ac:dyDescent="0.3">
      <c r="A7" s="84"/>
      <c r="B7" s="83"/>
      <c r="C7" s="99"/>
      <c r="D7" s="99"/>
      <c r="E7" s="99"/>
      <c r="F7" s="99"/>
    </row>
    <row r="8" spans="1:21" ht="27" x14ac:dyDescent="0.3">
      <c r="A8" s="63"/>
      <c r="B8" s="187" t="s">
        <v>57</v>
      </c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</row>
    <row r="9" spans="1:21" x14ac:dyDescent="0.3">
      <c r="A9" s="63"/>
      <c r="B9" s="180">
        <f>+Carátula!B17</f>
        <v>45565</v>
      </c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</row>
    <row r="10" spans="1:21" ht="15" thickBot="1" x14ac:dyDescent="0.35">
      <c r="A10" s="63"/>
      <c r="B10" s="86"/>
      <c r="C10" s="100"/>
      <c r="D10" s="100"/>
      <c r="E10" s="100"/>
      <c r="F10" s="100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</row>
    <row r="11" spans="1:21" x14ac:dyDescent="0.3">
      <c r="A11" s="63"/>
      <c r="B11" s="63"/>
      <c r="C11" s="99"/>
      <c r="D11" s="99"/>
      <c r="E11" s="99"/>
      <c r="F11" s="99"/>
      <c r="G11" s="99"/>
      <c r="H11" s="99"/>
      <c r="I11" s="99"/>
      <c r="J11" s="99"/>
    </row>
    <row r="12" spans="1:21" x14ac:dyDescent="0.3">
      <c r="A12" s="63"/>
      <c r="B12" s="63"/>
      <c r="C12" s="99"/>
      <c r="D12" s="99"/>
      <c r="E12" s="99"/>
      <c r="F12" s="99"/>
      <c r="G12" s="99"/>
      <c r="H12" s="99"/>
      <c r="I12" s="99"/>
      <c r="J12" s="99"/>
    </row>
    <row r="13" spans="1:21" ht="16.2" x14ac:dyDescent="0.35">
      <c r="A13" s="63"/>
      <c r="B13" s="73" t="s">
        <v>35</v>
      </c>
      <c r="C13" s="99"/>
      <c r="D13" s="99"/>
      <c r="E13" s="99"/>
      <c r="F13" s="99"/>
      <c r="G13" s="99"/>
      <c r="H13" s="99"/>
      <c r="I13" s="99"/>
      <c r="J13" s="76"/>
      <c r="R13" s="76"/>
    </row>
    <row r="14" spans="1:21" x14ac:dyDescent="0.3">
      <c r="A14" s="63"/>
      <c r="B14" s="88"/>
      <c r="C14" s="99"/>
      <c r="D14" s="99"/>
      <c r="E14" s="99"/>
      <c r="F14" s="99"/>
      <c r="G14" s="99"/>
      <c r="H14" s="99"/>
      <c r="I14" s="99"/>
      <c r="J14" s="76"/>
      <c r="N14" s="76"/>
      <c r="R14" s="76"/>
    </row>
    <row r="15" spans="1:21" s="105" customFormat="1" ht="24" customHeight="1" x14ac:dyDescent="0.3">
      <c r="A15" s="85"/>
      <c r="B15" s="189"/>
      <c r="C15" s="190" t="s">
        <v>19</v>
      </c>
      <c r="D15" s="188"/>
      <c r="E15" s="188"/>
      <c r="F15" s="102"/>
      <c r="G15" s="188" t="s">
        <v>20</v>
      </c>
      <c r="H15" s="188"/>
      <c r="I15" s="188"/>
      <c r="J15" s="103"/>
      <c r="K15" s="190" t="s">
        <v>21</v>
      </c>
      <c r="L15" s="188"/>
      <c r="M15" s="188"/>
      <c r="N15" s="104"/>
      <c r="O15" s="188" t="s">
        <v>22</v>
      </c>
      <c r="P15" s="188"/>
      <c r="Q15" s="188"/>
      <c r="R15" s="103"/>
      <c r="S15" s="188" t="s">
        <v>33</v>
      </c>
      <c r="T15" s="188"/>
      <c r="U15" s="188"/>
    </row>
    <row r="16" spans="1:21" x14ac:dyDescent="0.3">
      <c r="A16" s="63"/>
      <c r="B16" s="189"/>
      <c r="C16" s="106"/>
      <c r="D16" s="106"/>
      <c r="E16" s="106"/>
      <c r="F16" s="99"/>
      <c r="G16" s="106"/>
      <c r="H16" s="106"/>
      <c r="I16" s="106"/>
      <c r="J16" s="107"/>
      <c r="K16" s="106"/>
      <c r="L16" s="106"/>
      <c r="M16" s="106"/>
      <c r="N16" s="107"/>
      <c r="O16" s="106"/>
      <c r="P16" s="106"/>
      <c r="Q16" s="106"/>
      <c r="R16" s="107"/>
      <c r="S16" s="106"/>
      <c r="T16" s="106"/>
      <c r="U16" s="106"/>
    </row>
    <row r="17" spans="1:21" x14ac:dyDescent="0.3">
      <c r="A17" s="63"/>
      <c r="B17" s="189"/>
      <c r="C17" s="108" t="s">
        <v>26</v>
      </c>
      <c r="D17" s="108" t="s">
        <v>27</v>
      </c>
      <c r="E17" s="108" t="s">
        <v>18</v>
      </c>
      <c r="F17" s="99"/>
      <c r="G17" s="108" t="s">
        <v>26</v>
      </c>
      <c r="H17" s="108" t="s">
        <v>27</v>
      </c>
      <c r="I17" s="108" t="s">
        <v>18</v>
      </c>
      <c r="J17" s="107"/>
      <c r="K17" s="108" t="s">
        <v>26</v>
      </c>
      <c r="L17" s="108" t="s">
        <v>27</v>
      </c>
      <c r="M17" s="108" t="s">
        <v>18</v>
      </c>
      <c r="N17" s="107"/>
      <c r="O17" s="108" t="s">
        <v>26</v>
      </c>
      <c r="P17" s="108" t="s">
        <v>27</v>
      </c>
      <c r="Q17" s="108" t="s">
        <v>18</v>
      </c>
      <c r="R17" s="107"/>
      <c r="S17" s="108" t="s">
        <v>26</v>
      </c>
      <c r="T17" s="108" t="s">
        <v>27</v>
      </c>
      <c r="U17" s="108" t="s">
        <v>18</v>
      </c>
    </row>
    <row r="18" spans="1:21" x14ac:dyDescent="0.3">
      <c r="A18" s="63"/>
      <c r="B18" s="88"/>
      <c r="C18" s="76"/>
      <c r="D18" s="76"/>
      <c r="E18" s="76"/>
      <c r="F18" s="99"/>
      <c r="G18" s="76"/>
      <c r="H18" s="76"/>
      <c r="I18" s="76"/>
      <c r="J18" s="76"/>
      <c r="K18" s="76"/>
      <c r="L18" s="76"/>
      <c r="M18" s="76"/>
      <c r="N18" s="107"/>
      <c r="O18" s="76"/>
      <c r="P18" s="76"/>
      <c r="Q18" s="76"/>
      <c r="R18" s="76"/>
      <c r="S18" s="76"/>
      <c r="T18" s="76"/>
      <c r="U18" s="76"/>
    </row>
    <row r="19" spans="1:21" x14ac:dyDescent="0.3">
      <c r="A19" s="63"/>
      <c r="B19" s="63" t="s">
        <v>58</v>
      </c>
      <c r="C19" s="76">
        <v>603939.0807705</v>
      </c>
      <c r="D19" s="76">
        <v>912697.13346777007</v>
      </c>
      <c r="E19" s="76">
        <f>+C19+D19</f>
        <v>1516636.2142382702</v>
      </c>
      <c r="F19" s="99"/>
      <c r="G19" s="76">
        <v>660533.91846449999</v>
      </c>
      <c r="H19" s="76">
        <v>2121409.20167549</v>
      </c>
      <c r="I19" s="76">
        <f>+G19+H19</f>
        <v>2781943.12013999</v>
      </c>
      <c r="J19" s="76"/>
      <c r="K19" s="76">
        <v>593904.68047699996</v>
      </c>
      <c r="L19" s="76">
        <v>2593001.06582487</v>
      </c>
      <c r="M19" s="76">
        <f>+K19+L19</f>
        <v>3186905.7463018699</v>
      </c>
      <c r="N19" s="76"/>
      <c r="O19" s="76">
        <v>3487974.4146170202</v>
      </c>
      <c r="P19" s="76">
        <v>12713198.058611801</v>
      </c>
      <c r="Q19" s="76">
        <f>+O19+P19</f>
        <v>16201172.473228822</v>
      </c>
      <c r="R19" s="76"/>
      <c r="S19" s="109">
        <f>+C19+G19+K19+O19</f>
        <v>5346352.09432902</v>
      </c>
      <c r="T19" s="109">
        <f>+D19+H19+L19+P19</f>
        <v>18340305.45957993</v>
      </c>
      <c r="U19" s="109">
        <f>+S19+T19</f>
        <v>23686657.553908952</v>
      </c>
    </row>
    <row r="20" spans="1:21" x14ac:dyDescent="0.3">
      <c r="B20" s="65" t="s">
        <v>59</v>
      </c>
      <c r="C20" s="87">
        <v>377334.189373</v>
      </c>
      <c r="D20" s="87">
        <v>235982.43265389002</v>
      </c>
      <c r="E20" s="87">
        <f t="shared" ref="E20:E36" si="0">+C20+D20</f>
        <v>613316.62202689005</v>
      </c>
      <c r="G20" s="87">
        <v>173417.54656300001</v>
      </c>
      <c r="H20" s="87">
        <v>115985.85248922999</v>
      </c>
      <c r="I20" s="87">
        <f t="shared" ref="I20:I36" si="1">+G20+H20</f>
        <v>289403.39905223</v>
      </c>
      <c r="K20" s="87">
        <v>204259.31403199999</v>
      </c>
      <c r="L20" s="87">
        <v>350466.68343111</v>
      </c>
      <c r="M20" s="87">
        <f t="shared" ref="M20:M36" si="2">+K20+L20</f>
        <v>554725.99746311002</v>
      </c>
      <c r="O20" s="87">
        <v>888884.516282</v>
      </c>
      <c r="P20" s="87">
        <v>326418.15654126002</v>
      </c>
      <c r="Q20" s="87">
        <f t="shared" ref="Q20:Q36" si="3">+O20+P20</f>
        <v>1215302.6728232601</v>
      </c>
      <c r="S20" s="109">
        <f t="shared" ref="S20:T36" si="4">+C20+G20+K20+O20</f>
        <v>1643895.5662500001</v>
      </c>
      <c r="T20" s="109">
        <f t="shared" si="4"/>
        <v>1028853.1251154901</v>
      </c>
      <c r="U20" s="109">
        <f t="shared" ref="U20:U36" si="5">+S20+T20</f>
        <v>2672748.6913654902</v>
      </c>
    </row>
    <row r="21" spans="1:21" x14ac:dyDescent="0.3">
      <c r="B21" s="65" t="s">
        <v>60</v>
      </c>
      <c r="C21" s="87">
        <v>5371.3623939999998</v>
      </c>
      <c r="D21" s="87">
        <v>9051.6227739999995</v>
      </c>
      <c r="E21" s="87">
        <f t="shared" si="0"/>
        <v>14422.985167999999</v>
      </c>
      <c r="G21" s="87">
        <v>2156.4065919999998</v>
      </c>
      <c r="H21" s="87">
        <v>0</v>
      </c>
      <c r="I21" s="87">
        <f t="shared" si="1"/>
        <v>2156.4065919999998</v>
      </c>
      <c r="K21" s="87">
        <v>7551.5459689999998</v>
      </c>
      <c r="L21" s="87">
        <v>4986.8058998100005</v>
      </c>
      <c r="M21" s="87">
        <f t="shared" si="2"/>
        <v>12538.351868810001</v>
      </c>
      <c r="O21" s="87">
        <v>218990.45463666</v>
      </c>
      <c r="P21" s="87">
        <v>126683.66030885001</v>
      </c>
      <c r="Q21" s="87">
        <f t="shared" si="3"/>
        <v>345674.11494550999</v>
      </c>
      <c r="S21" s="109">
        <f t="shared" si="4"/>
        <v>234069.76959166001</v>
      </c>
      <c r="T21" s="109">
        <f t="shared" si="4"/>
        <v>140722.08898266</v>
      </c>
      <c r="U21" s="109">
        <f t="shared" si="5"/>
        <v>374791.85857431998</v>
      </c>
    </row>
    <row r="22" spans="1:21" x14ac:dyDescent="0.3">
      <c r="B22" s="65" t="s">
        <v>61</v>
      </c>
      <c r="C22" s="87">
        <v>2326753.1111672004</v>
      </c>
      <c r="D22" s="87">
        <v>656109.30531681993</v>
      </c>
      <c r="E22" s="87">
        <f t="shared" si="0"/>
        <v>2982862.4164840202</v>
      </c>
      <c r="G22" s="87">
        <v>1677184.24485884</v>
      </c>
      <c r="H22" s="87">
        <v>425731.3908931</v>
      </c>
      <c r="I22" s="87">
        <f t="shared" si="1"/>
        <v>2102915.6357519398</v>
      </c>
      <c r="K22" s="87">
        <v>1355647.30868081</v>
      </c>
      <c r="L22" s="87">
        <v>433029.31363039004</v>
      </c>
      <c r="M22" s="87">
        <f t="shared" si="2"/>
        <v>1788676.6223112</v>
      </c>
      <c r="O22" s="87">
        <v>16397659.2192386</v>
      </c>
      <c r="P22" s="87">
        <v>22674963.223791398</v>
      </c>
      <c r="Q22" s="87">
        <f t="shared" si="3"/>
        <v>39072622.44303</v>
      </c>
      <c r="S22" s="109">
        <f t="shared" si="4"/>
        <v>21757243.88394545</v>
      </c>
      <c r="T22" s="109">
        <f t="shared" si="4"/>
        <v>24189833.233631708</v>
      </c>
      <c r="U22" s="109">
        <f t="shared" si="5"/>
        <v>45947077.117577158</v>
      </c>
    </row>
    <row r="23" spans="1:21" x14ac:dyDescent="0.3">
      <c r="B23" s="65" t="s">
        <v>62</v>
      </c>
      <c r="C23" s="87">
        <v>222969.6923385</v>
      </c>
      <c r="D23" s="87">
        <v>137451.55685370002</v>
      </c>
      <c r="E23" s="87">
        <f t="shared" si="0"/>
        <v>360421.24919220002</v>
      </c>
      <c r="G23" s="87">
        <v>170896.092565</v>
      </c>
      <c r="H23" s="87">
        <v>115119.85435797001</v>
      </c>
      <c r="I23" s="87">
        <f t="shared" si="1"/>
        <v>286015.94692297</v>
      </c>
      <c r="K23" s="87">
        <v>174241.55111850001</v>
      </c>
      <c r="L23" s="87">
        <v>76643.76789178999</v>
      </c>
      <c r="M23" s="87">
        <f t="shared" si="2"/>
        <v>250885.31901029</v>
      </c>
      <c r="O23" s="87">
        <v>3431701.1719495002</v>
      </c>
      <c r="P23" s="87">
        <v>830516.45801964006</v>
      </c>
      <c r="Q23" s="87">
        <f t="shared" si="3"/>
        <v>4262217.6299691405</v>
      </c>
      <c r="S23" s="109">
        <f t="shared" si="4"/>
        <v>3999808.5079715</v>
      </c>
      <c r="T23" s="109">
        <f t="shared" si="4"/>
        <v>1159731.6371231</v>
      </c>
      <c r="U23" s="109">
        <f t="shared" si="5"/>
        <v>5159540.1450945996</v>
      </c>
    </row>
    <row r="24" spans="1:21" x14ac:dyDescent="0.3">
      <c r="B24" s="65" t="s">
        <v>63</v>
      </c>
      <c r="C24" s="87">
        <v>17625.512561</v>
      </c>
      <c r="D24" s="87">
        <v>138273.20288198002</v>
      </c>
      <c r="E24" s="87">
        <f t="shared" si="0"/>
        <v>155898.71544298003</v>
      </c>
      <c r="G24" s="87">
        <v>62581.89097</v>
      </c>
      <c r="H24" s="87">
        <v>6262.4864077299999</v>
      </c>
      <c r="I24" s="87">
        <f t="shared" si="1"/>
        <v>68844.377377729994</v>
      </c>
      <c r="K24" s="87">
        <v>70436.003316000002</v>
      </c>
      <c r="L24" s="87">
        <v>20083.462673080001</v>
      </c>
      <c r="M24" s="87">
        <f t="shared" si="2"/>
        <v>90519.465989079996</v>
      </c>
      <c r="O24" s="87">
        <v>1139051.60269949</v>
      </c>
      <c r="P24" s="87">
        <v>2010787.6800094601</v>
      </c>
      <c r="Q24" s="87">
        <f t="shared" si="3"/>
        <v>3149839.2827089503</v>
      </c>
      <c r="S24" s="109">
        <f t="shared" si="4"/>
        <v>1289695.0095464899</v>
      </c>
      <c r="T24" s="109">
        <f t="shared" si="4"/>
        <v>2175406.8319722502</v>
      </c>
      <c r="U24" s="109">
        <f t="shared" si="5"/>
        <v>3465101.8415187402</v>
      </c>
    </row>
    <row r="25" spans="1:21" x14ac:dyDescent="0.3">
      <c r="B25" s="65" t="s">
        <v>64</v>
      </c>
      <c r="C25" s="87">
        <v>5388.2935219999999</v>
      </c>
      <c r="D25" s="87">
        <v>319.41818583999998</v>
      </c>
      <c r="E25" s="87">
        <f t="shared" si="0"/>
        <v>5707.7117078399997</v>
      </c>
      <c r="G25" s="87">
        <v>165605.32008599999</v>
      </c>
      <c r="H25" s="87">
        <v>28171.979604830001</v>
      </c>
      <c r="I25" s="87">
        <f t="shared" si="1"/>
        <v>193777.29969083</v>
      </c>
      <c r="K25" s="87">
        <v>6324.4176390000002</v>
      </c>
      <c r="L25" s="87">
        <v>14973.869674709998</v>
      </c>
      <c r="M25" s="87">
        <f t="shared" si="2"/>
        <v>21298.28731371</v>
      </c>
      <c r="O25" s="87">
        <v>14724.850557</v>
      </c>
      <c r="P25" s="87">
        <v>37837.468224279997</v>
      </c>
      <c r="Q25" s="87">
        <f t="shared" si="3"/>
        <v>52562.318781279995</v>
      </c>
      <c r="S25" s="109">
        <f t="shared" si="4"/>
        <v>192042.88180399998</v>
      </c>
      <c r="T25" s="109">
        <f t="shared" si="4"/>
        <v>81302.735689659996</v>
      </c>
      <c r="U25" s="109">
        <f t="shared" si="5"/>
        <v>273345.61749365996</v>
      </c>
    </row>
    <row r="26" spans="1:21" x14ac:dyDescent="0.3">
      <c r="B26" s="65" t="s">
        <v>65</v>
      </c>
      <c r="C26" s="87">
        <v>246816.584623</v>
      </c>
      <c r="D26" s="87">
        <v>69659.144005890004</v>
      </c>
      <c r="E26" s="87">
        <f t="shared" si="0"/>
        <v>316475.72862889001</v>
      </c>
      <c r="G26" s="87">
        <v>246241.62040799999</v>
      </c>
      <c r="H26" s="87">
        <v>105353.09948675999</v>
      </c>
      <c r="I26" s="87">
        <f t="shared" si="1"/>
        <v>351594.71989476</v>
      </c>
      <c r="K26" s="87">
        <v>267067.68227500003</v>
      </c>
      <c r="L26" s="87">
        <v>175657.64524389</v>
      </c>
      <c r="M26" s="87">
        <f t="shared" si="2"/>
        <v>442725.32751889003</v>
      </c>
      <c r="O26" s="87">
        <v>2375989.0198820001</v>
      </c>
      <c r="P26" s="87">
        <v>1844330.5893064099</v>
      </c>
      <c r="Q26" s="87">
        <f t="shared" si="3"/>
        <v>4220319.6091884095</v>
      </c>
      <c r="S26" s="109">
        <f t="shared" si="4"/>
        <v>3136114.9071880002</v>
      </c>
      <c r="T26" s="109">
        <f t="shared" si="4"/>
        <v>2195000.4780429499</v>
      </c>
      <c r="U26" s="109">
        <f t="shared" si="5"/>
        <v>5331115.3852309501</v>
      </c>
    </row>
    <row r="27" spans="1:21" x14ac:dyDescent="0.3">
      <c r="B27" s="65" t="s">
        <v>66</v>
      </c>
      <c r="C27" s="87">
        <v>117832.96545050001</v>
      </c>
      <c r="D27" s="87">
        <v>4701.6876835499997</v>
      </c>
      <c r="E27" s="87">
        <f t="shared" si="0"/>
        <v>122534.65313405001</v>
      </c>
      <c r="G27" s="87">
        <v>62018.741311999998</v>
      </c>
      <c r="H27" s="87">
        <v>7046.2668996800003</v>
      </c>
      <c r="I27" s="87">
        <f t="shared" si="1"/>
        <v>69065.008211680004</v>
      </c>
      <c r="K27" s="87">
        <v>38260.90266</v>
      </c>
      <c r="L27" s="87">
        <v>29543.191288099999</v>
      </c>
      <c r="M27" s="87">
        <f t="shared" si="2"/>
        <v>67804.093948099995</v>
      </c>
      <c r="O27" s="87">
        <v>275446.92527000001</v>
      </c>
      <c r="P27" s="87">
        <v>602362.06500513002</v>
      </c>
      <c r="Q27" s="87">
        <f t="shared" si="3"/>
        <v>877808.99027513003</v>
      </c>
      <c r="S27" s="109">
        <f t="shared" si="4"/>
        <v>493559.53469250002</v>
      </c>
      <c r="T27" s="109">
        <f t="shared" si="4"/>
        <v>643653.21087645995</v>
      </c>
      <c r="U27" s="109">
        <f t="shared" si="5"/>
        <v>1137212.74556896</v>
      </c>
    </row>
    <row r="28" spans="1:21" x14ac:dyDescent="0.3">
      <c r="B28" s="65" t="s">
        <v>67</v>
      </c>
      <c r="C28" s="87">
        <v>28939.633573999999</v>
      </c>
      <c r="D28" s="87">
        <v>157235.02877442</v>
      </c>
      <c r="E28" s="87">
        <f t="shared" si="0"/>
        <v>186174.66234842001</v>
      </c>
      <c r="G28" s="87">
        <v>64839.357487000001</v>
      </c>
      <c r="H28" s="87">
        <v>23333.653458770001</v>
      </c>
      <c r="I28" s="87">
        <f t="shared" si="1"/>
        <v>88173.010945770002</v>
      </c>
      <c r="K28" s="87">
        <v>69181.058214000004</v>
      </c>
      <c r="L28" s="87">
        <v>29453.4624396</v>
      </c>
      <c r="M28" s="87">
        <f t="shared" si="2"/>
        <v>98634.520653600004</v>
      </c>
      <c r="O28" s="87">
        <v>1252319.3812905001</v>
      </c>
      <c r="P28" s="87">
        <v>772057.72603699996</v>
      </c>
      <c r="Q28" s="87">
        <f t="shared" si="3"/>
        <v>2024377.1073274999</v>
      </c>
      <c r="S28" s="109">
        <f t="shared" si="4"/>
        <v>1415279.4305655002</v>
      </c>
      <c r="T28" s="109">
        <f t="shared" si="4"/>
        <v>982079.87070978992</v>
      </c>
      <c r="U28" s="109">
        <f t="shared" si="5"/>
        <v>2397359.3012752901</v>
      </c>
    </row>
    <row r="29" spans="1:21" x14ac:dyDescent="0.3">
      <c r="B29" s="65" t="s">
        <v>68</v>
      </c>
      <c r="C29" s="87">
        <v>19345.015977999999</v>
      </c>
      <c r="D29" s="87">
        <v>2564.7722774899999</v>
      </c>
      <c r="E29" s="87">
        <f t="shared" si="0"/>
        <v>21909.788255489999</v>
      </c>
      <c r="G29" s="87">
        <v>12780.613035</v>
      </c>
      <c r="H29" s="87">
        <v>4231.1490805399999</v>
      </c>
      <c r="I29" s="87">
        <f t="shared" si="1"/>
        <v>17011.762115540001</v>
      </c>
      <c r="K29" s="87">
        <v>7678.6842040000001</v>
      </c>
      <c r="L29" s="87">
        <v>3557.6168525500002</v>
      </c>
      <c r="M29" s="87">
        <f t="shared" si="2"/>
        <v>11236.301056550001</v>
      </c>
      <c r="O29" s="87">
        <v>236565.20990799999</v>
      </c>
      <c r="P29" s="87">
        <v>152568.37871557</v>
      </c>
      <c r="Q29" s="87">
        <f t="shared" si="3"/>
        <v>389133.58862356999</v>
      </c>
      <c r="S29" s="109">
        <f t="shared" si="4"/>
        <v>276369.52312500001</v>
      </c>
      <c r="T29" s="109">
        <f t="shared" si="4"/>
        <v>162921.91692615001</v>
      </c>
      <c r="U29" s="109">
        <f t="shared" si="5"/>
        <v>439291.44005115004</v>
      </c>
    </row>
    <row r="30" spans="1:21" x14ac:dyDescent="0.3">
      <c r="B30" s="65" t="s">
        <v>69</v>
      </c>
      <c r="C30" s="87">
        <v>713490.07626650005</v>
      </c>
      <c r="D30" s="87">
        <v>29129.447213509997</v>
      </c>
      <c r="E30" s="87">
        <f t="shared" si="0"/>
        <v>742619.5234800101</v>
      </c>
      <c r="G30" s="87">
        <v>147564.03072800001</v>
      </c>
      <c r="H30" s="87">
        <v>35001.472004910007</v>
      </c>
      <c r="I30" s="87">
        <f t="shared" si="1"/>
        <v>182565.50273291001</v>
      </c>
      <c r="K30" s="87">
        <v>102715.44971933</v>
      </c>
      <c r="L30" s="87">
        <v>52020.256865609997</v>
      </c>
      <c r="M30" s="87">
        <f t="shared" si="2"/>
        <v>154735.70658494</v>
      </c>
      <c r="O30" s="87">
        <v>3056922.8016781299</v>
      </c>
      <c r="P30" s="87">
        <v>2354159.9939712202</v>
      </c>
      <c r="Q30" s="87">
        <f t="shared" si="3"/>
        <v>5411082.7956493497</v>
      </c>
      <c r="S30" s="109">
        <f t="shared" si="4"/>
        <v>4020692.3583919602</v>
      </c>
      <c r="T30" s="109">
        <f t="shared" si="4"/>
        <v>2470311.1700552502</v>
      </c>
      <c r="U30" s="109">
        <f t="shared" si="5"/>
        <v>6491003.5284472108</v>
      </c>
    </row>
    <row r="31" spans="1:21" x14ac:dyDescent="0.3">
      <c r="B31" s="65" t="s">
        <v>70</v>
      </c>
      <c r="C31" s="87">
        <v>40799.710142000004</v>
      </c>
      <c r="D31" s="87">
        <v>1875.0807226300001</v>
      </c>
      <c r="E31" s="87">
        <f t="shared" si="0"/>
        <v>42674.790864630006</v>
      </c>
      <c r="G31" s="87">
        <v>15093.767625500001</v>
      </c>
      <c r="H31" s="87">
        <v>281.76392399999997</v>
      </c>
      <c r="I31" s="87">
        <f t="shared" si="1"/>
        <v>15375.531549500001</v>
      </c>
      <c r="K31" s="87">
        <v>21161.877262000002</v>
      </c>
      <c r="L31" s="87">
        <v>302.52986800000002</v>
      </c>
      <c r="M31" s="87">
        <f t="shared" si="2"/>
        <v>21464.407130000003</v>
      </c>
      <c r="O31" s="87">
        <v>756977.96765300003</v>
      </c>
      <c r="P31" s="87">
        <v>2234447.9831816601</v>
      </c>
      <c r="Q31" s="87">
        <f t="shared" si="3"/>
        <v>2991425.9508346599</v>
      </c>
      <c r="S31" s="109">
        <f t="shared" si="4"/>
        <v>834033.3226825</v>
      </c>
      <c r="T31" s="109">
        <f t="shared" si="4"/>
        <v>2236907.3576962901</v>
      </c>
      <c r="U31" s="109">
        <f t="shared" si="5"/>
        <v>3070940.68037879</v>
      </c>
    </row>
    <row r="32" spans="1:21" x14ac:dyDescent="0.3">
      <c r="B32" s="65" t="s">
        <v>71</v>
      </c>
      <c r="C32" s="87">
        <v>6784.1608120000001</v>
      </c>
      <c r="D32" s="87">
        <v>118672.07320699999</v>
      </c>
      <c r="E32" s="87">
        <f t="shared" si="0"/>
        <v>125456.234019</v>
      </c>
      <c r="G32" s="87">
        <v>81802.615969000006</v>
      </c>
      <c r="H32" s="87">
        <v>0</v>
      </c>
      <c r="I32" s="87">
        <f t="shared" si="1"/>
        <v>81802.615969000006</v>
      </c>
      <c r="K32" s="87">
        <v>4027.825687</v>
      </c>
      <c r="L32" s="87">
        <v>0</v>
      </c>
      <c r="M32" s="87">
        <f t="shared" si="2"/>
        <v>4027.825687</v>
      </c>
      <c r="O32" s="87">
        <v>263486.17833199998</v>
      </c>
      <c r="P32" s="87">
        <v>917389.21708262002</v>
      </c>
      <c r="Q32" s="87">
        <f t="shared" si="3"/>
        <v>1180875.3954146199</v>
      </c>
      <c r="S32" s="109">
        <f t="shared" si="4"/>
        <v>356100.78080000001</v>
      </c>
      <c r="T32" s="109">
        <f t="shared" si="4"/>
        <v>1036061.2902896201</v>
      </c>
      <c r="U32" s="109">
        <f t="shared" si="5"/>
        <v>1392162.07108962</v>
      </c>
    </row>
    <row r="33" spans="1:21" x14ac:dyDescent="0.3">
      <c r="B33" s="65" t="s">
        <v>72</v>
      </c>
      <c r="C33" s="87">
        <v>207508.47352500001</v>
      </c>
      <c r="D33" s="87">
        <v>15118.04970032</v>
      </c>
      <c r="E33" s="87">
        <f t="shared" si="0"/>
        <v>222626.52322532001</v>
      </c>
      <c r="G33" s="87">
        <v>84885.881132499999</v>
      </c>
      <c r="H33" s="87">
        <v>84363.272759350002</v>
      </c>
      <c r="I33" s="87">
        <f t="shared" si="1"/>
        <v>169249.15389185</v>
      </c>
      <c r="K33" s="87">
        <v>96574.900790999993</v>
      </c>
      <c r="L33" s="87">
        <v>48934.999971999998</v>
      </c>
      <c r="M33" s="87">
        <f t="shared" si="2"/>
        <v>145509.90076299998</v>
      </c>
      <c r="O33" s="87">
        <v>113825.545985</v>
      </c>
      <c r="P33" s="87">
        <v>114565.13170300001</v>
      </c>
      <c r="Q33" s="87">
        <f t="shared" si="3"/>
        <v>228390.67768800003</v>
      </c>
      <c r="S33" s="109">
        <f t="shared" si="4"/>
        <v>502794.80143350002</v>
      </c>
      <c r="T33" s="109">
        <f t="shared" si="4"/>
        <v>262981.45413467003</v>
      </c>
      <c r="U33" s="109">
        <f t="shared" si="5"/>
        <v>765776.25556816999</v>
      </c>
    </row>
    <row r="34" spans="1:21" x14ac:dyDescent="0.3">
      <c r="B34" s="65" t="s">
        <v>73</v>
      </c>
      <c r="C34" s="87">
        <v>2658949.9032274</v>
      </c>
      <c r="D34" s="87">
        <v>571676.38914918993</v>
      </c>
      <c r="E34" s="87">
        <f t="shared" si="0"/>
        <v>3230626.29237659</v>
      </c>
      <c r="G34" s="87">
        <v>937112.47404950997</v>
      </c>
      <c r="H34" s="87">
        <v>524204.94334517</v>
      </c>
      <c r="I34" s="87">
        <f t="shared" si="1"/>
        <v>1461317.41739468</v>
      </c>
      <c r="K34" s="87">
        <v>360790.29991952004</v>
      </c>
      <c r="L34" s="87">
        <v>228082.81485538001</v>
      </c>
      <c r="M34" s="87">
        <f t="shared" si="2"/>
        <v>588873.11477490002</v>
      </c>
      <c r="O34" s="87">
        <v>2397462.1648297901</v>
      </c>
      <c r="P34" s="87">
        <v>1915507.18483107</v>
      </c>
      <c r="Q34" s="87">
        <f t="shared" si="3"/>
        <v>4312969.3496608604</v>
      </c>
      <c r="S34" s="109">
        <f t="shared" si="4"/>
        <v>6354314.8420262206</v>
      </c>
      <c r="T34" s="109">
        <f t="shared" si="4"/>
        <v>3239471.3321808102</v>
      </c>
      <c r="U34" s="109">
        <f t="shared" si="5"/>
        <v>9593786.1742070317</v>
      </c>
    </row>
    <row r="35" spans="1:21" x14ac:dyDescent="0.3">
      <c r="B35" s="65" t="s">
        <v>74</v>
      </c>
      <c r="C35" s="87">
        <v>110329.98517067</v>
      </c>
      <c r="D35" s="87">
        <v>6641.1083084700003</v>
      </c>
      <c r="E35" s="87">
        <f t="shared" si="0"/>
        <v>116971.09347913999</v>
      </c>
      <c r="G35" s="87">
        <v>59269.534847000003</v>
      </c>
      <c r="H35" s="87">
        <v>5981.3875237600005</v>
      </c>
      <c r="I35" s="87">
        <f t="shared" si="1"/>
        <v>65250.922370760003</v>
      </c>
      <c r="K35" s="87">
        <v>60360.525096500001</v>
      </c>
      <c r="L35" s="87">
        <v>10155.913655010001</v>
      </c>
      <c r="M35" s="87">
        <f t="shared" si="2"/>
        <v>70516.438751509995</v>
      </c>
      <c r="O35" s="87">
        <v>924855.12465894991</v>
      </c>
      <c r="P35" s="87">
        <v>1575122.5755354899</v>
      </c>
      <c r="Q35" s="87">
        <f t="shared" si="3"/>
        <v>2499977.7001944399</v>
      </c>
      <c r="S35" s="109">
        <f t="shared" si="4"/>
        <v>1154815.16977312</v>
      </c>
      <c r="T35" s="109">
        <f t="shared" si="4"/>
        <v>1597900.98502273</v>
      </c>
      <c r="U35" s="109">
        <f t="shared" si="5"/>
        <v>2752716.1547958497</v>
      </c>
    </row>
    <row r="36" spans="1:21" x14ac:dyDescent="0.3">
      <c r="B36" s="65" t="s">
        <v>75</v>
      </c>
      <c r="C36" s="111">
        <v>324223.42957350001</v>
      </c>
      <c r="D36" s="111">
        <v>93877.658914009997</v>
      </c>
      <c r="E36" s="111">
        <f t="shared" si="0"/>
        <v>418101.08848750999</v>
      </c>
      <c r="G36" s="111">
        <v>185436.57175450001</v>
      </c>
      <c r="H36" s="111">
        <v>113196.02339253</v>
      </c>
      <c r="I36" s="111">
        <f t="shared" si="1"/>
        <v>298632.59514703002</v>
      </c>
      <c r="K36" s="111">
        <v>108360.91592599</v>
      </c>
      <c r="L36" s="111">
        <v>68745.44118586999</v>
      </c>
      <c r="M36" s="111">
        <f t="shared" si="2"/>
        <v>177106.35711186001</v>
      </c>
      <c r="O36" s="111">
        <v>736581.3133105</v>
      </c>
      <c r="P36" s="111">
        <v>3060546.96732833</v>
      </c>
      <c r="Q36" s="111">
        <f t="shared" si="3"/>
        <v>3797128.2806388298</v>
      </c>
      <c r="S36" s="164">
        <f t="shared" si="4"/>
        <v>1354602.23056449</v>
      </c>
      <c r="T36" s="164">
        <f t="shared" si="4"/>
        <v>3336366.09082074</v>
      </c>
      <c r="U36" s="164">
        <f t="shared" si="5"/>
        <v>4690968.3213852299</v>
      </c>
    </row>
    <row r="37" spans="1:21" x14ac:dyDescent="0.3">
      <c r="B37" s="114" t="s">
        <v>54</v>
      </c>
      <c r="C37" s="115">
        <f>SUM(C19:C36)</f>
        <v>8034401.1804687697</v>
      </c>
      <c r="D37" s="115">
        <f t="shared" ref="D37:E37" si="6">SUM(D19:D36)</f>
        <v>3161035.1120904796</v>
      </c>
      <c r="E37" s="115">
        <f t="shared" si="6"/>
        <v>11195436.292559249</v>
      </c>
      <c r="G37" s="115">
        <f>SUM(G19:G36)</f>
        <v>4809420.6284473492</v>
      </c>
      <c r="H37" s="115">
        <f t="shared" ref="H37:I37" si="7">SUM(H19:H36)</f>
        <v>3715673.7973038191</v>
      </c>
      <c r="I37" s="115">
        <f t="shared" si="7"/>
        <v>8525094.4257511701</v>
      </c>
      <c r="K37" s="115">
        <f>SUM(K19:K36)</f>
        <v>3548544.9429866499</v>
      </c>
      <c r="L37" s="115">
        <f t="shared" ref="L37:M37" si="8">SUM(L19:L36)</f>
        <v>4139638.84125177</v>
      </c>
      <c r="M37" s="115">
        <f t="shared" si="8"/>
        <v>7688183.7842384195</v>
      </c>
      <c r="O37" s="115">
        <f>SUM(O19:O36)</f>
        <v>37969417.862778127</v>
      </c>
      <c r="P37" s="115">
        <f t="shared" ref="P37:Q37" si="9">SUM(P19:P36)</f>
        <v>54263462.51820419</v>
      </c>
      <c r="Q37" s="115">
        <f t="shared" si="9"/>
        <v>92232880.380982339</v>
      </c>
      <c r="S37" s="116">
        <f>SUM(S19:S36)</f>
        <v>54361784.614680909</v>
      </c>
      <c r="T37" s="116">
        <f t="shared" ref="T37:U37" si="10">SUM(T19:T36)</f>
        <v>65279810.268850259</v>
      </c>
      <c r="U37" s="116">
        <f t="shared" si="10"/>
        <v>119641594.8835312</v>
      </c>
    </row>
    <row r="39" spans="1:21" x14ac:dyDescent="0.3">
      <c r="A39" s="63"/>
      <c r="B39" s="65" t="s">
        <v>76</v>
      </c>
      <c r="C39" s="99"/>
      <c r="D39" s="99"/>
      <c r="E39" s="99"/>
      <c r="F39" s="99"/>
      <c r="G39" s="99"/>
      <c r="H39" s="99"/>
      <c r="I39" s="99"/>
      <c r="J39" s="99"/>
    </row>
    <row r="40" spans="1:21" x14ac:dyDescent="0.3">
      <c r="A40" s="63"/>
      <c r="C40" s="99"/>
      <c r="D40" s="99"/>
      <c r="E40" s="99"/>
      <c r="F40" s="99"/>
      <c r="G40" s="99"/>
      <c r="H40" s="99"/>
      <c r="I40" s="99"/>
      <c r="J40" s="99"/>
    </row>
    <row r="41" spans="1:21" ht="16.2" x14ac:dyDescent="0.35">
      <c r="A41" s="63"/>
      <c r="B41" s="73" t="s">
        <v>55</v>
      </c>
      <c r="C41" s="99"/>
      <c r="D41" s="99"/>
      <c r="E41" s="99"/>
      <c r="F41" s="99"/>
      <c r="G41" s="99"/>
      <c r="H41" s="99"/>
      <c r="I41" s="99"/>
      <c r="J41" s="76"/>
      <c r="R41" s="76"/>
    </row>
    <row r="42" spans="1:21" x14ac:dyDescent="0.3">
      <c r="A42" s="63"/>
      <c r="B42" s="88"/>
      <c r="C42" s="99"/>
      <c r="D42" s="99"/>
      <c r="E42" s="99"/>
      <c r="F42" s="99"/>
      <c r="G42" s="99"/>
      <c r="H42" s="99"/>
      <c r="I42" s="99"/>
      <c r="J42" s="76"/>
      <c r="N42" s="76"/>
      <c r="R42" s="76"/>
    </row>
    <row r="43" spans="1:21" s="105" customFormat="1" ht="24" customHeight="1" x14ac:dyDescent="0.3">
      <c r="A43" s="85"/>
      <c r="B43" s="192"/>
      <c r="C43" s="193" t="s">
        <v>19</v>
      </c>
      <c r="D43" s="191"/>
      <c r="E43" s="191"/>
      <c r="F43" s="102"/>
      <c r="G43" s="191" t="s">
        <v>20</v>
      </c>
      <c r="H43" s="191"/>
      <c r="I43" s="191"/>
      <c r="J43" s="119"/>
      <c r="K43" s="193" t="s">
        <v>21</v>
      </c>
      <c r="L43" s="191"/>
      <c r="M43" s="191"/>
      <c r="N43" s="104"/>
      <c r="O43" s="191" t="s">
        <v>22</v>
      </c>
      <c r="P43" s="191"/>
      <c r="Q43" s="191"/>
      <c r="R43" s="119"/>
      <c r="S43" s="191" t="s">
        <v>33</v>
      </c>
      <c r="T43" s="191"/>
      <c r="U43" s="191"/>
    </row>
    <row r="44" spans="1:21" x14ac:dyDescent="0.3">
      <c r="A44" s="63"/>
      <c r="B44" s="192"/>
      <c r="C44" s="120"/>
      <c r="D44" s="120"/>
      <c r="E44" s="120"/>
      <c r="F44" s="99"/>
      <c r="G44" s="120"/>
      <c r="H44" s="120"/>
      <c r="I44" s="120"/>
      <c r="J44" s="118"/>
      <c r="K44" s="120"/>
      <c r="L44" s="120"/>
      <c r="M44" s="120"/>
      <c r="N44" s="118"/>
      <c r="O44" s="120"/>
      <c r="P44" s="120"/>
      <c r="Q44" s="120"/>
      <c r="R44" s="118"/>
      <c r="S44" s="120"/>
      <c r="T44" s="120"/>
      <c r="U44" s="120"/>
    </row>
    <row r="45" spans="1:21" x14ac:dyDescent="0.3">
      <c r="A45" s="63"/>
      <c r="B45" s="192"/>
      <c r="C45" s="121" t="s">
        <v>26</v>
      </c>
      <c r="D45" s="121" t="s">
        <v>27</v>
      </c>
      <c r="E45" s="121" t="s">
        <v>18</v>
      </c>
      <c r="F45" s="99"/>
      <c r="G45" s="121" t="s">
        <v>26</v>
      </c>
      <c r="H45" s="121" t="s">
        <v>27</v>
      </c>
      <c r="I45" s="121" t="s">
        <v>18</v>
      </c>
      <c r="J45" s="118"/>
      <c r="K45" s="121" t="s">
        <v>26</v>
      </c>
      <c r="L45" s="121" t="s">
        <v>27</v>
      </c>
      <c r="M45" s="121" t="s">
        <v>18</v>
      </c>
      <c r="N45" s="118"/>
      <c r="O45" s="121" t="s">
        <v>26</v>
      </c>
      <c r="P45" s="121" t="s">
        <v>27</v>
      </c>
      <c r="Q45" s="121" t="s">
        <v>18</v>
      </c>
      <c r="R45" s="118"/>
      <c r="S45" s="121" t="s">
        <v>26</v>
      </c>
      <c r="T45" s="121" t="s">
        <v>27</v>
      </c>
      <c r="U45" s="121" t="s">
        <v>18</v>
      </c>
    </row>
    <row r="46" spans="1:21" x14ac:dyDescent="0.3">
      <c r="A46" s="63"/>
      <c r="B46" s="88"/>
      <c r="C46" s="76"/>
      <c r="D46" s="76"/>
      <c r="E46" s="76"/>
      <c r="F46" s="99"/>
      <c r="G46" s="76"/>
      <c r="H46" s="76"/>
      <c r="I46" s="76"/>
      <c r="J46" s="76"/>
      <c r="K46" s="76"/>
      <c r="L46" s="76"/>
      <c r="M46" s="76"/>
      <c r="N46" s="107"/>
      <c r="O46" s="76"/>
      <c r="P46" s="76"/>
      <c r="Q46" s="76"/>
      <c r="R46" s="76"/>
      <c r="S46" s="76"/>
      <c r="T46" s="76"/>
      <c r="U46" s="76"/>
    </row>
    <row r="47" spans="1:21" x14ac:dyDescent="0.3">
      <c r="A47" s="63"/>
      <c r="B47" s="63" t="s">
        <v>58</v>
      </c>
      <c r="C47" s="122">
        <f>16741-1</f>
        <v>16740</v>
      </c>
      <c r="D47" s="122">
        <v>2105</v>
      </c>
      <c r="E47" s="122">
        <f>+C47+D47</f>
        <v>18845</v>
      </c>
      <c r="F47" s="123"/>
      <c r="G47" s="122">
        <v>8902</v>
      </c>
      <c r="H47" s="122">
        <f>5065-1</f>
        <v>5064</v>
      </c>
      <c r="I47" s="122">
        <f>+G47+H47</f>
        <v>13966</v>
      </c>
      <c r="J47" s="122"/>
      <c r="K47" s="122">
        <v>3851</v>
      </c>
      <c r="L47" s="122">
        <v>3102</v>
      </c>
      <c r="M47" s="122">
        <f>+K47+L47</f>
        <v>6953</v>
      </c>
      <c r="N47" s="122"/>
      <c r="O47" s="122">
        <v>4378</v>
      </c>
      <c r="P47" s="122">
        <v>4768</v>
      </c>
      <c r="Q47" s="122">
        <f>+O47+P47</f>
        <v>9146</v>
      </c>
      <c r="R47" s="122"/>
      <c r="S47" s="124">
        <f>+C47+G47+K47+O47</f>
        <v>33871</v>
      </c>
      <c r="T47" s="124">
        <f>+D47+H47+L47+P47</f>
        <v>15039</v>
      </c>
      <c r="U47" s="124">
        <f>+S47+T47</f>
        <v>48910</v>
      </c>
    </row>
    <row r="48" spans="1:21" x14ac:dyDescent="0.3">
      <c r="B48" s="65" t="s">
        <v>59</v>
      </c>
      <c r="C48" s="125">
        <v>8637</v>
      </c>
      <c r="D48" s="125">
        <v>339</v>
      </c>
      <c r="E48" s="122">
        <f t="shared" ref="E48:E64" si="11">+C48+D48</f>
        <v>8976</v>
      </c>
      <c r="F48" s="125"/>
      <c r="G48" s="125">
        <v>1120</v>
      </c>
      <c r="H48" s="125">
        <v>125</v>
      </c>
      <c r="I48" s="122">
        <f t="shared" ref="I48:I64" si="12">+G48+H48</f>
        <v>1245</v>
      </c>
      <c r="J48" s="125"/>
      <c r="K48" s="125">
        <v>352</v>
      </c>
      <c r="L48" s="125">
        <v>184</v>
      </c>
      <c r="M48" s="122">
        <f t="shared" ref="M48:M64" si="13">+K48+L48</f>
        <v>536</v>
      </c>
      <c r="N48" s="125"/>
      <c r="O48" s="125">
        <v>608</v>
      </c>
      <c r="P48" s="125">
        <v>106</v>
      </c>
      <c r="Q48" s="122">
        <f t="shared" ref="Q48:Q64" si="14">+O48+P48</f>
        <v>714</v>
      </c>
      <c r="R48" s="125"/>
      <c r="S48" s="124">
        <f t="shared" ref="S48:T64" si="15">+C48+G48+K48+O48</f>
        <v>10717</v>
      </c>
      <c r="T48" s="124">
        <f t="shared" si="15"/>
        <v>754</v>
      </c>
      <c r="U48" s="124">
        <f t="shared" ref="U48:U64" si="16">+S48+T48</f>
        <v>11471</v>
      </c>
    </row>
    <row r="49" spans="2:21" x14ac:dyDescent="0.3">
      <c r="B49" s="65" t="s">
        <v>60</v>
      </c>
      <c r="C49" s="125">
        <v>209</v>
      </c>
      <c r="D49" s="125">
        <v>7</v>
      </c>
      <c r="E49" s="122">
        <f t="shared" si="11"/>
        <v>216</v>
      </c>
      <c r="F49" s="125"/>
      <c r="G49" s="125">
        <v>41</v>
      </c>
      <c r="H49" s="125"/>
      <c r="I49" s="122">
        <f t="shared" si="12"/>
        <v>41</v>
      </c>
      <c r="J49" s="125"/>
      <c r="K49" s="125">
        <v>43</v>
      </c>
      <c r="L49" s="125">
        <v>4</v>
      </c>
      <c r="M49" s="122">
        <f t="shared" si="13"/>
        <v>47</v>
      </c>
      <c r="N49" s="125"/>
      <c r="O49" s="125">
        <v>96</v>
      </c>
      <c r="P49" s="125">
        <v>21</v>
      </c>
      <c r="Q49" s="122">
        <f t="shared" si="14"/>
        <v>117</v>
      </c>
      <c r="R49" s="125"/>
      <c r="S49" s="124">
        <f t="shared" si="15"/>
        <v>389</v>
      </c>
      <c r="T49" s="124">
        <f t="shared" si="15"/>
        <v>32</v>
      </c>
      <c r="U49" s="124">
        <f t="shared" si="16"/>
        <v>421</v>
      </c>
    </row>
    <row r="50" spans="2:21" x14ac:dyDescent="0.3">
      <c r="B50" s="65" t="s">
        <v>61</v>
      </c>
      <c r="C50" s="125">
        <f>144583-12</f>
        <v>144571</v>
      </c>
      <c r="D50" s="125">
        <v>1408</v>
      </c>
      <c r="E50" s="122">
        <f t="shared" si="11"/>
        <v>145979</v>
      </c>
      <c r="F50" s="125"/>
      <c r="G50" s="125">
        <f>38920-9</f>
        <v>38911</v>
      </c>
      <c r="H50" s="125">
        <f>2112-1</f>
        <v>2111</v>
      </c>
      <c r="I50" s="122">
        <f t="shared" si="12"/>
        <v>41022</v>
      </c>
      <c r="J50" s="125"/>
      <c r="K50" s="125">
        <f>21331-2</f>
        <v>21329</v>
      </c>
      <c r="L50" s="125">
        <v>1076</v>
      </c>
      <c r="M50" s="122">
        <f t="shared" si="13"/>
        <v>22405</v>
      </c>
      <c r="N50" s="125"/>
      <c r="O50" s="125">
        <v>73733</v>
      </c>
      <c r="P50" s="125">
        <v>14053</v>
      </c>
      <c r="Q50" s="122">
        <f t="shared" si="14"/>
        <v>87786</v>
      </c>
      <c r="R50" s="125"/>
      <c r="S50" s="124">
        <f t="shared" si="15"/>
        <v>278544</v>
      </c>
      <c r="T50" s="124">
        <f t="shared" si="15"/>
        <v>18648</v>
      </c>
      <c r="U50" s="124">
        <f t="shared" si="16"/>
        <v>297192</v>
      </c>
    </row>
    <row r="51" spans="2:21" x14ac:dyDescent="0.3">
      <c r="B51" s="65" t="s">
        <v>62</v>
      </c>
      <c r="C51" s="125">
        <f>13268-2</f>
        <v>13266</v>
      </c>
      <c r="D51" s="125">
        <v>164</v>
      </c>
      <c r="E51" s="122">
        <f t="shared" si="11"/>
        <v>13430</v>
      </c>
      <c r="F51" s="125"/>
      <c r="G51" s="125">
        <f>3298-1</f>
        <v>3297</v>
      </c>
      <c r="H51" s="125">
        <v>146</v>
      </c>
      <c r="I51" s="122">
        <f t="shared" si="12"/>
        <v>3443</v>
      </c>
      <c r="J51" s="125"/>
      <c r="K51" s="125">
        <v>1685</v>
      </c>
      <c r="L51" s="125">
        <v>108</v>
      </c>
      <c r="M51" s="122">
        <f t="shared" si="13"/>
        <v>1793</v>
      </c>
      <c r="N51" s="125"/>
      <c r="O51" s="125">
        <v>2787</v>
      </c>
      <c r="P51" s="125">
        <v>312</v>
      </c>
      <c r="Q51" s="122">
        <f t="shared" si="14"/>
        <v>3099</v>
      </c>
      <c r="R51" s="125"/>
      <c r="S51" s="124">
        <f t="shared" si="15"/>
        <v>21035</v>
      </c>
      <c r="T51" s="124">
        <f t="shared" si="15"/>
        <v>730</v>
      </c>
      <c r="U51" s="124">
        <f t="shared" si="16"/>
        <v>21765</v>
      </c>
    </row>
    <row r="52" spans="2:21" x14ac:dyDescent="0.3">
      <c r="B52" s="65" t="s">
        <v>63</v>
      </c>
      <c r="C52" s="125">
        <v>1186</v>
      </c>
      <c r="D52" s="125">
        <v>36</v>
      </c>
      <c r="E52" s="122">
        <f t="shared" si="11"/>
        <v>1222</v>
      </c>
      <c r="F52" s="125"/>
      <c r="G52" s="125">
        <v>519</v>
      </c>
      <c r="H52" s="125">
        <v>18</v>
      </c>
      <c r="I52" s="122">
        <f t="shared" si="12"/>
        <v>537</v>
      </c>
      <c r="J52" s="125"/>
      <c r="K52" s="125">
        <v>789</v>
      </c>
      <c r="L52" s="125">
        <v>41</v>
      </c>
      <c r="M52" s="122">
        <f t="shared" si="13"/>
        <v>830</v>
      </c>
      <c r="N52" s="125"/>
      <c r="O52" s="125">
        <v>4657</v>
      </c>
      <c r="P52" s="125">
        <v>399</v>
      </c>
      <c r="Q52" s="122">
        <f t="shared" si="14"/>
        <v>5056</v>
      </c>
      <c r="R52" s="125"/>
      <c r="S52" s="124">
        <f t="shared" si="15"/>
        <v>7151</v>
      </c>
      <c r="T52" s="124">
        <f t="shared" si="15"/>
        <v>494</v>
      </c>
      <c r="U52" s="124">
        <f t="shared" si="16"/>
        <v>7645</v>
      </c>
    </row>
    <row r="53" spans="2:21" x14ac:dyDescent="0.3">
      <c r="B53" s="65" t="s">
        <v>64</v>
      </c>
      <c r="C53" s="125">
        <v>287</v>
      </c>
      <c r="D53" s="125">
        <v>7</v>
      </c>
      <c r="E53" s="122">
        <f t="shared" si="11"/>
        <v>294</v>
      </c>
      <c r="F53" s="125"/>
      <c r="G53" s="125">
        <v>124</v>
      </c>
      <c r="H53" s="125">
        <v>17</v>
      </c>
      <c r="I53" s="122">
        <f t="shared" si="12"/>
        <v>141</v>
      </c>
      <c r="J53" s="125"/>
      <c r="K53" s="125">
        <v>75</v>
      </c>
      <c r="L53" s="125">
        <v>18</v>
      </c>
      <c r="M53" s="122">
        <f t="shared" si="13"/>
        <v>93</v>
      </c>
      <c r="N53" s="125"/>
      <c r="O53" s="125">
        <v>49</v>
      </c>
      <c r="P53" s="125">
        <v>54</v>
      </c>
      <c r="Q53" s="122">
        <f t="shared" si="14"/>
        <v>103</v>
      </c>
      <c r="R53" s="125"/>
      <c r="S53" s="124">
        <f t="shared" si="15"/>
        <v>535</v>
      </c>
      <c r="T53" s="124">
        <f t="shared" si="15"/>
        <v>96</v>
      </c>
      <c r="U53" s="124">
        <f t="shared" si="16"/>
        <v>631</v>
      </c>
    </row>
    <row r="54" spans="2:21" x14ac:dyDescent="0.3">
      <c r="B54" s="65" t="s">
        <v>65</v>
      </c>
      <c r="C54" s="125">
        <v>4282</v>
      </c>
      <c r="D54" s="125">
        <v>118</v>
      </c>
      <c r="E54" s="122">
        <f t="shared" si="11"/>
        <v>4400</v>
      </c>
      <c r="F54" s="125"/>
      <c r="G54" s="125">
        <v>1609</v>
      </c>
      <c r="H54" s="125">
        <v>127</v>
      </c>
      <c r="I54" s="122">
        <f t="shared" si="12"/>
        <v>1736</v>
      </c>
      <c r="J54" s="125"/>
      <c r="K54" s="125">
        <v>561</v>
      </c>
      <c r="L54" s="125">
        <v>125</v>
      </c>
      <c r="M54" s="122">
        <f t="shared" si="13"/>
        <v>686</v>
      </c>
      <c r="N54" s="125"/>
      <c r="O54" s="125">
        <v>2175</v>
      </c>
      <c r="P54" s="125">
        <v>580</v>
      </c>
      <c r="Q54" s="122">
        <f t="shared" si="14"/>
        <v>2755</v>
      </c>
      <c r="R54" s="125"/>
      <c r="S54" s="124">
        <f t="shared" si="15"/>
        <v>8627</v>
      </c>
      <c r="T54" s="124">
        <f t="shared" si="15"/>
        <v>950</v>
      </c>
      <c r="U54" s="124">
        <f t="shared" si="16"/>
        <v>9577</v>
      </c>
    </row>
    <row r="55" spans="2:21" x14ac:dyDescent="0.3">
      <c r="B55" s="65" t="s">
        <v>66</v>
      </c>
      <c r="C55" s="125">
        <f>9467-2</f>
        <v>9465</v>
      </c>
      <c r="D55" s="125">
        <v>52</v>
      </c>
      <c r="E55" s="122">
        <f t="shared" si="11"/>
        <v>9517</v>
      </c>
      <c r="F55" s="125"/>
      <c r="G55" s="125">
        <v>1678</v>
      </c>
      <c r="H55" s="125">
        <v>39</v>
      </c>
      <c r="I55" s="122">
        <f t="shared" si="12"/>
        <v>1717</v>
      </c>
      <c r="J55" s="125"/>
      <c r="K55" s="125">
        <v>497</v>
      </c>
      <c r="L55" s="125">
        <v>26</v>
      </c>
      <c r="M55" s="122">
        <f t="shared" si="13"/>
        <v>523</v>
      </c>
      <c r="N55" s="125"/>
      <c r="O55" s="125">
        <v>2823</v>
      </c>
      <c r="P55" s="125">
        <v>185</v>
      </c>
      <c r="Q55" s="122">
        <f t="shared" si="14"/>
        <v>3008</v>
      </c>
      <c r="R55" s="125"/>
      <c r="S55" s="124">
        <f t="shared" si="15"/>
        <v>14463</v>
      </c>
      <c r="T55" s="124">
        <f t="shared" si="15"/>
        <v>302</v>
      </c>
      <c r="U55" s="124">
        <f t="shared" si="16"/>
        <v>14765</v>
      </c>
    </row>
    <row r="56" spans="2:21" x14ac:dyDescent="0.3">
      <c r="B56" s="65" t="s">
        <v>67</v>
      </c>
      <c r="C56" s="125">
        <f>1301-1</f>
        <v>1300</v>
      </c>
      <c r="D56" s="125">
        <v>80</v>
      </c>
      <c r="E56" s="122">
        <f t="shared" si="11"/>
        <v>1380</v>
      </c>
      <c r="F56" s="125"/>
      <c r="G56" s="125">
        <v>573</v>
      </c>
      <c r="H56" s="125">
        <v>34</v>
      </c>
      <c r="I56" s="122">
        <f t="shared" si="12"/>
        <v>607</v>
      </c>
      <c r="J56" s="125"/>
      <c r="K56" s="125">
        <v>397</v>
      </c>
      <c r="L56" s="125">
        <v>14</v>
      </c>
      <c r="M56" s="122">
        <f t="shared" si="13"/>
        <v>411</v>
      </c>
      <c r="N56" s="125"/>
      <c r="O56" s="125">
        <f>3349-1</f>
        <v>3348</v>
      </c>
      <c r="P56" s="125">
        <v>167</v>
      </c>
      <c r="Q56" s="122">
        <f t="shared" si="14"/>
        <v>3515</v>
      </c>
      <c r="R56" s="125"/>
      <c r="S56" s="124">
        <f t="shared" si="15"/>
        <v>5618</v>
      </c>
      <c r="T56" s="124">
        <f t="shared" si="15"/>
        <v>295</v>
      </c>
      <c r="U56" s="124">
        <f t="shared" si="16"/>
        <v>5913</v>
      </c>
    </row>
    <row r="57" spans="2:21" x14ac:dyDescent="0.3">
      <c r="B57" s="65" t="s">
        <v>68</v>
      </c>
      <c r="C57" s="125">
        <v>250</v>
      </c>
      <c r="D57" s="125">
        <v>10</v>
      </c>
      <c r="E57" s="122">
        <f t="shared" si="11"/>
        <v>260</v>
      </c>
      <c r="F57" s="125"/>
      <c r="G57" s="125">
        <v>121</v>
      </c>
      <c r="H57" s="125">
        <v>12</v>
      </c>
      <c r="I57" s="122">
        <f t="shared" si="12"/>
        <v>133</v>
      </c>
      <c r="J57" s="125"/>
      <c r="K57" s="125">
        <v>29</v>
      </c>
      <c r="L57" s="125">
        <v>8</v>
      </c>
      <c r="M57" s="122">
        <f t="shared" si="13"/>
        <v>37</v>
      </c>
      <c r="N57" s="125"/>
      <c r="O57" s="125">
        <v>167</v>
      </c>
      <c r="P57" s="125">
        <v>45</v>
      </c>
      <c r="Q57" s="122">
        <f t="shared" si="14"/>
        <v>212</v>
      </c>
      <c r="R57" s="125"/>
      <c r="S57" s="124">
        <f t="shared" si="15"/>
        <v>567</v>
      </c>
      <c r="T57" s="124">
        <f t="shared" si="15"/>
        <v>75</v>
      </c>
      <c r="U57" s="124">
        <f t="shared" si="16"/>
        <v>642</v>
      </c>
    </row>
    <row r="58" spans="2:21" x14ac:dyDescent="0.3">
      <c r="B58" s="65" t="s">
        <v>69</v>
      </c>
      <c r="C58" s="125">
        <f>10904-3</f>
        <v>10901</v>
      </c>
      <c r="D58" s="125">
        <v>139</v>
      </c>
      <c r="E58" s="122">
        <f t="shared" si="11"/>
        <v>11040</v>
      </c>
      <c r="F58" s="125"/>
      <c r="G58" s="125">
        <v>3169</v>
      </c>
      <c r="H58" s="125">
        <v>195</v>
      </c>
      <c r="I58" s="122">
        <f t="shared" si="12"/>
        <v>3364</v>
      </c>
      <c r="J58" s="125"/>
      <c r="K58" s="125">
        <v>1363</v>
      </c>
      <c r="L58" s="125">
        <v>105</v>
      </c>
      <c r="M58" s="122">
        <f t="shared" si="13"/>
        <v>1468</v>
      </c>
      <c r="N58" s="125"/>
      <c r="O58" s="125">
        <v>3029</v>
      </c>
      <c r="P58" s="125">
        <v>744</v>
      </c>
      <c r="Q58" s="122">
        <f t="shared" si="14"/>
        <v>3773</v>
      </c>
      <c r="R58" s="125"/>
      <c r="S58" s="124">
        <f t="shared" si="15"/>
        <v>18462</v>
      </c>
      <c r="T58" s="124">
        <f t="shared" si="15"/>
        <v>1183</v>
      </c>
      <c r="U58" s="124">
        <f t="shared" si="16"/>
        <v>19645</v>
      </c>
    </row>
    <row r="59" spans="2:21" x14ac:dyDescent="0.3">
      <c r="B59" s="65" t="s">
        <v>70</v>
      </c>
      <c r="C59" s="125">
        <v>6373</v>
      </c>
      <c r="D59" s="125">
        <v>18</v>
      </c>
      <c r="E59" s="122">
        <f t="shared" si="11"/>
        <v>6391</v>
      </c>
      <c r="F59" s="125"/>
      <c r="G59" s="125">
        <v>317</v>
      </c>
      <c r="H59" s="125">
        <v>4</v>
      </c>
      <c r="I59" s="122">
        <f t="shared" si="12"/>
        <v>321</v>
      </c>
      <c r="J59" s="125"/>
      <c r="K59" s="125">
        <v>149</v>
      </c>
      <c r="L59" s="125">
        <v>1</v>
      </c>
      <c r="M59" s="122">
        <f t="shared" si="13"/>
        <v>150</v>
      </c>
      <c r="N59" s="125"/>
      <c r="O59" s="125">
        <v>1113</v>
      </c>
      <c r="P59" s="125">
        <v>489</v>
      </c>
      <c r="Q59" s="122">
        <f t="shared" si="14"/>
        <v>1602</v>
      </c>
      <c r="R59" s="125"/>
      <c r="S59" s="124">
        <f t="shared" si="15"/>
        <v>7952</v>
      </c>
      <c r="T59" s="124">
        <f t="shared" si="15"/>
        <v>512</v>
      </c>
      <c r="U59" s="124">
        <f t="shared" si="16"/>
        <v>8464</v>
      </c>
    </row>
    <row r="60" spans="2:21" x14ac:dyDescent="0.3">
      <c r="B60" s="65" t="s">
        <v>71</v>
      </c>
      <c r="C60" s="125">
        <v>229</v>
      </c>
      <c r="D60" s="125">
        <v>5</v>
      </c>
      <c r="E60" s="122">
        <f t="shared" si="11"/>
        <v>234</v>
      </c>
      <c r="F60" s="125"/>
      <c r="G60" s="125">
        <v>132</v>
      </c>
      <c r="H60" s="125">
        <v>1</v>
      </c>
      <c r="I60" s="122">
        <f t="shared" si="12"/>
        <v>133</v>
      </c>
      <c r="J60" s="125"/>
      <c r="K60" s="125">
        <v>33</v>
      </c>
      <c r="L60" s="125"/>
      <c r="M60" s="122">
        <f t="shared" si="13"/>
        <v>33</v>
      </c>
      <c r="N60" s="125"/>
      <c r="O60" s="125">
        <v>294</v>
      </c>
      <c r="P60" s="125">
        <v>72</v>
      </c>
      <c r="Q60" s="122">
        <f t="shared" si="14"/>
        <v>366</v>
      </c>
      <c r="R60" s="125"/>
      <c r="S60" s="124">
        <f t="shared" si="15"/>
        <v>688</v>
      </c>
      <c r="T60" s="124">
        <f t="shared" si="15"/>
        <v>78</v>
      </c>
      <c r="U60" s="124">
        <f t="shared" si="16"/>
        <v>766</v>
      </c>
    </row>
    <row r="61" spans="2:21" x14ac:dyDescent="0.3">
      <c r="B61" s="65" t="s">
        <v>72</v>
      </c>
      <c r="C61" s="125">
        <f>16923-2</f>
        <v>16921</v>
      </c>
      <c r="D61" s="125">
        <v>76</v>
      </c>
      <c r="E61" s="122">
        <f t="shared" si="11"/>
        <v>16997</v>
      </c>
      <c r="F61" s="125"/>
      <c r="G61" s="125">
        <f>1650-1</f>
        <v>1649</v>
      </c>
      <c r="H61" s="125">
        <v>80</v>
      </c>
      <c r="I61" s="122">
        <f t="shared" si="12"/>
        <v>1729</v>
      </c>
      <c r="J61" s="125"/>
      <c r="K61" s="125">
        <v>401</v>
      </c>
      <c r="L61" s="125">
        <v>40</v>
      </c>
      <c r="M61" s="122">
        <f t="shared" si="13"/>
        <v>441</v>
      </c>
      <c r="N61" s="125"/>
      <c r="O61" s="125">
        <v>257</v>
      </c>
      <c r="P61" s="125">
        <v>23</v>
      </c>
      <c r="Q61" s="122">
        <f t="shared" si="14"/>
        <v>280</v>
      </c>
      <c r="R61" s="125"/>
      <c r="S61" s="124">
        <f t="shared" si="15"/>
        <v>19228</v>
      </c>
      <c r="T61" s="124">
        <f t="shared" si="15"/>
        <v>219</v>
      </c>
      <c r="U61" s="124">
        <f t="shared" si="16"/>
        <v>19447</v>
      </c>
    </row>
    <row r="62" spans="2:21" x14ac:dyDescent="0.3">
      <c r="B62" s="65" t="s">
        <v>73</v>
      </c>
      <c r="C62" s="125">
        <f>149338-11</f>
        <v>149327</v>
      </c>
      <c r="D62" s="125">
        <f>1899-1</f>
        <v>1898</v>
      </c>
      <c r="E62" s="122">
        <f t="shared" si="11"/>
        <v>151225</v>
      </c>
      <c r="F62" s="125"/>
      <c r="G62" s="125">
        <v>14250</v>
      </c>
      <c r="H62" s="125">
        <v>813</v>
      </c>
      <c r="I62" s="122">
        <f t="shared" si="12"/>
        <v>15063</v>
      </c>
      <c r="J62" s="125"/>
      <c r="K62" s="125">
        <v>3476</v>
      </c>
      <c r="L62" s="125">
        <v>409</v>
      </c>
      <c r="M62" s="122">
        <f t="shared" si="13"/>
        <v>3885</v>
      </c>
      <c r="N62" s="125"/>
      <c r="O62" s="125">
        <v>2932</v>
      </c>
      <c r="P62" s="125">
        <v>743</v>
      </c>
      <c r="Q62" s="122">
        <f t="shared" si="14"/>
        <v>3675</v>
      </c>
      <c r="R62" s="125"/>
      <c r="S62" s="124">
        <f t="shared" si="15"/>
        <v>169985</v>
      </c>
      <c r="T62" s="124">
        <f t="shared" si="15"/>
        <v>3863</v>
      </c>
      <c r="U62" s="124">
        <f t="shared" si="16"/>
        <v>173848</v>
      </c>
    </row>
    <row r="63" spans="2:21" x14ac:dyDescent="0.3">
      <c r="B63" s="65" t="s">
        <v>74</v>
      </c>
      <c r="C63" s="125">
        <v>8002</v>
      </c>
      <c r="D63" s="125">
        <v>53</v>
      </c>
      <c r="E63" s="122">
        <f t="shared" si="11"/>
        <v>8055</v>
      </c>
      <c r="F63" s="125"/>
      <c r="G63" s="125">
        <v>1004</v>
      </c>
      <c r="H63" s="125">
        <v>46</v>
      </c>
      <c r="I63" s="122">
        <f t="shared" si="12"/>
        <v>1050</v>
      </c>
      <c r="J63" s="125"/>
      <c r="K63" s="125">
        <v>353</v>
      </c>
      <c r="L63" s="125">
        <v>22</v>
      </c>
      <c r="M63" s="122">
        <f t="shared" si="13"/>
        <v>375</v>
      </c>
      <c r="N63" s="125"/>
      <c r="O63" s="125">
        <v>828</v>
      </c>
      <c r="P63" s="125">
        <v>319</v>
      </c>
      <c r="Q63" s="122">
        <f t="shared" si="14"/>
        <v>1147</v>
      </c>
      <c r="R63" s="125"/>
      <c r="S63" s="124">
        <f t="shared" si="15"/>
        <v>10187</v>
      </c>
      <c r="T63" s="124">
        <f t="shared" si="15"/>
        <v>440</v>
      </c>
      <c r="U63" s="124">
        <f t="shared" si="16"/>
        <v>10627</v>
      </c>
    </row>
    <row r="64" spans="2:21" x14ac:dyDescent="0.3">
      <c r="B64" s="65" t="s">
        <v>75</v>
      </c>
      <c r="C64" s="128">
        <v>21806</v>
      </c>
      <c r="D64" s="128">
        <v>376</v>
      </c>
      <c r="E64" s="165">
        <f t="shared" si="11"/>
        <v>22182</v>
      </c>
      <c r="F64" s="125"/>
      <c r="G64" s="128">
        <f>3719-1</f>
        <v>3718</v>
      </c>
      <c r="H64" s="128">
        <v>412</v>
      </c>
      <c r="I64" s="165">
        <f t="shared" si="12"/>
        <v>4130</v>
      </c>
      <c r="J64" s="125"/>
      <c r="K64" s="128">
        <v>1224</v>
      </c>
      <c r="L64" s="128">
        <v>366</v>
      </c>
      <c r="M64" s="165">
        <f t="shared" si="13"/>
        <v>1590</v>
      </c>
      <c r="N64" s="125"/>
      <c r="O64" s="128">
        <v>1731</v>
      </c>
      <c r="P64" s="128">
        <v>871</v>
      </c>
      <c r="Q64" s="165">
        <f t="shared" si="14"/>
        <v>2602</v>
      </c>
      <c r="R64" s="125"/>
      <c r="S64" s="166">
        <f t="shared" si="15"/>
        <v>28479</v>
      </c>
      <c r="T64" s="166">
        <f t="shared" si="15"/>
        <v>2025</v>
      </c>
      <c r="U64" s="166">
        <f t="shared" si="16"/>
        <v>30504</v>
      </c>
    </row>
    <row r="65" spans="2:21" x14ac:dyDescent="0.3">
      <c r="B65" s="114" t="s">
        <v>54</v>
      </c>
      <c r="C65" s="131">
        <f>SUM(C47:C64)</f>
        <v>413752</v>
      </c>
      <c r="D65" s="131">
        <f t="shared" ref="D65:E65" si="17">SUM(D47:D64)</f>
        <v>6891</v>
      </c>
      <c r="E65" s="131">
        <f t="shared" si="17"/>
        <v>420643</v>
      </c>
      <c r="F65" s="125"/>
      <c r="G65" s="131">
        <f>SUM(G47:G64)</f>
        <v>81134</v>
      </c>
      <c r="H65" s="131">
        <f t="shared" ref="H65:I65" si="18">SUM(H47:H64)</f>
        <v>9244</v>
      </c>
      <c r="I65" s="131">
        <f t="shared" si="18"/>
        <v>90378</v>
      </c>
      <c r="J65" s="125"/>
      <c r="K65" s="131">
        <f>SUM(K47:K64)</f>
        <v>36607</v>
      </c>
      <c r="L65" s="131">
        <f t="shared" ref="L65:M65" si="19">SUM(L47:L64)</f>
        <v>5649</v>
      </c>
      <c r="M65" s="131">
        <f t="shared" si="19"/>
        <v>42256</v>
      </c>
      <c r="N65" s="125"/>
      <c r="O65" s="131">
        <f>SUM(O47:O64)</f>
        <v>105005</v>
      </c>
      <c r="P65" s="131">
        <f t="shared" ref="P65:Q65" si="20">SUM(P47:P64)</f>
        <v>23951</v>
      </c>
      <c r="Q65" s="131">
        <f t="shared" si="20"/>
        <v>128956</v>
      </c>
      <c r="R65" s="125"/>
      <c r="S65" s="132">
        <f>SUM(S47:S64)</f>
        <v>636498</v>
      </c>
      <c r="T65" s="132">
        <f>SUM(T47:T64)</f>
        <v>45735</v>
      </c>
      <c r="U65" s="132">
        <f>SUM(U47:U64)</f>
        <v>682233</v>
      </c>
    </row>
    <row r="67" spans="2:21" x14ac:dyDescent="0.3">
      <c r="B67" s="65" t="s">
        <v>76</v>
      </c>
    </row>
  </sheetData>
  <mergeCells count="14">
    <mergeCell ref="S43:U43"/>
    <mergeCell ref="B8:U8"/>
    <mergeCell ref="B9:U9"/>
    <mergeCell ref="B15:B17"/>
    <mergeCell ref="C15:E15"/>
    <mergeCell ref="G15:I15"/>
    <mergeCell ref="K15:M15"/>
    <mergeCell ref="O15:Q15"/>
    <mergeCell ref="S15:U15"/>
    <mergeCell ref="B43:B45"/>
    <mergeCell ref="C43:E43"/>
    <mergeCell ref="G43:I43"/>
    <mergeCell ref="K43:M43"/>
    <mergeCell ref="O43:Q43"/>
  </mergeCells>
  <hyperlinks>
    <hyperlink ref="B1" location="Índice!A1" display="Ir a inicio" xr:uid="{3E9D23DE-849B-4A94-806B-8ADE40324E68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2" fitToHeight="2" orientation="landscape" r:id="rId1"/>
  <headerFooter alignWithMargins="0"/>
  <rowBreaks count="1" manualBreakCount="1">
    <brk id="39" max="20" man="1"/>
  </row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69180-345A-46F2-BB7F-895181310D52}">
  <sheetPr>
    <pageSetUpPr fitToPage="1"/>
  </sheetPr>
  <dimension ref="A1:W43"/>
  <sheetViews>
    <sheetView showGridLines="0" zoomScaleNormal="100" workbookViewId="0">
      <pane xSplit="1" ySplit="10" topLeftCell="B28" activePane="bottomRight" state="frozen"/>
      <selection activeCell="D41" sqref="D41"/>
      <selection pane="topRight" activeCell="D41" sqref="D41"/>
      <selection pane="bottomLeft" activeCell="D41" sqref="D41"/>
      <selection pane="bottomRight" activeCell="E47" sqref="E47"/>
    </sheetView>
  </sheetViews>
  <sheetFormatPr baseColWidth="10" defaultColWidth="11.44140625" defaultRowHeight="14.4" x14ac:dyDescent="0.3"/>
  <cols>
    <col min="1" max="1" width="1.6640625" style="65" customWidth="1"/>
    <col min="2" max="2" width="36.6640625" style="65" customWidth="1"/>
    <col min="3" max="5" width="12.33203125" style="87" customWidth="1"/>
    <col min="6" max="6" width="2.6640625" style="87" customWidth="1"/>
    <col min="7" max="9" width="12.33203125" style="87" customWidth="1"/>
    <col min="10" max="10" width="2.6640625" style="87" customWidth="1"/>
    <col min="11" max="13" width="12.33203125" style="87" customWidth="1"/>
    <col min="14" max="14" width="2.6640625" style="87" customWidth="1"/>
    <col min="15" max="17" width="12.33203125" style="87" customWidth="1"/>
    <col min="18" max="18" width="2.6640625" style="87" customWidth="1"/>
    <col min="19" max="21" width="14.33203125" style="87" customWidth="1"/>
    <col min="22" max="16384" width="11.44140625" style="65"/>
  </cols>
  <sheetData>
    <row r="1" spans="1:21" x14ac:dyDescent="0.3">
      <c r="A1" s="83"/>
      <c r="B1" s="144" t="s">
        <v>12</v>
      </c>
      <c r="C1" s="99"/>
      <c r="D1" s="99"/>
      <c r="E1" s="99"/>
      <c r="F1" s="99"/>
      <c r="G1" s="99"/>
      <c r="H1" s="99"/>
      <c r="I1" s="99"/>
      <c r="J1" s="99"/>
    </row>
    <row r="2" spans="1:21" x14ac:dyDescent="0.3">
      <c r="A2" s="84"/>
      <c r="B2" s="83"/>
      <c r="C2" s="99"/>
      <c r="D2" s="99"/>
      <c r="E2" s="99"/>
      <c r="F2" s="99"/>
    </row>
    <row r="3" spans="1:21" x14ac:dyDescent="0.3">
      <c r="A3" s="84"/>
      <c r="B3" s="83"/>
      <c r="C3" s="99"/>
      <c r="D3" s="99"/>
      <c r="E3" s="99"/>
      <c r="F3" s="99"/>
    </row>
    <row r="4" spans="1:21" x14ac:dyDescent="0.3">
      <c r="A4" s="84"/>
      <c r="B4" s="83"/>
      <c r="C4" s="99"/>
      <c r="D4" s="99"/>
      <c r="E4" s="99"/>
      <c r="F4" s="99"/>
    </row>
    <row r="5" spans="1:21" x14ac:dyDescent="0.3">
      <c r="A5" s="84"/>
      <c r="B5" s="83"/>
      <c r="C5" s="99"/>
      <c r="D5" s="99"/>
      <c r="E5" s="99"/>
      <c r="F5" s="99"/>
    </row>
    <row r="6" spans="1:21" x14ac:dyDescent="0.3">
      <c r="A6" s="84"/>
      <c r="B6" s="83"/>
      <c r="C6" s="99"/>
      <c r="D6" s="99"/>
      <c r="E6" s="99"/>
      <c r="F6" s="99"/>
    </row>
    <row r="7" spans="1:21" x14ac:dyDescent="0.3">
      <c r="A7" s="84"/>
      <c r="B7" s="83"/>
      <c r="C7" s="99"/>
      <c r="D7" s="99"/>
      <c r="E7" s="99"/>
      <c r="F7" s="99"/>
    </row>
    <row r="8" spans="1:21" ht="27" x14ac:dyDescent="0.3">
      <c r="A8" s="63"/>
      <c r="B8" s="187" t="s">
        <v>77</v>
      </c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</row>
    <row r="9" spans="1:21" x14ac:dyDescent="0.3">
      <c r="A9" s="63"/>
      <c r="B9" s="180">
        <f>+Carátula!B17</f>
        <v>45565</v>
      </c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</row>
    <row r="10" spans="1:21" ht="15" thickBot="1" x14ac:dyDescent="0.35">
      <c r="A10" s="63"/>
      <c r="B10" s="86"/>
      <c r="C10" s="100"/>
      <c r="D10" s="100"/>
      <c r="E10" s="100"/>
      <c r="F10" s="100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</row>
    <row r="11" spans="1:21" x14ac:dyDescent="0.3">
      <c r="A11" s="63"/>
      <c r="B11" s="63"/>
      <c r="C11" s="99"/>
      <c r="D11" s="99"/>
      <c r="E11" s="99"/>
      <c r="F11" s="99"/>
      <c r="G11" s="99"/>
      <c r="H11" s="99"/>
      <c r="I11" s="99"/>
      <c r="J11" s="99"/>
    </row>
    <row r="12" spans="1:21" x14ac:dyDescent="0.3">
      <c r="A12" s="63"/>
      <c r="B12" s="63"/>
      <c r="C12" s="99"/>
      <c r="D12" s="99"/>
      <c r="E12" s="99"/>
      <c r="F12" s="99"/>
      <c r="G12" s="99"/>
      <c r="H12" s="99"/>
      <c r="I12" s="99"/>
      <c r="J12" s="99"/>
    </row>
    <row r="13" spans="1:21" ht="16.2" x14ac:dyDescent="0.35">
      <c r="A13" s="63"/>
      <c r="B13" s="73" t="s">
        <v>35</v>
      </c>
      <c r="C13" s="99"/>
      <c r="D13" s="99"/>
      <c r="E13" s="99"/>
      <c r="F13" s="99"/>
      <c r="G13" s="99"/>
      <c r="H13" s="99"/>
      <c r="I13" s="99"/>
      <c r="J13" s="76"/>
      <c r="R13" s="76"/>
    </row>
    <row r="14" spans="1:21" x14ac:dyDescent="0.3">
      <c r="A14" s="63"/>
      <c r="B14" s="88"/>
      <c r="C14" s="99"/>
      <c r="D14" s="99"/>
      <c r="E14" s="99"/>
      <c r="F14" s="99"/>
      <c r="G14" s="99"/>
      <c r="H14" s="99"/>
      <c r="I14" s="99"/>
      <c r="J14" s="76"/>
      <c r="N14" s="76"/>
      <c r="R14" s="76"/>
    </row>
    <row r="15" spans="1:21" s="105" customFormat="1" ht="24" customHeight="1" x14ac:dyDescent="0.3">
      <c r="A15" s="85"/>
      <c r="B15" s="194" t="s">
        <v>86</v>
      </c>
      <c r="C15" s="190" t="s">
        <v>19</v>
      </c>
      <c r="D15" s="188"/>
      <c r="E15" s="188"/>
      <c r="F15" s="102"/>
      <c r="G15" s="188" t="s">
        <v>20</v>
      </c>
      <c r="H15" s="188"/>
      <c r="I15" s="188"/>
      <c r="J15" s="103"/>
      <c r="K15" s="190" t="s">
        <v>21</v>
      </c>
      <c r="L15" s="188"/>
      <c r="M15" s="188"/>
      <c r="N15" s="104"/>
      <c r="O15" s="188" t="s">
        <v>22</v>
      </c>
      <c r="P15" s="188"/>
      <c r="Q15" s="188"/>
      <c r="R15" s="103"/>
      <c r="S15" s="188" t="s">
        <v>33</v>
      </c>
      <c r="T15" s="188"/>
      <c r="U15" s="188"/>
    </row>
    <row r="16" spans="1:21" x14ac:dyDescent="0.3">
      <c r="A16" s="63"/>
      <c r="B16" s="194"/>
      <c r="C16" s="106"/>
      <c r="D16" s="106"/>
      <c r="E16" s="106"/>
      <c r="F16" s="99"/>
      <c r="G16" s="106"/>
      <c r="H16" s="106"/>
      <c r="I16" s="106"/>
      <c r="J16" s="107"/>
      <c r="K16" s="106"/>
      <c r="L16" s="106"/>
      <c r="M16" s="106"/>
      <c r="N16" s="107"/>
      <c r="O16" s="106"/>
      <c r="P16" s="106"/>
      <c r="Q16" s="106"/>
      <c r="R16" s="107"/>
      <c r="S16" s="106"/>
      <c r="T16" s="106"/>
      <c r="U16" s="106"/>
    </row>
    <row r="17" spans="1:21" x14ac:dyDescent="0.3">
      <c r="A17" s="63"/>
      <c r="B17" s="194"/>
      <c r="C17" s="108" t="s">
        <v>26</v>
      </c>
      <c r="D17" s="108" t="s">
        <v>27</v>
      </c>
      <c r="E17" s="108" t="s">
        <v>18</v>
      </c>
      <c r="F17" s="99"/>
      <c r="G17" s="108" t="s">
        <v>26</v>
      </c>
      <c r="H17" s="108" t="s">
        <v>27</v>
      </c>
      <c r="I17" s="108" t="s">
        <v>18</v>
      </c>
      <c r="J17" s="107"/>
      <c r="K17" s="108" t="s">
        <v>26</v>
      </c>
      <c r="L17" s="108" t="s">
        <v>27</v>
      </c>
      <c r="M17" s="108" t="s">
        <v>18</v>
      </c>
      <c r="N17" s="107"/>
      <c r="O17" s="108" t="s">
        <v>26</v>
      </c>
      <c r="P17" s="108" t="s">
        <v>27</v>
      </c>
      <c r="Q17" s="108" t="s">
        <v>18</v>
      </c>
      <c r="R17" s="107"/>
      <c r="S17" s="108" t="s">
        <v>26</v>
      </c>
      <c r="T17" s="108" t="s">
        <v>27</v>
      </c>
      <c r="U17" s="108" t="s">
        <v>18</v>
      </c>
    </row>
    <row r="18" spans="1:21" x14ac:dyDescent="0.3">
      <c r="A18" s="63"/>
      <c r="B18" s="117"/>
      <c r="C18" s="89"/>
      <c r="D18" s="89"/>
      <c r="E18" s="89"/>
      <c r="F18" s="99"/>
      <c r="G18" s="89"/>
      <c r="H18" s="89"/>
      <c r="I18" s="89"/>
      <c r="J18" s="89"/>
      <c r="K18" s="89"/>
      <c r="L18" s="89"/>
      <c r="M18" s="89"/>
      <c r="N18" s="118"/>
      <c r="O18" s="89"/>
      <c r="P18" s="89"/>
      <c r="Q18" s="89"/>
      <c r="R18" s="89"/>
      <c r="S18" s="89"/>
      <c r="T18" s="89"/>
      <c r="U18" s="89"/>
    </row>
    <row r="19" spans="1:21" x14ac:dyDescent="0.3">
      <c r="A19" s="63"/>
      <c r="B19" s="133" t="s">
        <v>78</v>
      </c>
      <c r="C19" s="122">
        <v>2371038.4454197702</v>
      </c>
      <c r="D19" s="122">
        <v>43483.030439390001</v>
      </c>
      <c r="E19" s="122">
        <f>+C19+D19</f>
        <v>2414521.4758591601</v>
      </c>
      <c r="F19" s="123"/>
      <c r="G19" s="122">
        <v>564221.70735033997</v>
      </c>
      <c r="H19" s="122">
        <v>33202.264573419998</v>
      </c>
      <c r="I19" s="122">
        <f>+G19+H19</f>
        <v>597423.97192376002</v>
      </c>
      <c r="J19" s="122"/>
      <c r="K19" s="122">
        <v>272159.61153762002</v>
      </c>
      <c r="L19" s="122">
        <v>17841.795379310002</v>
      </c>
      <c r="M19" s="122">
        <f>+K19+L19</f>
        <v>290001.40691692999</v>
      </c>
      <c r="N19" s="122"/>
      <c r="O19" s="122">
        <v>699446.88020053599</v>
      </c>
      <c r="P19" s="122">
        <v>95468.003801490093</v>
      </c>
      <c r="Q19" s="122">
        <f>+O19+P19</f>
        <v>794914.88400202605</v>
      </c>
      <c r="R19" s="122"/>
      <c r="S19" s="124">
        <f>+C19+G19+K19+O19</f>
        <v>3906866.6445082664</v>
      </c>
      <c r="T19" s="124">
        <f>+D19+H19+L19+P19</f>
        <v>189995.0941936101</v>
      </c>
      <c r="U19" s="124">
        <f>+S19+T19</f>
        <v>4096861.7387018763</v>
      </c>
    </row>
    <row r="20" spans="1:21" x14ac:dyDescent="0.3">
      <c r="B20" s="134" t="s">
        <v>79</v>
      </c>
      <c r="C20" s="125">
        <v>1659275.1504055001</v>
      </c>
      <c r="D20" s="125">
        <v>192925.44998860999</v>
      </c>
      <c r="E20" s="126">
        <f t="shared" ref="E20:E23" si="0">+C20+D20</f>
        <v>1852200.6003941102</v>
      </c>
      <c r="F20" s="125"/>
      <c r="G20" s="125">
        <v>831182.13191233994</v>
      </c>
      <c r="H20" s="125">
        <v>216413.32388434</v>
      </c>
      <c r="I20" s="126">
        <f t="shared" ref="I20:I23" si="1">+G20+H20</f>
        <v>1047595.4557966799</v>
      </c>
      <c r="J20" s="125"/>
      <c r="K20" s="125">
        <v>360574.16518200003</v>
      </c>
      <c r="L20" s="125">
        <v>83676.575895839997</v>
      </c>
      <c r="M20" s="126">
        <f t="shared" ref="M20:M23" si="2">+K20+L20</f>
        <v>444250.74107784004</v>
      </c>
      <c r="N20" s="125"/>
      <c r="O20" s="125">
        <v>637365.01322975103</v>
      </c>
      <c r="P20" s="125">
        <v>207697.24546485001</v>
      </c>
      <c r="Q20" s="126">
        <f t="shared" ref="Q20:Q23" si="3">+O20+P20</f>
        <v>845062.25869460101</v>
      </c>
      <c r="R20" s="125"/>
      <c r="S20" s="127">
        <f t="shared" ref="S20:T23" si="4">+C20+G20+K20+O20</f>
        <v>3488396.4607295911</v>
      </c>
      <c r="T20" s="127">
        <f t="shared" si="4"/>
        <v>700712.59523364005</v>
      </c>
      <c r="U20" s="127">
        <f t="shared" ref="U20:U23" si="5">+S20+T20</f>
        <v>4189109.0559632313</v>
      </c>
    </row>
    <row r="21" spans="1:21" x14ac:dyDescent="0.3">
      <c r="B21" s="134" t="s">
        <v>80</v>
      </c>
      <c r="C21" s="125">
        <v>1526377.2357315</v>
      </c>
      <c r="D21" s="125">
        <v>424822.72582478001</v>
      </c>
      <c r="E21" s="126">
        <f t="shared" si="0"/>
        <v>1951199.96155628</v>
      </c>
      <c r="F21" s="125"/>
      <c r="G21" s="125">
        <v>1313817.2192216699</v>
      </c>
      <c r="H21" s="125">
        <v>913567.20319358993</v>
      </c>
      <c r="I21" s="126">
        <f t="shared" si="1"/>
        <v>2227384.4224152598</v>
      </c>
      <c r="J21" s="125"/>
      <c r="K21" s="125">
        <v>877636.74678100005</v>
      </c>
      <c r="L21" s="125">
        <v>514759.64145882003</v>
      </c>
      <c r="M21" s="126">
        <f t="shared" si="2"/>
        <v>1392396.38823982</v>
      </c>
      <c r="N21" s="125"/>
      <c r="O21" s="125">
        <v>1603390.0258041699</v>
      </c>
      <c r="P21" s="125">
        <v>1041517.76182865</v>
      </c>
      <c r="Q21" s="126">
        <f t="shared" si="3"/>
        <v>2644907.7876328202</v>
      </c>
      <c r="R21" s="125"/>
      <c r="S21" s="127">
        <f t="shared" si="4"/>
        <v>5321221.2275383398</v>
      </c>
      <c r="T21" s="127">
        <f t="shared" si="4"/>
        <v>2894667.3323058402</v>
      </c>
      <c r="U21" s="127">
        <f t="shared" si="5"/>
        <v>8215888.55984418</v>
      </c>
    </row>
    <row r="22" spans="1:21" x14ac:dyDescent="0.3">
      <c r="B22" s="134" t="s">
        <v>81</v>
      </c>
      <c r="C22" s="125">
        <v>719106.52770199999</v>
      </c>
      <c r="D22" s="125">
        <v>422950.71826598997</v>
      </c>
      <c r="E22" s="126">
        <f t="shared" si="0"/>
        <v>1142057.24596799</v>
      </c>
      <c r="F22" s="125"/>
      <c r="G22" s="125">
        <v>809358.957177</v>
      </c>
      <c r="H22" s="125">
        <v>1047090.81675176</v>
      </c>
      <c r="I22" s="126">
        <f t="shared" si="1"/>
        <v>1856449.7739287601</v>
      </c>
      <c r="J22" s="125"/>
      <c r="K22" s="125">
        <v>887516.24015903007</v>
      </c>
      <c r="L22" s="125">
        <v>1211449.1451967901</v>
      </c>
      <c r="M22" s="126">
        <f t="shared" si="2"/>
        <v>2098965.3853558199</v>
      </c>
      <c r="N22" s="125"/>
      <c r="O22" s="125">
        <v>3826126.5264618299</v>
      </c>
      <c r="P22" s="125">
        <v>3164931.64192827</v>
      </c>
      <c r="Q22" s="126">
        <f t="shared" si="3"/>
        <v>6991058.1683900999</v>
      </c>
      <c r="R22" s="125"/>
      <c r="S22" s="127">
        <f t="shared" si="4"/>
        <v>6242108.2514998596</v>
      </c>
      <c r="T22" s="127">
        <f t="shared" si="4"/>
        <v>5846422.3221428096</v>
      </c>
      <c r="U22" s="127">
        <f t="shared" si="5"/>
        <v>12088530.573642669</v>
      </c>
    </row>
    <row r="23" spans="1:21" x14ac:dyDescent="0.3">
      <c r="B23" s="134" t="s">
        <v>82</v>
      </c>
      <c r="C23" s="128">
        <v>1758603.82121</v>
      </c>
      <c r="D23" s="128">
        <v>2076853.18757171</v>
      </c>
      <c r="E23" s="129">
        <f t="shared" si="0"/>
        <v>3835457.0087817097</v>
      </c>
      <c r="F23" s="125"/>
      <c r="G23" s="128">
        <v>1290840.6127859999</v>
      </c>
      <c r="H23" s="128">
        <v>1505400.1889007099</v>
      </c>
      <c r="I23" s="129">
        <f t="shared" si="1"/>
        <v>2796240.8016867097</v>
      </c>
      <c r="J23" s="125"/>
      <c r="K23" s="128">
        <v>1150658.1793269999</v>
      </c>
      <c r="L23" s="128">
        <v>2311911.6833210099</v>
      </c>
      <c r="M23" s="129">
        <f t="shared" si="2"/>
        <v>3462569.8626480098</v>
      </c>
      <c r="N23" s="125"/>
      <c r="O23" s="128">
        <v>31203089.4170819</v>
      </c>
      <c r="P23" s="128">
        <v>49753847.865180798</v>
      </c>
      <c r="Q23" s="129">
        <f t="shared" si="3"/>
        <v>80956937.282262698</v>
      </c>
      <c r="R23" s="125"/>
      <c r="S23" s="130">
        <f t="shared" si="4"/>
        <v>35403192.030404896</v>
      </c>
      <c r="T23" s="130">
        <f t="shared" si="4"/>
        <v>55648012.924974225</v>
      </c>
      <c r="U23" s="130">
        <f t="shared" si="5"/>
        <v>91051204.955379128</v>
      </c>
    </row>
    <row r="24" spans="1:21" x14ac:dyDescent="0.3">
      <c r="B24" s="135" t="s">
        <v>54</v>
      </c>
      <c r="C24" s="131">
        <f>SUM(C19:C23)</f>
        <v>8034401.1804687697</v>
      </c>
      <c r="D24" s="131">
        <f>SUM(D19:D23)</f>
        <v>3161035.11209048</v>
      </c>
      <c r="E24" s="131">
        <f>SUM(E19:E23)</f>
        <v>11195436.292559251</v>
      </c>
      <c r="F24" s="125"/>
      <c r="G24" s="131">
        <f>SUM(G19:G23)</f>
        <v>4809420.6284473501</v>
      </c>
      <c r="H24" s="131">
        <f>SUM(H19:H23)</f>
        <v>3715673.79730382</v>
      </c>
      <c r="I24" s="131">
        <f>SUM(I19:I23)</f>
        <v>8525094.4257511701</v>
      </c>
      <c r="J24" s="125"/>
      <c r="K24" s="131">
        <f>SUM(K19:K23)</f>
        <v>3548544.9429866499</v>
      </c>
      <c r="L24" s="131">
        <f>SUM(L19:L23)</f>
        <v>4139638.84125177</v>
      </c>
      <c r="M24" s="131">
        <f>SUM(M19:M23)</f>
        <v>7688183.7842384204</v>
      </c>
      <c r="N24" s="125"/>
      <c r="O24" s="131">
        <f>SUM(O19:O23)</f>
        <v>37969417.862778187</v>
      </c>
      <c r="P24" s="131">
        <f>SUM(P19:P23)</f>
        <v>54263462.518204056</v>
      </c>
      <c r="Q24" s="131">
        <f>SUM(Q19:Q23)</f>
        <v>92232880.38098225</v>
      </c>
      <c r="R24" s="125"/>
      <c r="S24" s="132">
        <f>SUM(S19:S23)</f>
        <v>54361784.614680953</v>
      </c>
      <c r="T24" s="132">
        <f>SUM(T19:T23)</f>
        <v>65279810.268850125</v>
      </c>
      <c r="U24" s="132">
        <f>SUM(U19:U23)</f>
        <v>119641594.88353109</v>
      </c>
    </row>
    <row r="26" spans="1:21" ht="15" thickBot="1" x14ac:dyDescent="0.35">
      <c r="A26" s="63"/>
      <c r="B26" s="86"/>
      <c r="C26" s="100"/>
      <c r="D26" s="100"/>
      <c r="E26" s="100"/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</row>
    <row r="27" spans="1:21" x14ac:dyDescent="0.3">
      <c r="A27" s="63"/>
      <c r="B27" s="63"/>
      <c r="C27" s="99"/>
      <c r="D27" s="99"/>
      <c r="E27" s="99"/>
      <c r="F27" s="99"/>
      <c r="G27" s="99"/>
      <c r="H27" s="99"/>
      <c r="I27" s="99"/>
      <c r="J27" s="99"/>
    </row>
    <row r="28" spans="1:21" x14ac:dyDescent="0.3">
      <c r="A28" s="63"/>
      <c r="B28" s="63"/>
      <c r="C28" s="99"/>
      <c r="D28" s="99"/>
      <c r="E28" s="99"/>
      <c r="F28" s="99"/>
      <c r="G28" s="99"/>
      <c r="H28" s="99"/>
      <c r="I28" s="99"/>
      <c r="J28" s="99"/>
    </row>
    <row r="29" spans="1:21" ht="16.2" x14ac:dyDescent="0.35">
      <c r="A29" s="63"/>
      <c r="B29" s="73" t="s">
        <v>55</v>
      </c>
      <c r="C29" s="99"/>
      <c r="D29" s="99"/>
      <c r="E29" s="99"/>
      <c r="F29" s="99"/>
      <c r="G29" s="99"/>
      <c r="H29" s="99"/>
      <c r="I29" s="99"/>
      <c r="J29" s="76"/>
      <c r="R29" s="76"/>
    </row>
    <row r="30" spans="1:21" x14ac:dyDescent="0.3">
      <c r="A30" s="63"/>
      <c r="B30" s="88"/>
      <c r="C30" s="99"/>
      <c r="D30" s="99"/>
      <c r="E30" s="99"/>
      <c r="F30" s="99"/>
      <c r="G30" s="99"/>
      <c r="H30" s="99"/>
      <c r="I30" s="99"/>
      <c r="J30" s="76"/>
      <c r="N30" s="76"/>
      <c r="R30" s="76"/>
    </row>
    <row r="31" spans="1:21" s="105" customFormat="1" ht="24" customHeight="1" x14ac:dyDescent="0.3">
      <c r="A31" s="85"/>
      <c r="B31" s="194" t="s">
        <v>86</v>
      </c>
      <c r="C31" s="190" t="s">
        <v>19</v>
      </c>
      <c r="D31" s="188"/>
      <c r="E31" s="188"/>
      <c r="F31" s="102"/>
      <c r="G31" s="188" t="s">
        <v>20</v>
      </c>
      <c r="H31" s="188"/>
      <c r="I31" s="188"/>
      <c r="J31" s="103"/>
      <c r="K31" s="190" t="s">
        <v>21</v>
      </c>
      <c r="L31" s="188"/>
      <c r="M31" s="188"/>
      <c r="N31" s="104"/>
      <c r="O31" s="188" t="s">
        <v>22</v>
      </c>
      <c r="P31" s="188"/>
      <c r="Q31" s="188"/>
      <c r="R31" s="103"/>
      <c r="S31" s="188" t="s">
        <v>33</v>
      </c>
      <c r="T31" s="188"/>
      <c r="U31" s="188"/>
    </row>
    <row r="32" spans="1:21" x14ac:dyDescent="0.3">
      <c r="A32" s="63"/>
      <c r="B32" s="194"/>
      <c r="C32" s="106"/>
      <c r="D32" s="106"/>
      <c r="E32" s="106"/>
      <c r="F32" s="99"/>
      <c r="G32" s="106"/>
      <c r="H32" s="106"/>
      <c r="I32" s="106"/>
      <c r="J32" s="107"/>
      <c r="K32" s="106"/>
      <c r="L32" s="106"/>
      <c r="M32" s="106"/>
      <c r="N32" s="107"/>
      <c r="O32" s="106"/>
      <c r="P32" s="106"/>
      <c r="Q32" s="106"/>
      <c r="R32" s="107"/>
      <c r="S32" s="106"/>
      <c r="T32" s="106"/>
      <c r="U32" s="106"/>
    </row>
    <row r="33" spans="1:23" x14ac:dyDescent="0.3">
      <c r="A33" s="63"/>
      <c r="B33" s="194"/>
      <c r="C33" s="108" t="s">
        <v>26</v>
      </c>
      <c r="D33" s="108" t="s">
        <v>27</v>
      </c>
      <c r="E33" s="108" t="s">
        <v>18</v>
      </c>
      <c r="F33" s="99"/>
      <c r="G33" s="108" t="s">
        <v>26</v>
      </c>
      <c r="H33" s="108" t="s">
        <v>27</v>
      </c>
      <c r="I33" s="108" t="s">
        <v>18</v>
      </c>
      <c r="J33" s="107"/>
      <c r="K33" s="108" t="s">
        <v>26</v>
      </c>
      <c r="L33" s="108" t="s">
        <v>27</v>
      </c>
      <c r="M33" s="108" t="s">
        <v>18</v>
      </c>
      <c r="N33" s="107"/>
      <c r="O33" s="108" t="s">
        <v>26</v>
      </c>
      <c r="P33" s="108" t="s">
        <v>27</v>
      </c>
      <c r="Q33" s="108" t="s">
        <v>18</v>
      </c>
      <c r="R33" s="107"/>
      <c r="S33" s="108" t="s">
        <v>26</v>
      </c>
      <c r="T33" s="108" t="s">
        <v>27</v>
      </c>
      <c r="U33" s="108" t="s">
        <v>18</v>
      </c>
    </row>
    <row r="34" spans="1:23" x14ac:dyDescent="0.3">
      <c r="A34" s="63"/>
      <c r="B34" s="117"/>
      <c r="C34" s="89"/>
      <c r="D34" s="89"/>
      <c r="E34" s="89"/>
      <c r="F34" s="99"/>
      <c r="G34" s="89"/>
      <c r="H34" s="89"/>
      <c r="I34" s="89"/>
      <c r="J34" s="89"/>
      <c r="K34" s="89"/>
      <c r="L34" s="89"/>
      <c r="M34" s="89"/>
      <c r="N34" s="118"/>
      <c r="O34" s="89"/>
      <c r="P34" s="89"/>
      <c r="Q34" s="89"/>
      <c r="R34" s="89"/>
      <c r="S34" s="89"/>
      <c r="T34" s="89"/>
      <c r="U34" s="89"/>
    </row>
    <row r="35" spans="1:23" x14ac:dyDescent="0.3">
      <c r="A35" s="63"/>
      <c r="B35" s="133" t="s">
        <v>78</v>
      </c>
      <c r="C35" s="160">
        <f>386130-31</f>
        <v>386099</v>
      </c>
      <c r="D35" s="160">
        <f>2322-2</f>
        <v>2320</v>
      </c>
      <c r="E35" s="160">
        <f t="shared" ref="E35:E39" si="6">+C35+D35</f>
        <v>388419</v>
      </c>
      <c r="F35" s="161"/>
      <c r="G35" s="160">
        <f>65124-13</f>
        <v>65111</v>
      </c>
      <c r="H35" s="160">
        <v>2118</v>
      </c>
      <c r="I35" s="160">
        <f t="shared" ref="I35:I39" si="7">+G35+H35</f>
        <v>67229</v>
      </c>
      <c r="J35" s="160"/>
      <c r="K35" s="160">
        <f>27926-2</f>
        <v>27924</v>
      </c>
      <c r="L35" s="160">
        <v>1023</v>
      </c>
      <c r="M35" s="160">
        <f t="shared" ref="M35:M39" si="8">+K35+L35</f>
        <v>28947</v>
      </c>
      <c r="N35" s="160"/>
      <c r="O35" s="160">
        <f>83338-1</f>
        <v>83337</v>
      </c>
      <c r="P35" s="160">
        <v>9012</v>
      </c>
      <c r="Q35" s="160">
        <f t="shared" ref="Q35:Q39" si="9">+O35+P35</f>
        <v>92349</v>
      </c>
      <c r="R35" s="122"/>
      <c r="S35" s="124">
        <f>+C35+G35+K35+O35</f>
        <v>562471</v>
      </c>
      <c r="T35" s="124">
        <f>+D35+H35+L35+P35</f>
        <v>14473</v>
      </c>
      <c r="U35" s="124">
        <f>+S35+T35</f>
        <v>576944</v>
      </c>
      <c r="V35" s="136"/>
    </row>
    <row r="36" spans="1:23" x14ac:dyDescent="0.3">
      <c r="B36" s="134" t="s">
        <v>79</v>
      </c>
      <c r="C36" s="161">
        <v>20419</v>
      </c>
      <c r="D36" s="161">
        <v>2127</v>
      </c>
      <c r="E36" s="160">
        <f t="shared" si="6"/>
        <v>22546</v>
      </c>
      <c r="F36" s="161"/>
      <c r="G36" s="161">
        <v>9512</v>
      </c>
      <c r="H36" s="161">
        <v>2234</v>
      </c>
      <c r="I36" s="160">
        <f t="shared" si="7"/>
        <v>11746</v>
      </c>
      <c r="J36" s="161"/>
      <c r="K36" s="161">
        <v>4009</v>
      </c>
      <c r="L36" s="161">
        <v>886</v>
      </c>
      <c r="M36" s="160">
        <f t="shared" si="8"/>
        <v>4895</v>
      </c>
      <c r="N36" s="161"/>
      <c r="O36" s="161">
        <v>7337</v>
      </c>
      <c r="P36" s="161">
        <v>2247</v>
      </c>
      <c r="Q36" s="160">
        <f t="shared" si="9"/>
        <v>9584</v>
      </c>
      <c r="R36" s="125"/>
      <c r="S36" s="124">
        <f t="shared" ref="S36:S39" si="10">+C36+G36+K36+O36</f>
        <v>41277</v>
      </c>
      <c r="T36" s="124">
        <f t="shared" ref="T36:T39" si="11">+D36+H36+L36+P36</f>
        <v>7494</v>
      </c>
      <c r="U36" s="124">
        <f t="shared" ref="U36:U39" si="12">+S36+T36</f>
        <v>48771</v>
      </c>
      <c r="V36" s="136"/>
    </row>
    <row r="37" spans="1:23" x14ac:dyDescent="0.3">
      <c r="B37" s="134" t="s">
        <v>80</v>
      </c>
      <c r="C37" s="161">
        <f>6027-1</f>
        <v>6026</v>
      </c>
      <c r="D37" s="161">
        <v>1584</v>
      </c>
      <c r="E37" s="160">
        <f t="shared" si="6"/>
        <v>7610</v>
      </c>
      <c r="F37" s="161"/>
      <c r="G37" s="161">
        <v>5172</v>
      </c>
      <c r="H37" s="161">
        <v>3239</v>
      </c>
      <c r="I37" s="160">
        <f t="shared" si="7"/>
        <v>8411</v>
      </c>
      <c r="J37" s="161"/>
      <c r="K37" s="161">
        <v>3262</v>
      </c>
      <c r="L37" s="161">
        <v>1743</v>
      </c>
      <c r="M37" s="160">
        <f t="shared" si="8"/>
        <v>5005</v>
      </c>
      <c r="N37" s="161"/>
      <c r="O37" s="161">
        <v>5673</v>
      </c>
      <c r="P37" s="161">
        <v>3499</v>
      </c>
      <c r="Q37" s="160">
        <f t="shared" si="9"/>
        <v>9172</v>
      </c>
      <c r="R37" s="125"/>
      <c r="S37" s="124">
        <f t="shared" si="10"/>
        <v>20133</v>
      </c>
      <c r="T37" s="124">
        <f t="shared" si="11"/>
        <v>10065</v>
      </c>
      <c r="U37" s="124">
        <f t="shared" si="12"/>
        <v>30198</v>
      </c>
      <c r="V37" s="136"/>
    </row>
    <row r="38" spans="1:23" x14ac:dyDescent="0.3">
      <c r="B38" s="134" t="s">
        <v>81</v>
      </c>
      <c r="C38" s="161">
        <f>946</f>
        <v>946</v>
      </c>
      <c r="D38" s="161">
        <f>505-1</f>
        <v>504</v>
      </c>
      <c r="E38" s="160">
        <f t="shared" si="6"/>
        <v>1450</v>
      </c>
      <c r="F38" s="161"/>
      <c r="G38" s="161">
        <f>1059-1</f>
        <v>1058</v>
      </c>
      <c r="H38" s="161">
        <v>1299</v>
      </c>
      <c r="I38" s="160">
        <f t="shared" si="7"/>
        <v>2357</v>
      </c>
      <c r="J38" s="161"/>
      <c r="K38" s="161">
        <v>1118</v>
      </c>
      <c r="L38" s="161">
        <v>1409</v>
      </c>
      <c r="M38" s="160">
        <f t="shared" si="8"/>
        <v>2527</v>
      </c>
      <c r="N38" s="161"/>
      <c r="O38" s="161">
        <v>4450</v>
      </c>
      <c r="P38" s="161">
        <v>3530</v>
      </c>
      <c r="Q38" s="160">
        <f t="shared" si="9"/>
        <v>7980</v>
      </c>
      <c r="R38" s="125"/>
      <c r="S38" s="124">
        <f t="shared" si="10"/>
        <v>7572</v>
      </c>
      <c r="T38" s="124">
        <f t="shared" si="11"/>
        <v>6742</v>
      </c>
      <c r="U38" s="124">
        <f t="shared" si="12"/>
        <v>14314</v>
      </c>
      <c r="V38" s="136"/>
    </row>
    <row r="39" spans="1:23" x14ac:dyDescent="0.3">
      <c r="B39" s="134" t="s">
        <v>82</v>
      </c>
      <c r="C39" s="162">
        <v>264</v>
      </c>
      <c r="D39" s="162">
        <v>354</v>
      </c>
      <c r="E39" s="162">
        <f t="shared" si="6"/>
        <v>618</v>
      </c>
      <c r="F39" s="161"/>
      <c r="G39" s="162">
        <v>279</v>
      </c>
      <c r="H39" s="162">
        <v>356</v>
      </c>
      <c r="I39" s="162">
        <f t="shared" si="7"/>
        <v>635</v>
      </c>
      <c r="J39" s="161"/>
      <c r="K39" s="162">
        <v>294</v>
      </c>
      <c r="L39" s="162">
        <v>588</v>
      </c>
      <c r="M39" s="162">
        <f t="shared" si="8"/>
        <v>882</v>
      </c>
      <c r="N39" s="161"/>
      <c r="O39" s="162">
        <v>4208</v>
      </c>
      <c r="P39" s="162">
        <v>5663</v>
      </c>
      <c r="Q39" s="162">
        <f t="shared" si="9"/>
        <v>9871</v>
      </c>
      <c r="R39" s="125"/>
      <c r="S39" s="166">
        <f t="shared" si="10"/>
        <v>5045</v>
      </c>
      <c r="T39" s="166">
        <f t="shared" si="11"/>
        <v>6961</v>
      </c>
      <c r="U39" s="166">
        <f t="shared" si="12"/>
        <v>12006</v>
      </c>
      <c r="V39" s="136"/>
    </row>
    <row r="40" spans="1:23" x14ac:dyDescent="0.3">
      <c r="B40" s="135" t="s">
        <v>54</v>
      </c>
      <c r="C40" s="163">
        <f>SUM(C35:C39)</f>
        <v>413754</v>
      </c>
      <c r="D40" s="163">
        <f>SUM(D35:D39)</f>
        <v>6889</v>
      </c>
      <c r="E40" s="163">
        <f>SUM(E35:E39)</f>
        <v>420643</v>
      </c>
      <c r="F40" s="161"/>
      <c r="G40" s="163">
        <f>SUM(G35:G39)</f>
        <v>81132</v>
      </c>
      <c r="H40" s="163">
        <f>SUM(H35:H39)</f>
        <v>9246</v>
      </c>
      <c r="I40" s="163">
        <f>SUM(I35:I39)</f>
        <v>90378</v>
      </c>
      <c r="J40" s="161"/>
      <c r="K40" s="163">
        <f>SUM(K35:K39)</f>
        <v>36607</v>
      </c>
      <c r="L40" s="163">
        <f>SUM(L35:L39)</f>
        <v>5649</v>
      </c>
      <c r="M40" s="163">
        <f>SUM(M35:M39)</f>
        <v>42256</v>
      </c>
      <c r="N40" s="161"/>
      <c r="O40" s="163">
        <f>SUM(O35:O39)</f>
        <v>105005</v>
      </c>
      <c r="P40" s="163">
        <f>SUM(P35:P39)</f>
        <v>23951</v>
      </c>
      <c r="Q40" s="163">
        <f>SUM(Q35:Q39)</f>
        <v>128956</v>
      </c>
      <c r="R40" s="125"/>
      <c r="S40" s="132">
        <f>SUM(S35:S39)</f>
        <v>636498</v>
      </c>
      <c r="T40" s="132">
        <f>SUM(T35:T39)</f>
        <v>45735</v>
      </c>
      <c r="U40" s="132">
        <f>SUM(U35:U39)</f>
        <v>682233</v>
      </c>
    </row>
    <row r="42" spans="1:23" s="87" customFormat="1" x14ac:dyDescent="0.3">
      <c r="A42" s="65"/>
      <c r="B42" s="65"/>
      <c r="V42" s="65"/>
      <c r="W42" s="65"/>
    </row>
    <row r="43" spans="1:23" x14ac:dyDescent="0.3">
      <c r="B43" s="65" t="s">
        <v>83</v>
      </c>
      <c r="S43" s="65"/>
      <c r="T43" s="65"/>
      <c r="U43" s="65"/>
    </row>
  </sheetData>
  <mergeCells count="14">
    <mergeCell ref="S31:U31"/>
    <mergeCell ref="B8:U8"/>
    <mergeCell ref="B9:U9"/>
    <mergeCell ref="B15:B17"/>
    <mergeCell ref="C15:E15"/>
    <mergeCell ref="G15:I15"/>
    <mergeCell ref="K15:M15"/>
    <mergeCell ref="O15:Q15"/>
    <mergeCell ref="S15:U15"/>
    <mergeCell ref="B31:B33"/>
    <mergeCell ref="C31:E31"/>
    <mergeCell ref="G31:I31"/>
    <mergeCell ref="K31:M31"/>
    <mergeCell ref="O31:Q31"/>
  </mergeCells>
  <hyperlinks>
    <hyperlink ref="B1" location="Índice!A1" display="Ir a inicio" xr:uid="{AEC78825-EB11-4E7A-AD47-A30BA0A28AC4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9" orientation="landscape" r:id="rId1"/>
  <headerFooter alignWithMargins="0"/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23B18-FEA8-40B8-A293-14496167966E}">
  <sheetPr>
    <pageSetUpPr fitToPage="1"/>
  </sheetPr>
  <dimension ref="A1:W49"/>
  <sheetViews>
    <sheetView showGridLines="0" zoomScaleNormal="100" workbookViewId="0">
      <selection activeCell="G49" sqref="G49"/>
    </sheetView>
  </sheetViews>
  <sheetFormatPr baseColWidth="10" defaultColWidth="11.44140625" defaultRowHeight="14.4" x14ac:dyDescent="0.3"/>
  <cols>
    <col min="1" max="1" width="1.6640625" style="65" customWidth="1"/>
    <col min="2" max="2" width="36.6640625" style="65" customWidth="1"/>
    <col min="3" max="5" width="12.33203125" style="87" customWidth="1"/>
    <col min="6" max="6" width="2.6640625" style="87" customWidth="1"/>
    <col min="7" max="9" width="12.33203125" style="87" customWidth="1"/>
    <col min="10" max="10" width="2.6640625" style="87" customWidth="1"/>
    <col min="11" max="13" width="12.33203125" style="87" customWidth="1"/>
    <col min="14" max="14" width="2.6640625" style="87" customWidth="1"/>
    <col min="15" max="17" width="12.33203125" style="87" customWidth="1"/>
    <col min="18" max="18" width="2.6640625" style="87" customWidth="1"/>
    <col min="19" max="21" width="14.33203125" style="87" customWidth="1"/>
    <col min="22" max="16384" width="11.44140625" style="65"/>
  </cols>
  <sheetData>
    <row r="1" spans="1:21" x14ac:dyDescent="0.3">
      <c r="A1" s="83"/>
      <c r="B1" s="144" t="s">
        <v>12</v>
      </c>
      <c r="C1" s="99"/>
      <c r="D1" s="99"/>
      <c r="E1" s="99"/>
      <c r="F1" s="99"/>
      <c r="G1" s="99"/>
      <c r="H1" s="99"/>
      <c r="I1" s="99"/>
      <c r="J1" s="99"/>
    </row>
    <row r="2" spans="1:21" x14ac:dyDescent="0.3">
      <c r="A2" s="84"/>
      <c r="B2" s="83"/>
      <c r="C2" s="99"/>
      <c r="D2" s="99"/>
      <c r="E2" s="99"/>
      <c r="F2" s="99"/>
    </row>
    <row r="3" spans="1:21" x14ac:dyDescent="0.3">
      <c r="A3" s="84"/>
      <c r="B3" s="83"/>
      <c r="C3" s="99"/>
      <c r="D3" s="99"/>
      <c r="E3" s="99"/>
      <c r="F3" s="99"/>
    </row>
    <row r="4" spans="1:21" x14ac:dyDescent="0.3">
      <c r="A4" s="84"/>
      <c r="B4" s="83"/>
      <c r="C4" s="99"/>
      <c r="D4" s="99"/>
      <c r="E4" s="99"/>
      <c r="F4" s="99"/>
    </row>
    <row r="5" spans="1:21" x14ac:dyDescent="0.3">
      <c r="A5" s="84"/>
      <c r="B5" s="83"/>
      <c r="C5" s="99"/>
      <c r="D5" s="99"/>
      <c r="E5" s="99"/>
      <c r="F5" s="99"/>
    </row>
    <row r="6" spans="1:21" x14ac:dyDescent="0.3">
      <c r="A6" s="84"/>
      <c r="B6" s="83"/>
      <c r="C6" s="99"/>
      <c r="D6" s="99"/>
      <c r="E6" s="99"/>
      <c r="F6" s="99"/>
    </row>
    <row r="7" spans="1:21" x14ac:dyDescent="0.3">
      <c r="A7" s="84"/>
      <c r="B7" s="83"/>
      <c r="C7" s="99"/>
      <c r="D7" s="99"/>
      <c r="E7" s="99"/>
      <c r="F7" s="99"/>
    </row>
    <row r="8" spans="1:21" ht="27" x14ac:dyDescent="0.3">
      <c r="A8" s="63"/>
      <c r="B8" s="187" t="s">
        <v>126</v>
      </c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</row>
    <row r="9" spans="1:21" x14ac:dyDescent="0.3">
      <c r="A9" s="63"/>
      <c r="B9" s="180">
        <f>+Carátula!B17</f>
        <v>45565</v>
      </c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</row>
    <row r="10" spans="1:21" ht="15" thickBot="1" x14ac:dyDescent="0.35">
      <c r="A10" s="63"/>
      <c r="B10" s="86"/>
      <c r="C10" s="100"/>
      <c r="D10" s="100"/>
      <c r="E10" s="100"/>
      <c r="F10" s="100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</row>
    <row r="11" spans="1:21" x14ac:dyDescent="0.3">
      <c r="A11" s="63"/>
      <c r="B11" s="63"/>
      <c r="C11" s="99"/>
      <c r="D11" s="99"/>
      <c r="E11" s="99"/>
      <c r="F11" s="99"/>
      <c r="G11" s="99"/>
      <c r="H11" s="99"/>
      <c r="I11" s="99"/>
      <c r="J11" s="99"/>
    </row>
    <row r="12" spans="1:21" x14ac:dyDescent="0.3">
      <c r="A12" s="63"/>
      <c r="B12" s="63"/>
      <c r="C12" s="99"/>
      <c r="D12" s="99"/>
      <c r="E12" s="99"/>
      <c r="F12" s="99"/>
      <c r="G12" s="99"/>
      <c r="H12" s="99"/>
      <c r="I12" s="99"/>
      <c r="J12" s="99"/>
    </row>
    <row r="13" spans="1:21" ht="16.2" x14ac:dyDescent="0.35">
      <c r="A13" s="63"/>
      <c r="B13" s="73" t="s">
        <v>35</v>
      </c>
      <c r="C13" s="99"/>
      <c r="D13" s="99"/>
      <c r="E13" s="99"/>
      <c r="F13" s="99"/>
      <c r="G13" s="99"/>
      <c r="H13" s="99"/>
      <c r="I13" s="99"/>
      <c r="J13" s="76"/>
      <c r="P13" s="87">
        <v>1000000</v>
      </c>
      <c r="R13" s="76"/>
    </row>
    <row r="14" spans="1:21" x14ac:dyDescent="0.3">
      <c r="A14" s="63"/>
      <c r="B14" s="88"/>
      <c r="C14" s="99"/>
      <c r="D14" s="99"/>
      <c r="E14" s="99"/>
      <c r="F14" s="99"/>
      <c r="G14" s="99"/>
      <c r="H14" s="99"/>
      <c r="I14" s="99"/>
      <c r="J14" s="76"/>
      <c r="N14" s="76"/>
      <c r="R14" s="76"/>
    </row>
    <row r="15" spans="1:21" s="105" customFormat="1" ht="24" customHeight="1" x14ac:dyDescent="0.3">
      <c r="A15" s="85"/>
      <c r="B15" s="194" t="s">
        <v>125</v>
      </c>
      <c r="C15" s="190" t="s">
        <v>19</v>
      </c>
      <c r="D15" s="188"/>
      <c r="E15" s="188"/>
      <c r="F15" s="102"/>
      <c r="G15" s="188" t="s">
        <v>20</v>
      </c>
      <c r="H15" s="188"/>
      <c r="I15" s="188"/>
      <c r="J15" s="103"/>
      <c r="K15" s="190" t="s">
        <v>21</v>
      </c>
      <c r="L15" s="188"/>
      <c r="M15" s="188"/>
      <c r="N15" s="104"/>
      <c r="O15" s="188" t="s">
        <v>22</v>
      </c>
      <c r="P15" s="188"/>
      <c r="Q15" s="188"/>
      <c r="R15" s="103"/>
      <c r="S15" s="188" t="s">
        <v>33</v>
      </c>
      <c r="T15" s="188"/>
      <c r="U15" s="188"/>
    </row>
    <row r="16" spans="1:21" x14ac:dyDescent="0.3">
      <c r="A16" s="63"/>
      <c r="B16" s="194"/>
      <c r="C16" s="106"/>
      <c r="D16" s="106"/>
      <c r="E16" s="106"/>
      <c r="F16" s="99"/>
      <c r="G16" s="106"/>
      <c r="H16" s="106"/>
      <c r="I16" s="106"/>
      <c r="J16" s="107"/>
      <c r="K16" s="106"/>
      <c r="L16" s="106"/>
      <c r="M16" s="106"/>
      <c r="N16" s="107"/>
      <c r="O16" s="106"/>
      <c r="P16" s="106"/>
      <c r="Q16" s="106"/>
      <c r="R16" s="107"/>
      <c r="S16" s="106"/>
      <c r="T16" s="106"/>
      <c r="U16" s="106"/>
    </row>
    <row r="17" spans="1:21" x14ac:dyDescent="0.3">
      <c r="A17" s="63"/>
      <c r="B17" s="194"/>
      <c r="C17" s="108" t="s">
        <v>26</v>
      </c>
      <c r="D17" s="108" t="s">
        <v>27</v>
      </c>
      <c r="E17" s="108" t="s">
        <v>18</v>
      </c>
      <c r="F17" s="99"/>
      <c r="G17" s="108" t="s">
        <v>26</v>
      </c>
      <c r="H17" s="108" t="s">
        <v>27</v>
      </c>
      <c r="I17" s="108" t="s">
        <v>18</v>
      </c>
      <c r="J17" s="107"/>
      <c r="K17" s="108" t="s">
        <v>26</v>
      </c>
      <c r="L17" s="108" t="s">
        <v>27</v>
      </c>
      <c r="M17" s="108" t="s">
        <v>18</v>
      </c>
      <c r="N17" s="107"/>
      <c r="O17" s="108" t="s">
        <v>26</v>
      </c>
      <c r="P17" s="108" t="s">
        <v>27</v>
      </c>
      <c r="Q17" s="108" t="s">
        <v>18</v>
      </c>
      <c r="R17" s="107"/>
      <c r="S17" s="108" t="s">
        <v>26</v>
      </c>
      <c r="T17" s="108" t="s">
        <v>27</v>
      </c>
      <c r="U17" s="108" t="s">
        <v>18</v>
      </c>
    </row>
    <row r="18" spans="1:21" x14ac:dyDescent="0.3">
      <c r="A18" s="63"/>
      <c r="B18" s="117"/>
      <c r="C18" s="89"/>
      <c r="D18" s="89"/>
      <c r="E18" s="89"/>
      <c r="F18" s="99"/>
      <c r="G18" s="89"/>
      <c r="H18" s="89"/>
      <c r="I18" s="89"/>
      <c r="J18" s="89"/>
      <c r="K18" s="89"/>
      <c r="L18" s="89"/>
      <c r="M18" s="89"/>
      <c r="N18" s="118"/>
      <c r="O18" s="89"/>
      <c r="P18" s="89"/>
      <c r="Q18" s="89"/>
      <c r="R18" s="89"/>
      <c r="S18" s="89"/>
      <c r="T18" s="89"/>
      <c r="U18" s="89"/>
    </row>
    <row r="19" spans="1:21" x14ac:dyDescent="0.3">
      <c r="A19" s="63"/>
      <c r="B19" s="133">
        <v>1</v>
      </c>
      <c r="C19" s="122">
        <v>6497178.3355553001</v>
      </c>
      <c r="D19" s="122">
        <v>2809559.60290488</v>
      </c>
      <c r="E19" s="122">
        <f>+C19+D19</f>
        <v>9306737.9384601805</v>
      </c>
      <c r="F19" s="123"/>
      <c r="G19" s="122">
        <v>3877688.17652302</v>
      </c>
      <c r="H19" s="122">
        <v>3283619.8889536802</v>
      </c>
      <c r="I19" s="122">
        <f>+G19+H19</f>
        <v>7161308.0654767007</v>
      </c>
      <c r="J19" s="122"/>
      <c r="K19" s="122">
        <v>2902074.13982763</v>
      </c>
      <c r="L19" s="122">
        <v>3771168.0384368701</v>
      </c>
      <c r="M19" s="122">
        <f>+K19+L19</f>
        <v>6673242.1782645006</v>
      </c>
      <c r="N19" s="122"/>
      <c r="O19" s="122">
        <v>34381381.729412101</v>
      </c>
      <c r="P19" s="122">
        <v>50994236.569523402</v>
      </c>
      <c r="Q19" s="122">
        <f>+O19+P19</f>
        <v>85375618.298935503</v>
      </c>
      <c r="R19" s="122"/>
      <c r="S19" s="124">
        <f>+C19+G19+K19+O19</f>
        <v>47658322.381318048</v>
      </c>
      <c r="T19" s="124">
        <f>+D19+H19+L19+P19</f>
        <v>60858584.099818833</v>
      </c>
      <c r="U19" s="124">
        <f>+S19+T19</f>
        <v>108516906.48113689</v>
      </c>
    </row>
    <row r="20" spans="1:21" x14ac:dyDescent="0.3">
      <c r="B20" s="134" t="s">
        <v>123</v>
      </c>
      <c r="C20" s="125">
        <v>468364.87703450001</v>
      </c>
      <c r="D20" s="125">
        <v>169095.55789008999</v>
      </c>
      <c r="E20" s="122">
        <f t="shared" ref="E20:E25" si="0">+C20+D20</f>
        <v>637460.43492458994</v>
      </c>
      <c r="F20" s="125"/>
      <c r="G20" s="125">
        <v>332019.16180283</v>
      </c>
      <c r="H20" s="125">
        <v>205104.79982951999</v>
      </c>
      <c r="I20" s="122">
        <f t="shared" ref="I20:I25" si="1">+G20+H20</f>
        <v>537123.96163234999</v>
      </c>
      <c r="J20" s="125"/>
      <c r="K20" s="125">
        <v>275972.13302202005</v>
      </c>
      <c r="L20" s="125">
        <v>206651.04484607</v>
      </c>
      <c r="M20" s="122">
        <f t="shared" ref="M20:M25" si="2">+K20+L20</f>
        <v>482623.17786809005</v>
      </c>
      <c r="N20" s="125"/>
      <c r="O20" s="125">
        <v>1944790.4513476102</v>
      </c>
      <c r="P20" s="125">
        <v>2307417.3640118199</v>
      </c>
      <c r="Q20" s="122">
        <f t="shared" ref="Q20:Q25" si="3">+O20+P20</f>
        <v>4252207.8153594304</v>
      </c>
      <c r="R20" s="125"/>
      <c r="S20" s="127">
        <f t="shared" ref="S20:T26" si="4">+C20+G20+K20+O20</f>
        <v>3021146.62320696</v>
      </c>
      <c r="T20" s="127">
        <f t="shared" si="4"/>
        <v>2888268.7665774999</v>
      </c>
      <c r="U20" s="127">
        <f t="shared" ref="U20:U26" si="5">+S20+T20</f>
        <v>5909415.38978446</v>
      </c>
    </row>
    <row r="21" spans="1:21" x14ac:dyDescent="0.3">
      <c r="B21" s="134" t="s">
        <v>124</v>
      </c>
      <c r="C21" s="125">
        <v>284723.89309396996</v>
      </c>
      <c r="D21" s="125">
        <v>26902.542393810003</v>
      </c>
      <c r="E21" s="122">
        <f t="shared" si="0"/>
        <v>311626.43548777996</v>
      </c>
      <c r="F21" s="125"/>
      <c r="G21" s="125">
        <v>130616.6078915</v>
      </c>
      <c r="H21" s="125">
        <v>80767.729206289994</v>
      </c>
      <c r="I21" s="122">
        <f t="shared" si="1"/>
        <v>211384.33709778998</v>
      </c>
      <c r="J21" s="125"/>
      <c r="K21" s="125">
        <v>104956.4371045</v>
      </c>
      <c r="L21" s="125">
        <v>52295.639603249998</v>
      </c>
      <c r="M21" s="122">
        <f t="shared" si="2"/>
        <v>157252.07670775001</v>
      </c>
      <c r="N21" s="125"/>
      <c r="O21" s="125">
        <v>738526.85099599999</v>
      </c>
      <c r="P21" s="125">
        <v>330645.42417782999</v>
      </c>
      <c r="Q21" s="122">
        <f t="shared" si="3"/>
        <v>1069172.2751738299</v>
      </c>
      <c r="R21" s="125"/>
      <c r="S21" s="124">
        <f t="shared" si="4"/>
        <v>1258823.78908597</v>
      </c>
      <c r="T21" s="124">
        <f t="shared" si="4"/>
        <v>490611.33538117999</v>
      </c>
      <c r="U21" s="124">
        <f t="shared" si="5"/>
        <v>1749435.1244671501</v>
      </c>
    </row>
    <row r="22" spans="1:21" x14ac:dyDescent="0.3">
      <c r="B22" s="134">
        <v>2</v>
      </c>
      <c r="C22" s="125">
        <v>118579.5810695</v>
      </c>
      <c r="D22" s="125">
        <v>21373.420155560001</v>
      </c>
      <c r="E22" s="122">
        <f t="shared" si="0"/>
        <v>139953.00122506</v>
      </c>
      <c r="F22" s="125"/>
      <c r="G22" s="125">
        <v>82670.719450000004</v>
      </c>
      <c r="H22" s="125">
        <v>31739.785776009998</v>
      </c>
      <c r="I22" s="122">
        <f t="shared" si="1"/>
        <v>114410.50522601001</v>
      </c>
      <c r="J22" s="125"/>
      <c r="K22" s="125">
        <v>41163.074489999999</v>
      </c>
      <c r="L22" s="125">
        <v>21661.242458519999</v>
      </c>
      <c r="M22" s="122">
        <f t="shared" si="2"/>
        <v>62824.316948519998</v>
      </c>
      <c r="N22" s="125"/>
      <c r="O22" s="125">
        <v>159103.69934699999</v>
      </c>
      <c r="P22" s="125">
        <v>159028.26077482</v>
      </c>
      <c r="Q22" s="122">
        <f t="shared" si="3"/>
        <v>318131.96012181998</v>
      </c>
      <c r="R22" s="125"/>
      <c r="S22" s="127">
        <f t="shared" ref="S22:S25" si="6">+C22+G22+K22+O22</f>
        <v>401517.07435649994</v>
      </c>
      <c r="T22" s="127">
        <f t="shared" ref="T22:T25" si="7">+D22+H22+L22+P22</f>
        <v>233802.70916490999</v>
      </c>
      <c r="U22" s="127">
        <f t="shared" ref="U22:U25" si="8">+S22+T22</f>
        <v>635319.78352140996</v>
      </c>
    </row>
    <row r="23" spans="1:21" x14ac:dyDescent="0.3">
      <c r="B23" s="134">
        <v>3</v>
      </c>
      <c r="C23" s="125">
        <v>137387.0431715</v>
      </c>
      <c r="D23" s="125">
        <v>45419.014682749999</v>
      </c>
      <c r="E23" s="122">
        <f t="shared" si="0"/>
        <v>182806.05785425002</v>
      </c>
      <c r="F23" s="125"/>
      <c r="G23" s="125">
        <v>76074.518265000006</v>
      </c>
      <c r="H23" s="125">
        <v>56010.735202769996</v>
      </c>
      <c r="I23" s="122">
        <f t="shared" si="1"/>
        <v>132085.25346777</v>
      </c>
      <c r="J23" s="125"/>
      <c r="K23" s="125">
        <v>45145.858305499998</v>
      </c>
      <c r="L23" s="125">
        <v>32651.963676769999</v>
      </c>
      <c r="M23" s="122">
        <f t="shared" si="2"/>
        <v>77797.82198226999</v>
      </c>
      <c r="N23" s="125"/>
      <c r="O23" s="125">
        <v>237978.3611865</v>
      </c>
      <c r="P23" s="125">
        <v>121803.01423219001</v>
      </c>
      <c r="Q23" s="122">
        <f t="shared" si="3"/>
        <v>359781.37541869003</v>
      </c>
      <c r="R23" s="125"/>
      <c r="S23" s="124">
        <f t="shared" si="6"/>
        <v>496585.7809285</v>
      </c>
      <c r="T23" s="124">
        <f t="shared" si="7"/>
        <v>255884.72779448002</v>
      </c>
      <c r="U23" s="124">
        <f t="shared" si="8"/>
        <v>752470.50872298004</v>
      </c>
    </row>
    <row r="24" spans="1:21" x14ac:dyDescent="0.3">
      <c r="B24" s="134">
        <v>4</v>
      </c>
      <c r="C24" s="125">
        <v>60984.463356</v>
      </c>
      <c r="D24" s="125">
        <v>18281.032108799998</v>
      </c>
      <c r="E24" s="122">
        <f t="shared" si="0"/>
        <v>79265.495464799998</v>
      </c>
      <c r="F24" s="125"/>
      <c r="G24" s="125">
        <v>31264.016951000001</v>
      </c>
      <c r="H24" s="125">
        <v>9715.1750159999992</v>
      </c>
      <c r="I24" s="122">
        <f t="shared" si="1"/>
        <v>40979.191966999999</v>
      </c>
      <c r="J24" s="125"/>
      <c r="K24" s="125">
        <v>16559.111623000001</v>
      </c>
      <c r="L24" s="125">
        <v>12380.700604</v>
      </c>
      <c r="M24" s="122">
        <f t="shared" si="2"/>
        <v>28939.812227000002</v>
      </c>
      <c r="N24" s="125"/>
      <c r="O24" s="125">
        <v>52077.414670999999</v>
      </c>
      <c r="P24" s="125">
        <v>52712.462268110001</v>
      </c>
      <c r="Q24" s="122">
        <f t="shared" si="3"/>
        <v>104789.87693910999</v>
      </c>
      <c r="R24" s="125"/>
      <c r="S24" s="127">
        <f t="shared" si="6"/>
        <v>160885.006601</v>
      </c>
      <c r="T24" s="127">
        <f t="shared" si="7"/>
        <v>93089.369996909998</v>
      </c>
      <c r="U24" s="127">
        <f t="shared" si="8"/>
        <v>253974.37659791001</v>
      </c>
    </row>
    <row r="25" spans="1:21" x14ac:dyDescent="0.3">
      <c r="B25" s="134">
        <v>5</v>
      </c>
      <c r="C25" s="125">
        <v>93893.816395999995</v>
      </c>
      <c r="D25" s="125">
        <v>5883.5248519999996</v>
      </c>
      <c r="E25" s="122">
        <f t="shared" si="0"/>
        <v>99777.341247999997</v>
      </c>
      <c r="F25" s="125"/>
      <c r="G25" s="125">
        <v>53714.000179000002</v>
      </c>
      <c r="H25" s="125">
        <v>16225.200175489999</v>
      </c>
      <c r="I25" s="122">
        <f t="shared" si="1"/>
        <v>69939.200354490007</v>
      </c>
      <c r="J25" s="125"/>
      <c r="K25" s="125">
        <v>37345.680146999999</v>
      </c>
      <c r="L25" s="125">
        <v>6773.5380792899996</v>
      </c>
      <c r="M25" s="122">
        <f t="shared" si="2"/>
        <v>44119.218226290002</v>
      </c>
      <c r="N25" s="125"/>
      <c r="O25" s="125">
        <v>48912.050467000001</v>
      </c>
      <c r="P25" s="125">
        <v>49138.375371199996</v>
      </c>
      <c r="Q25" s="122">
        <f t="shared" si="3"/>
        <v>98050.425838199997</v>
      </c>
      <c r="R25" s="125"/>
      <c r="S25" s="124">
        <f t="shared" si="6"/>
        <v>233865.547189</v>
      </c>
      <c r="T25" s="124">
        <f t="shared" si="7"/>
        <v>78020.638477979999</v>
      </c>
      <c r="U25" s="124">
        <f t="shared" si="8"/>
        <v>311886.18566697999</v>
      </c>
    </row>
    <row r="26" spans="1:21" x14ac:dyDescent="0.3">
      <c r="B26" s="134">
        <v>6</v>
      </c>
      <c r="C26" s="128">
        <v>373289.17079200002</v>
      </c>
      <c r="D26" s="128">
        <v>64520.41710259</v>
      </c>
      <c r="E26" s="129">
        <f t="shared" ref="E26" si="9">+C26+D26</f>
        <v>437809.58789458999</v>
      </c>
      <c r="F26" s="125"/>
      <c r="G26" s="128">
        <v>225373.42738499999</v>
      </c>
      <c r="H26" s="128">
        <v>32490.483144060003</v>
      </c>
      <c r="I26" s="129">
        <f t="shared" ref="I26" si="10">+G26+H26</f>
        <v>257863.91052906</v>
      </c>
      <c r="J26" s="125"/>
      <c r="K26" s="128">
        <v>125328.50846700001</v>
      </c>
      <c r="L26" s="128">
        <v>36056.673546999999</v>
      </c>
      <c r="M26" s="129">
        <f t="shared" ref="M26" si="11">+K26+L26</f>
        <v>161385.18201400002</v>
      </c>
      <c r="N26" s="125"/>
      <c r="O26" s="128">
        <v>406647.30535099999</v>
      </c>
      <c r="P26" s="128">
        <v>248481.04784461998</v>
      </c>
      <c r="Q26" s="129">
        <f>+O26+P26</f>
        <v>655128.35319562</v>
      </c>
      <c r="R26" s="125"/>
      <c r="S26" s="130">
        <f t="shared" si="4"/>
        <v>1130638.411995</v>
      </c>
      <c r="T26" s="130">
        <f t="shared" si="4"/>
        <v>381548.62163826998</v>
      </c>
      <c r="U26" s="130">
        <f t="shared" si="5"/>
        <v>1512187.0336332698</v>
      </c>
    </row>
    <row r="27" spans="1:21" x14ac:dyDescent="0.3">
      <c r="B27" s="135" t="s">
        <v>54</v>
      </c>
      <c r="C27" s="131">
        <f>SUM(C19:C26)</f>
        <v>8034401.1804687707</v>
      </c>
      <c r="D27" s="131">
        <f>SUM(D19:D26)</f>
        <v>3161035.112090481</v>
      </c>
      <c r="E27" s="131">
        <f>SUM(E19:E26)</f>
        <v>11195436.292559251</v>
      </c>
      <c r="F27" s="125"/>
      <c r="G27" s="131">
        <f>SUM(G19:G26)</f>
        <v>4809420.6284473492</v>
      </c>
      <c r="H27" s="131">
        <f>SUM(H19:H26)</f>
        <v>3715673.79730382</v>
      </c>
      <c r="I27" s="131">
        <f>SUM(I19:I26)</f>
        <v>8525094.425751172</v>
      </c>
      <c r="J27" s="125"/>
      <c r="K27" s="131">
        <f>SUM(K19:K26)</f>
        <v>3548544.9429866499</v>
      </c>
      <c r="L27" s="131">
        <f>SUM(L19:L26)</f>
        <v>4139638.841251771</v>
      </c>
      <c r="M27" s="131">
        <f>SUM(M19:M26)</f>
        <v>7688183.7842384195</v>
      </c>
      <c r="N27" s="125"/>
      <c r="O27" s="131">
        <f>SUM(O19:O26)</f>
        <v>37969417.862778202</v>
      </c>
      <c r="P27" s="131">
        <f>SUM(P19:P26)</f>
        <v>54263462.518203989</v>
      </c>
      <c r="Q27" s="131">
        <f>SUM(Q19:Q26)</f>
        <v>92232880.380982205</v>
      </c>
      <c r="R27" s="125"/>
      <c r="S27" s="132">
        <f>SUM(S19:S26)</f>
        <v>54361784.614680968</v>
      </c>
      <c r="T27" s="132">
        <f>SUM(T19:T26)</f>
        <v>65279810.268850066</v>
      </c>
      <c r="U27" s="132">
        <f>SUM(U19:U26)</f>
        <v>119641594.88353105</v>
      </c>
    </row>
    <row r="29" spans="1:21" ht="15" thickBot="1" x14ac:dyDescent="0.35">
      <c r="A29" s="63"/>
      <c r="B29" s="86"/>
      <c r="C29" s="100"/>
      <c r="D29" s="100"/>
      <c r="E29" s="100"/>
      <c r="F29" s="100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</row>
    <row r="30" spans="1:21" x14ac:dyDescent="0.3">
      <c r="A30" s="63"/>
      <c r="B30" s="63"/>
      <c r="C30" s="99"/>
      <c r="D30" s="99"/>
      <c r="E30" s="99"/>
      <c r="F30" s="99"/>
      <c r="G30" s="99"/>
      <c r="H30" s="99"/>
      <c r="I30" s="99"/>
      <c r="J30" s="99"/>
    </row>
    <row r="31" spans="1:21" x14ac:dyDescent="0.3">
      <c r="A31" s="63"/>
      <c r="B31" s="63"/>
      <c r="C31" s="99"/>
      <c r="D31" s="99"/>
      <c r="E31" s="99"/>
      <c r="F31" s="99"/>
      <c r="G31" s="99"/>
      <c r="H31" s="99"/>
      <c r="I31" s="99"/>
      <c r="J31" s="99"/>
    </row>
    <row r="32" spans="1:21" ht="16.2" x14ac:dyDescent="0.35">
      <c r="A32" s="63"/>
      <c r="B32" s="73" t="s">
        <v>55</v>
      </c>
      <c r="C32" s="99"/>
      <c r="D32" s="99"/>
      <c r="E32" s="99"/>
      <c r="F32" s="99"/>
      <c r="G32" s="99"/>
      <c r="H32" s="99"/>
      <c r="I32" s="99"/>
      <c r="J32" s="76"/>
      <c r="R32" s="76"/>
    </row>
    <row r="33" spans="1:23" x14ac:dyDescent="0.3">
      <c r="A33" s="63"/>
      <c r="B33" s="88"/>
      <c r="C33" s="99"/>
      <c r="D33" s="99"/>
      <c r="E33" s="99"/>
      <c r="F33" s="99"/>
      <c r="G33" s="99"/>
      <c r="H33" s="99"/>
      <c r="I33" s="99"/>
      <c r="J33" s="76"/>
      <c r="N33" s="76"/>
      <c r="R33" s="76"/>
    </row>
    <row r="34" spans="1:23" s="105" customFormat="1" ht="24" customHeight="1" x14ac:dyDescent="0.3">
      <c r="A34" s="85"/>
      <c r="B34" s="194" t="s">
        <v>125</v>
      </c>
      <c r="C34" s="190" t="s">
        <v>19</v>
      </c>
      <c r="D34" s="188"/>
      <c r="E34" s="188"/>
      <c r="F34" s="102"/>
      <c r="G34" s="188" t="s">
        <v>20</v>
      </c>
      <c r="H34" s="188"/>
      <c r="I34" s="188"/>
      <c r="J34" s="103"/>
      <c r="K34" s="190" t="s">
        <v>21</v>
      </c>
      <c r="L34" s="188"/>
      <c r="M34" s="188"/>
      <c r="N34" s="104"/>
      <c r="O34" s="188" t="s">
        <v>22</v>
      </c>
      <c r="P34" s="188"/>
      <c r="Q34" s="188"/>
      <c r="R34" s="103"/>
      <c r="S34" s="188" t="s">
        <v>33</v>
      </c>
      <c r="T34" s="188"/>
      <c r="U34" s="188"/>
    </row>
    <row r="35" spans="1:23" x14ac:dyDescent="0.3">
      <c r="A35" s="63"/>
      <c r="B35" s="194"/>
      <c r="C35" s="106"/>
      <c r="D35" s="106"/>
      <c r="E35" s="106"/>
      <c r="F35" s="99"/>
      <c r="G35" s="106"/>
      <c r="H35" s="106"/>
      <c r="I35" s="106"/>
      <c r="J35" s="107"/>
      <c r="K35" s="106"/>
      <c r="L35" s="106"/>
      <c r="M35" s="106"/>
      <c r="N35" s="107"/>
      <c r="O35" s="106"/>
      <c r="P35" s="106"/>
      <c r="Q35" s="106"/>
      <c r="R35" s="107"/>
      <c r="S35" s="106"/>
      <c r="T35" s="106"/>
      <c r="U35" s="106"/>
    </row>
    <row r="36" spans="1:23" x14ac:dyDescent="0.3">
      <c r="A36" s="63"/>
      <c r="B36" s="194"/>
      <c r="C36" s="108" t="s">
        <v>26</v>
      </c>
      <c r="D36" s="108" t="s">
        <v>27</v>
      </c>
      <c r="E36" s="108" t="s">
        <v>18</v>
      </c>
      <c r="F36" s="99"/>
      <c r="G36" s="108" t="s">
        <v>26</v>
      </c>
      <c r="H36" s="108" t="s">
        <v>27</v>
      </c>
      <c r="I36" s="108" t="s">
        <v>18</v>
      </c>
      <c r="J36" s="107"/>
      <c r="K36" s="108" t="s">
        <v>26</v>
      </c>
      <c r="L36" s="108" t="s">
        <v>27</v>
      </c>
      <c r="M36" s="108" t="s">
        <v>18</v>
      </c>
      <c r="N36" s="107"/>
      <c r="O36" s="108" t="s">
        <v>26</v>
      </c>
      <c r="P36" s="108" t="s">
        <v>27</v>
      </c>
      <c r="Q36" s="108" t="s">
        <v>18</v>
      </c>
      <c r="R36" s="107"/>
      <c r="S36" s="108" t="s">
        <v>26</v>
      </c>
      <c r="T36" s="108" t="s">
        <v>27</v>
      </c>
      <c r="U36" s="108" t="s">
        <v>18</v>
      </c>
    </row>
    <row r="37" spans="1:23" x14ac:dyDescent="0.3">
      <c r="A37" s="63"/>
      <c r="B37" s="117"/>
      <c r="C37" s="89"/>
      <c r="D37" s="89"/>
      <c r="E37" s="89"/>
      <c r="F37" s="99"/>
      <c r="G37" s="89"/>
      <c r="H37" s="89"/>
      <c r="I37" s="89"/>
      <c r="J37" s="89"/>
      <c r="K37" s="89"/>
      <c r="L37" s="89"/>
      <c r="M37" s="89"/>
      <c r="N37" s="118"/>
      <c r="O37" s="89"/>
      <c r="P37" s="89"/>
      <c r="Q37" s="89"/>
      <c r="R37" s="89"/>
      <c r="S37" s="89"/>
      <c r="T37" s="89"/>
      <c r="U37" s="89"/>
    </row>
    <row r="38" spans="1:23" x14ac:dyDescent="0.3">
      <c r="A38" s="63"/>
      <c r="B38" s="133">
        <v>1</v>
      </c>
      <c r="C38" s="122">
        <f>346796-18</f>
        <v>346778</v>
      </c>
      <c r="D38" s="122">
        <v>5666</v>
      </c>
      <c r="E38" s="122">
        <f t="shared" ref="E38:E45" si="12">+C38+D38</f>
        <v>352444</v>
      </c>
      <c r="F38" s="123"/>
      <c r="G38" s="122">
        <f>69589-4</f>
        <v>69585</v>
      </c>
      <c r="H38" s="122">
        <f>8166-2</f>
        <v>8164</v>
      </c>
      <c r="I38" s="122">
        <f>+G38+H38</f>
        <v>77749</v>
      </c>
      <c r="J38" s="122"/>
      <c r="K38" s="122">
        <v>32275</v>
      </c>
      <c r="L38" s="122">
        <v>4964</v>
      </c>
      <c r="M38" s="122">
        <f t="shared" ref="M38:M45" si="13">+K38+L38</f>
        <v>37239</v>
      </c>
      <c r="N38" s="122"/>
      <c r="O38" s="122">
        <f>98436-1</f>
        <v>98435</v>
      </c>
      <c r="P38" s="122">
        <v>21776</v>
      </c>
      <c r="Q38" s="122">
        <f t="shared" ref="Q38:Q45" si="14">+O38+P38</f>
        <v>120211</v>
      </c>
      <c r="R38" s="122"/>
      <c r="S38" s="124">
        <f>+C38+G38+K38+O38</f>
        <v>547073</v>
      </c>
      <c r="T38" s="124">
        <f>+D38+H38+L38+P38</f>
        <v>40570</v>
      </c>
      <c r="U38" s="124">
        <f>+S38+T38</f>
        <v>587643</v>
      </c>
      <c r="V38" s="136"/>
    </row>
    <row r="39" spans="1:23" x14ac:dyDescent="0.3">
      <c r="B39" s="134" t="s">
        <v>123</v>
      </c>
      <c r="C39" s="125">
        <f>26265-12</f>
        <v>26253</v>
      </c>
      <c r="D39" s="125">
        <f>501-1</f>
        <v>500</v>
      </c>
      <c r="E39" s="126">
        <f t="shared" si="12"/>
        <v>26753</v>
      </c>
      <c r="F39" s="125"/>
      <c r="G39" s="125">
        <f>4686-7</f>
        <v>4679</v>
      </c>
      <c r="H39" s="125">
        <v>501</v>
      </c>
      <c r="I39" s="126">
        <f t="shared" ref="I39:I45" si="15">+G39+H39</f>
        <v>5180</v>
      </c>
      <c r="J39" s="125"/>
      <c r="K39" s="125">
        <v>1861</v>
      </c>
      <c r="L39" s="125">
        <v>352</v>
      </c>
      <c r="M39" s="126">
        <f t="shared" si="13"/>
        <v>2213</v>
      </c>
      <c r="N39" s="125"/>
      <c r="O39" s="125">
        <v>3545</v>
      </c>
      <c r="P39" s="125">
        <v>1433</v>
      </c>
      <c r="Q39" s="126">
        <f t="shared" si="14"/>
        <v>4978</v>
      </c>
      <c r="R39" s="125"/>
      <c r="S39" s="127">
        <f t="shared" ref="S39:S45" si="16">+C39+G39+K39+O39</f>
        <v>36338</v>
      </c>
      <c r="T39" s="127">
        <f t="shared" ref="T39:T45" si="17">+D39+H39+L39+P39</f>
        <v>2786</v>
      </c>
      <c r="U39" s="127">
        <f t="shared" ref="U39:U40" si="18">+S39+T39</f>
        <v>39124</v>
      </c>
      <c r="V39" s="136"/>
    </row>
    <row r="40" spans="1:23" x14ac:dyDescent="0.3">
      <c r="B40" s="134" t="s">
        <v>124</v>
      </c>
      <c r="C40" s="122">
        <f>10413-2</f>
        <v>10411</v>
      </c>
      <c r="D40" s="122">
        <v>170</v>
      </c>
      <c r="E40" s="122">
        <f t="shared" ref="E40:E43" si="19">+C40+D40</f>
        <v>10581</v>
      </c>
      <c r="F40" s="125"/>
      <c r="G40" s="122">
        <v>1508</v>
      </c>
      <c r="H40" s="122">
        <v>150</v>
      </c>
      <c r="I40" s="122">
        <f t="shared" ref="I40:I44" si="20">+G40+H40</f>
        <v>1658</v>
      </c>
      <c r="J40" s="125"/>
      <c r="K40" s="122">
        <f>415-1</f>
        <v>414</v>
      </c>
      <c r="L40" s="122">
        <v>106</v>
      </c>
      <c r="M40" s="122">
        <f t="shared" ref="M40:M44" si="21">+K40+L40</f>
        <v>520</v>
      </c>
      <c r="N40" s="125"/>
      <c r="O40" s="122">
        <v>693</v>
      </c>
      <c r="P40" s="122">
        <v>301</v>
      </c>
      <c r="Q40" s="122">
        <f t="shared" ref="Q40:Q44" si="22">+O40+P40</f>
        <v>994</v>
      </c>
      <c r="R40" s="125"/>
      <c r="S40" s="124">
        <f t="shared" si="16"/>
        <v>13026</v>
      </c>
      <c r="T40" s="124">
        <f t="shared" si="17"/>
        <v>727</v>
      </c>
      <c r="U40" s="124">
        <f t="shared" si="18"/>
        <v>13753</v>
      </c>
      <c r="V40" s="136"/>
    </row>
    <row r="41" spans="1:23" x14ac:dyDescent="0.3">
      <c r="B41" s="134">
        <v>2</v>
      </c>
      <c r="C41" s="125">
        <v>6630</v>
      </c>
      <c r="D41" s="125">
        <v>104</v>
      </c>
      <c r="E41" s="126">
        <f t="shared" si="19"/>
        <v>6734</v>
      </c>
      <c r="F41" s="125"/>
      <c r="G41" s="125">
        <f>885-1</f>
        <v>884</v>
      </c>
      <c r="H41" s="125">
        <v>108</v>
      </c>
      <c r="I41" s="126">
        <f t="shared" si="20"/>
        <v>992</v>
      </c>
      <c r="J41" s="125"/>
      <c r="K41" s="125">
        <v>248</v>
      </c>
      <c r="L41" s="125">
        <v>64</v>
      </c>
      <c r="M41" s="126">
        <f t="shared" si="21"/>
        <v>312</v>
      </c>
      <c r="N41" s="125"/>
      <c r="O41" s="125">
        <v>292</v>
      </c>
      <c r="P41" s="125">
        <v>97</v>
      </c>
      <c r="Q41" s="126">
        <f t="shared" si="22"/>
        <v>389</v>
      </c>
      <c r="R41" s="125"/>
      <c r="S41" s="127">
        <f t="shared" si="16"/>
        <v>8054</v>
      </c>
      <c r="T41" s="127">
        <f t="shared" ref="T41:T44" si="23">+D41+H41+L41+P41</f>
        <v>373</v>
      </c>
      <c r="U41" s="127">
        <f t="shared" ref="U41:U44" si="24">+S41+T41</f>
        <v>8427</v>
      </c>
      <c r="V41" s="136"/>
    </row>
    <row r="42" spans="1:23" x14ac:dyDescent="0.3">
      <c r="B42" s="134">
        <v>3</v>
      </c>
      <c r="C42" s="122">
        <f>8409-2</f>
        <v>8407</v>
      </c>
      <c r="D42" s="122">
        <v>152</v>
      </c>
      <c r="E42" s="122">
        <f t="shared" si="19"/>
        <v>8559</v>
      </c>
      <c r="F42" s="125"/>
      <c r="G42" s="122">
        <v>972</v>
      </c>
      <c r="H42" s="122">
        <v>117</v>
      </c>
      <c r="I42" s="122">
        <f t="shared" si="20"/>
        <v>1089</v>
      </c>
      <c r="J42" s="125"/>
      <c r="K42" s="122">
        <f>350-1</f>
        <v>349</v>
      </c>
      <c r="L42" s="122">
        <v>60</v>
      </c>
      <c r="M42" s="122">
        <f t="shared" si="21"/>
        <v>409</v>
      </c>
      <c r="N42" s="125"/>
      <c r="O42" s="122">
        <v>414</v>
      </c>
      <c r="P42" s="122">
        <v>114</v>
      </c>
      <c r="Q42" s="122">
        <f t="shared" si="22"/>
        <v>528</v>
      </c>
      <c r="R42" s="125"/>
      <c r="S42" s="124">
        <f t="shared" si="16"/>
        <v>10142</v>
      </c>
      <c r="T42" s="124">
        <f t="shared" si="23"/>
        <v>443</v>
      </c>
      <c r="U42" s="124">
        <f t="shared" si="24"/>
        <v>10585</v>
      </c>
      <c r="V42" s="136"/>
    </row>
    <row r="43" spans="1:23" x14ac:dyDescent="0.3">
      <c r="B43" s="134">
        <v>4</v>
      </c>
      <c r="C43" s="125">
        <v>2384</v>
      </c>
      <c r="D43" s="125">
        <v>63</v>
      </c>
      <c r="E43" s="126">
        <f t="shared" si="19"/>
        <v>2447</v>
      </c>
      <c r="F43" s="125"/>
      <c r="G43" s="125">
        <v>407</v>
      </c>
      <c r="H43" s="125">
        <v>38</v>
      </c>
      <c r="I43" s="126">
        <f t="shared" si="20"/>
        <v>445</v>
      </c>
      <c r="J43" s="125"/>
      <c r="K43" s="125">
        <v>188</v>
      </c>
      <c r="L43" s="125">
        <v>16</v>
      </c>
      <c r="M43" s="126">
        <f t="shared" si="21"/>
        <v>204</v>
      </c>
      <c r="N43" s="125"/>
      <c r="O43" s="125">
        <v>209</v>
      </c>
      <c r="P43" s="125">
        <v>30</v>
      </c>
      <c r="Q43" s="126">
        <f t="shared" si="22"/>
        <v>239</v>
      </c>
      <c r="R43" s="125"/>
      <c r="S43" s="127">
        <f t="shared" si="16"/>
        <v>3188</v>
      </c>
      <c r="T43" s="127">
        <f t="shared" si="23"/>
        <v>147</v>
      </c>
      <c r="U43" s="127">
        <f t="shared" si="24"/>
        <v>3335</v>
      </c>
      <c r="V43" s="136"/>
    </row>
    <row r="44" spans="1:23" x14ac:dyDescent="0.3">
      <c r="B44" s="134">
        <v>5</v>
      </c>
      <c r="C44" s="125">
        <v>5243</v>
      </c>
      <c r="D44" s="125">
        <v>46</v>
      </c>
      <c r="E44" s="126">
        <f t="shared" si="12"/>
        <v>5289</v>
      </c>
      <c r="F44" s="125"/>
      <c r="G44" s="122">
        <v>725</v>
      </c>
      <c r="H44" s="122">
        <v>39</v>
      </c>
      <c r="I44" s="122">
        <f t="shared" si="20"/>
        <v>764</v>
      </c>
      <c r="J44" s="125"/>
      <c r="K44" s="122">
        <v>265</v>
      </c>
      <c r="L44" s="122">
        <v>19</v>
      </c>
      <c r="M44" s="122">
        <f t="shared" si="21"/>
        <v>284</v>
      </c>
      <c r="N44" s="125"/>
      <c r="O44" s="122">
        <v>371</v>
      </c>
      <c r="P44" s="122">
        <v>41</v>
      </c>
      <c r="Q44" s="122">
        <f t="shared" si="22"/>
        <v>412</v>
      </c>
      <c r="R44" s="125"/>
      <c r="S44" s="124">
        <f t="shared" si="16"/>
        <v>6604</v>
      </c>
      <c r="T44" s="124">
        <f t="shared" si="23"/>
        <v>145</v>
      </c>
      <c r="U44" s="124">
        <f t="shared" si="24"/>
        <v>6749</v>
      </c>
      <c r="V44" s="136"/>
    </row>
    <row r="45" spans="1:23" x14ac:dyDescent="0.3">
      <c r="B45" s="134">
        <v>6</v>
      </c>
      <c r="C45" s="128">
        <v>7646</v>
      </c>
      <c r="D45" s="128">
        <v>190</v>
      </c>
      <c r="E45" s="129">
        <f t="shared" si="12"/>
        <v>7836</v>
      </c>
      <c r="F45" s="125"/>
      <c r="G45" s="128">
        <v>2374</v>
      </c>
      <c r="H45" s="128">
        <v>127</v>
      </c>
      <c r="I45" s="129">
        <f t="shared" si="15"/>
        <v>2501</v>
      </c>
      <c r="J45" s="125"/>
      <c r="K45" s="128">
        <v>1007</v>
      </c>
      <c r="L45" s="128">
        <v>68</v>
      </c>
      <c r="M45" s="129">
        <f t="shared" si="13"/>
        <v>1075</v>
      </c>
      <c r="N45" s="125"/>
      <c r="O45" s="128">
        <v>1046</v>
      </c>
      <c r="P45" s="128">
        <v>159</v>
      </c>
      <c r="Q45" s="129">
        <f t="shared" si="14"/>
        <v>1205</v>
      </c>
      <c r="R45" s="125"/>
      <c r="S45" s="130">
        <f t="shared" si="16"/>
        <v>12073</v>
      </c>
      <c r="T45" s="130">
        <f t="shared" si="17"/>
        <v>544</v>
      </c>
      <c r="U45" s="130">
        <f>+S45+T45</f>
        <v>12617</v>
      </c>
      <c r="V45" s="136"/>
    </row>
    <row r="46" spans="1:23" x14ac:dyDescent="0.3">
      <c r="B46" s="135" t="s">
        <v>54</v>
      </c>
      <c r="C46" s="131">
        <f>SUM(C38:C45)</f>
        <v>413752</v>
      </c>
      <c r="D46" s="131">
        <f>SUM(D38:D45)</f>
        <v>6891</v>
      </c>
      <c r="E46" s="131">
        <f>SUM(E38:E45)</f>
        <v>420643</v>
      </c>
      <c r="F46" s="125"/>
      <c r="G46" s="131">
        <f>SUM(G38:G45)</f>
        <v>81134</v>
      </c>
      <c r="H46" s="131">
        <f>SUM(H38:H45)</f>
        <v>9244</v>
      </c>
      <c r="I46" s="131">
        <f>SUM(I38:I45)</f>
        <v>90378</v>
      </c>
      <c r="J46" s="125"/>
      <c r="K46" s="131">
        <f>SUM(K38:K45)</f>
        <v>36607</v>
      </c>
      <c r="L46" s="131">
        <f>SUM(L38:L45)</f>
        <v>5649</v>
      </c>
      <c r="M46" s="131">
        <f>SUM(M38:M45)</f>
        <v>42256</v>
      </c>
      <c r="N46" s="125"/>
      <c r="O46" s="131">
        <f>SUM(O38:O45)</f>
        <v>105005</v>
      </c>
      <c r="P46" s="131">
        <f>SUM(P38:P45)</f>
        <v>23951</v>
      </c>
      <c r="Q46" s="131">
        <f>SUM(Q38:Q45)</f>
        <v>128956</v>
      </c>
      <c r="R46" s="125"/>
      <c r="S46" s="132">
        <f>SUM(S38:S45)</f>
        <v>636498</v>
      </c>
      <c r="T46" s="132">
        <f>SUM(T38:T45)</f>
        <v>45735</v>
      </c>
      <c r="U46" s="132">
        <f>SUM(U38:U45)</f>
        <v>682233</v>
      </c>
    </row>
    <row r="48" spans="1:23" s="87" customFormat="1" x14ac:dyDescent="0.3">
      <c r="A48" s="65"/>
      <c r="B48" s="65"/>
      <c r="V48" s="65"/>
      <c r="W48" s="65"/>
    </row>
    <row r="49" spans="2:21" x14ac:dyDescent="0.3">
      <c r="B49" s="65" t="s">
        <v>127</v>
      </c>
      <c r="S49" s="65"/>
      <c r="T49" s="65"/>
      <c r="U49" s="65"/>
    </row>
  </sheetData>
  <mergeCells count="14">
    <mergeCell ref="S34:U34"/>
    <mergeCell ref="B8:U8"/>
    <mergeCell ref="B9:U9"/>
    <mergeCell ref="B15:B17"/>
    <mergeCell ref="C15:E15"/>
    <mergeCell ref="G15:I15"/>
    <mergeCell ref="K15:M15"/>
    <mergeCell ref="O15:Q15"/>
    <mergeCell ref="S15:U15"/>
    <mergeCell ref="B34:B36"/>
    <mergeCell ref="C34:E34"/>
    <mergeCell ref="G34:I34"/>
    <mergeCell ref="K34:M34"/>
    <mergeCell ref="O34:Q34"/>
  </mergeCells>
  <hyperlinks>
    <hyperlink ref="B1" location="Índice!A1" display="Ir a inicio" xr:uid="{A747C3E7-87AA-4F31-9110-27F025418977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9" orientation="landscape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15</vt:i4>
      </vt:variant>
    </vt:vector>
  </HeadingPairs>
  <TitlesOfParts>
    <vt:vector size="25" baseType="lpstr">
      <vt:lpstr>Carátula</vt:lpstr>
      <vt:lpstr>Índice</vt:lpstr>
      <vt:lpstr>1_Acceso-Credito</vt:lpstr>
      <vt:lpstr>2_Tipo-Entidad </vt:lpstr>
      <vt:lpstr>3_Entidad</vt:lpstr>
      <vt:lpstr>4_Zona-Dpto</vt:lpstr>
      <vt:lpstr>5_Actividad-Deudor </vt:lpstr>
      <vt:lpstr>6_Rango-Saldo</vt:lpstr>
      <vt:lpstr>7_Cat. Operación</vt:lpstr>
      <vt:lpstr>5_Rango de Saldo (2)</vt:lpstr>
      <vt:lpstr>'1_Acceso-Credito'!Área_de_impresión</vt:lpstr>
      <vt:lpstr>'2_Tipo-Entidad '!Área_de_impresión</vt:lpstr>
      <vt:lpstr>'3_Entidad'!Área_de_impresión</vt:lpstr>
      <vt:lpstr>'4_Zona-Dpto'!Área_de_impresión</vt:lpstr>
      <vt:lpstr>'5_Actividad-Deudor '!Área_de_impresión</vt:lpstr>
      <vt:lpstr>'5_Rango de Saldo (2)'!Área_de_impresión</vt:lpstr>
      <vt:lpstr>'6_Rango-Saldo'!Área_de_impresión</vt:lpstr>
      <vt:lpstr>'7_Cat. Operación'!Área_de_impresión</vt:lpstr>
      <vt:lpstr>Carátula!Área_de_impresión</vt:lpstr>
      <vt:lpstr>Índice!Área_de_impresión</vt:lpstr>
      <vt:lpstr>'3_Entidad'!Títulos_a_imprimir</vt:lpstr>
      <vt:lpstr>'4_Zona-Dpto'!Títulos_a_imprimir</vt:lpstr>
      <vt:lpstr>'5_Actividad-Deudor '!Títulos_a_imprimir</vt:lpstr>
      <vt:lpstr>Carátula!Títulos_a_imprimir</vt:lpstr>
      <vt:lpstr>Índice!Títulos_a_imprimir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2023-01-09T12:39:52Z</dcterms:created>
  <dcterms:modified xsi:type="dcterms:W3CDTF">2025-04-11T11:40:02Z</dcterms:modified>
  <cp:category/>
  <cp:contentStatus/>
</cp:coreProperties>
</file>