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ADISTICA\MENSUAL\2010\"/>
    </mc:Choice>
  </mc:AlternateContent>
  <bookViews>
    <workbookView xWindow="0" yWindow="0" windowWidth="28800" windowHeight="12045"/>
  </bookViews>
  <sheets>
    <sheet name="4.00.Ingresos x Seccion" sheetId="1" r:id="rId1"/>
  </sheets>
  <externalReferences>
    <externalReference r:id="rId2"/>
  </externalReferences>
  <definedNames>
    <definedName name="_xlnm._FilterDatabase" localSheetId="0" hidden="1">'4.00.Ingresos x Seccion'!#REF!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630" i="1" l="1"/>
  <c r="D1630" i="1" s="1"/>
  <c r="B1630" i="1"/>
  <c r="C1629" i="1"/>
  <c r="D1629" i="1" s="1"/>
  <c r="B1629" i="1"/>
  <c r="C1628" i="1"/>
  <c r="D1628" i="1" s="1"/>
  <c r="B1628" i="1"/>
  <c r="C1627" i="1"/>
  <c r="D1627" i="1" s="1"/>
  <c r="B1627" i="1"/>
  <c r="C1626" i="1"/>
  <c r="D1626" i="1" s="1"/>
  <c r="B1626" i="1"/>
  <c r="C1625" i="1"/>
  <c r="D1625" i="1" s="1"/>
  <c r="B1625" i="1"/>
  <c r="C1624" i="1"/>
  <c r="D1624" i="1" s="1"/>
  <c r="B1624" i="1"/>
  <c r="D1623" i="1"/>
  <c r="C1623" i="1"/>
  <c r="B1623" i="1"/>
  <c r="C1622" i="1"/>
  <c r="D1622" i="1" s="1"/>
  <c r="B1622" i="1"/>
  <c r="C1621" i="1"/>
  <c r="D1621" i="1" s="1"/>
  <c r="B1621" i="1"/>
  <c r="C1620" i="1"/>
  <c r="D1620" i="1" s="1"/>
  <c r="B1620" i="1"/>
  <c r="D1619" i="1"/>
  <c r="C1619" i="1"/>
  <c r="B1619" i="1"/>
  <c r="C1618" i="1"/>
  <c r="D1618" i="1" s="1"/>
  <c r="B1618" i="1"/>
  <c r="C1617" i="1"/>
  <c r="D1617" i="1" s="1"/>
  <c r="B1617" i="1"/>
  <c r="C1616" i="1"/>
  <c r="D1616" i="1" s="1"/>
  <c r="B1616" i="1"/>
  <c r="D1615" i="1"/>
  <c r="C1615" i="1"/>
  <c r="B1615" i="1"/>
  <c r="C1614" i="1"/>
  <c r="D1614" i="1" s="1"/>
  <c r="B1614" i="1"/>
  <c r="C1613" i="1"/>
  <c r="D1613" i="1" s="1"/>
  <c r="B1613" i="1"/>
  <c r="C1612" i="1"/>
  <c r="D1612" i="1" s="1"/>
  <c r="B1612" i="1"/>
  <c r="C1611" i="1"/>
  <c r="D1611" i="1" s="1"/>
  <c r="B1611" i="1"/>
  <c r="C1610" i="1"/>
  <c r="D1610" i="1" s="1"/>
  <c r="B1610" i="1"/>
  <c r="C1609" i="1"/>
  <c r="D1609" i="1" s="1"/>
  <c r="B1609" i="1"/>
  <c r="C1608" i="1"/>
  <c r="D1608" i="1" s="1"/>
  <c r="B1608" i="1"/>
  <c r="D1607" i="1"/>
  <c r="C1607" i="1"/>
  <c r="B1607" i="1"/>
  <c r="C1606" i="1"/>
  <c r="D1606" i="1" s="1"/>
  <c r="B1606" i="1"/>
  <c r="C1605" i="1"/>
  <c r="D1605" i="1" s="1"/>
  <c r="B1605" i="1"/>
  <c r="C1604" i="1"/>
  <c r="D1604" i="1" s="1"/>
  <c r="B1604" i="1"/>
  <c r="D1603" i="1"/>
  <c r="C1603" i="1"/>
  <c r="B1603" i="1"/>
  <c r="C1602" i="1"/>
  <c r="D1602" i="1" s="1"/>
  <c r="B1602" i="1"/>
  <c r="C1601" i="1"/>
  <c r="D1601" i="1" s="1"/>
  <c r="B1601" i="1"/>
  <c r="C1600" i="1"/>
  <c r="D1600" i="1" s="1"/>
  <c r="B1600" i="1"/>
  <c r="D1599" i="1"/>
  <c r="C1599" i="1"/>
  <c r="B1599" i="1"/>
  <c r="C1598" i="1"/>
  <c r="B1598" i="1"/>
  <c r="C1593" i="1"/>
  <c r="D1593" i="1" s="1"/>
  <c r="B1593" i="1"/>
  <c r="C1592" i="1"/>
  <c r="D1592" i="1" s="1"/>
  <c r="B1592" i="1"/>
  <c r="C1591" i="1"/>
  <c r="D1591" i="1" s="1"/>
  <c r="B1591" i="1"/>
  <c r="C1590" i="1"/>
  <c r="D1590" i="1" s="1"/>
  <c r="B1590" i="1"/>
  <c r="D1589" i="1"/>
  <c r="C1589" i="1"/>
  <c r="B1589" i="1"/>
  <c r="C1588" i="1"/>
  <c r="D1588" i="1" s="1"/>
  <c r="B1588" i="1"/>
  <c r="C1587" i="1"/>
  <c r="D1587" i="1" s="1"/>
  <c r="B1587" i="1"/>
  <c r="C1586" i="1"/>
  <c r="D1586" i="1" s="1"/>
  <c r="B1586" i="1"/>
  <c r="D1585" i="1"/>
  <c r="C1585" i="1"/>
  <c r="B1585" i="1"/>
  <c r="C1584" i="1"/>
  <c r="D1584" i="1" s="1"/>
  <c r="B1584" i="1"/>
  <c r="C1583" i="1"/>
  <c r="D1583" i="1" s="1"/>
  <c r="B1583" i="1"/>
  <c r="C1582" i="1"/>
  <c r="D1582" i="1" s="1"/>
  <c r="B1582" i="1"/>
  <c r="D1581" i="1"/>
  <c r="C1581" i="1"/>
  <c r="B1581" i="1"/>
  <c r="C1580" i="1"/>
  <c r="D1580" i="1" s="1"/>
  <c r="B1580" i="1"/>
  <c r="C1579" i="1"/>
  <c r="D1579" i="1" s="1"/>
  <c r="B1579" i="1"/>
  <c r="C1578" i="1"/>
  <c r="D1578" i="1" s="1"/>
  <c r="B1578" i="1"/>
  <c r="C1577" i="1"/>
  <c r="D1577" i="1" s="1"/>
  <c r="B1577" i="1"/>
  <c r="C1576" i="1"/>
  <c r="D1576" i="1" s="1"/>
  <c r="B1576" i="1"/>
  <c r="C1575" i="1"/>
  <c r="D1575" i="1" s="1"/>
  <c r="B1575" i="1"/>
  <c r="C1574" i="1"/>
  <c r="D1574" i="1" s="1"/>
  <c r="B1574" i="1"/>
  <c r="D1573" i="1"/>
  <c r="C1573" i="1"/>
  <c r="B1573" i="1"/>
  <c r="C1572" i="1"/>
  <c r="D1572" i="1" s="1"/>
  <c r="B1572" i="1"/>
  <c r="C1571" i="1"/>
  <c r="D1571" i="1" s="1"/>
  <c r="B1571" i="1"/>
  <c r="C1570" i="1"/>
  <c r="D1570" i="1" s="1"/>
  <c r="B1570" i="1"/>
  <c r="D1569" i="1"/>
  <c r="C1569" i="1"/>
  <c r="B1569" i="1"/>
  <c r="C1568" i="1"/>
  <c r="D1568" i="1" s="1"/>
  <c r="B1568" i="1"/>
  <c r="C1567" i="1"/>
  <c r="D1567" i="1" s="1"/>
  <c r="B1567" i="1"/>
  <c r="C1566" i="1"/>
  <c r="D1566" i="1" s="1"/>
  <c r="B1566" i="1"/>
  <c r="D1565" i="1"/>
  <c r="C1565" i="1"/>
  <c r="B1565" i="1"/>
  <c r="C1564" i="1"/>
  <c r="D1564" i="1" s="1"/>
  <c r="B1564" i="1"/>
  <c r="C1563" i="1"/>
  <c r="D1563" i="1" s="1"/>
  <c r="B1563" i="1"/>
  <c r="D1562" i="1"/>
  <c r="C1562" i="1"/>
  <c r="B1562" i="1"/>
  <c r="D1561" i="1"/>
  <c r="D1594" i="1" s="1"/>
  <c r="C1561" i="1"/>
  <c r="B1561" i="1"/>
  <c r="D1556" i="1"/>
  <c r="C1556" i="1"/>
  <c r="B1556" i="1"/>
  <c r="D1555" i="1"/>
  <c r="C1555" i="1"/>
  <c r="E1555" i="1" s="1"/>
  <c r="B1555" i="1"/>
  <c r="D1554" i="1"/>
  <c r="C1554" i="1"/>
  <c r="E1554" i="1" s="1"/>
  <c r="B1554" i="1"/>
  <c r="D1553" i="1"/>
  <c r="C1553" i="1"/>
  <c r="E1553" i="1" s="1"/>
  <c r="B1553" i="1"/>
  <c r="D1552" i="1"/>
  <c r="C1552" i="1"/>
  <c r="B1552" i="1"/>
  <c r="D1551" i="1"/>
  <c r="C1551" i="1"/>
  <c r="E1551" i="1" s="1"/>
  <c r="B1551" i="1"/>
  <c r="D1550" i="1"/>
  <c r="C1550" i="1"/>
  <c r="E1550" i="1" s="1"/>
  <c r="B1550" i="1"/>
  <c r="D1549" i="1"/>
  <c r="C1549" i="1"/>
  <c r="E1549" i="1" s="1"/>
  <c r="B1549" i="1"/>
  <c r="D1548" i="1"/>
  <c r="C1548" i="1"/>
  <c r="B1548" i="1"/>
  <c r="D1547" i="1"/>
  <c r="C1547" i="1"/>
  <c r="E1547" i="1" s="1"/>
  <c r="B1547" i="1"/>
  <c r="D1546" i="1"/>
  <c r="C1546" i="1"/>
  <c r="E1546" i="1" s="1"/>
  <c r="B1546" i="1"/>
  <c r="D1545" i="1"/>
  <c r="C1545" i="1"/>
  <c r="E1545" i="1" s="1"/>
  <c r="B1545" i="1"/>
  <c r="D1544" i="1"/>
  <c r="C1544" i="1"/>
  <c r="B1544" i="1"/>
  <c r="D1543" i="1"/>
  <c r="C1543" i="1"/>
  <c r="E1543" i="1" s="1"/>
  <c r="B1543" i="1"/>
  <c r="D1542" i="1"/>
  <c r="C1542" i="1"/>
  <c r="E1542" i="1" s="1"/>
  <c r="B1542" i="1"/>
  <c r="D1541" i="1"/>
  <c r="C1541" i="1"/>
  <c r="E1541" i="1" s="1"/>
  <c r="B1541" i="1"/>
  <c r="D1540" i="1"/>
  <c r="C1540" i="1"/>
  <c r="B1540" i="1"/>
  <c r="D1539" i="1"/>
  <c r="C1539" i="1"/>
  <c r="E1539" i="1" s="1"/>
  <c r="B1539" i="1"/>
  <c r="D1538" i="1"/>
  <c r="C1538" i="1"/>
  <c r="E1538" i="1" s="1"/>
  <c r="B1538" i="1"/>
  <c r="D1537" i="1"/>
  <c r="C1537" i="1"/>
  <c r="E1537" i="1" s="1"/>
  <c r="B1537" i="1"/>
  <c r="D1536" i="1"/>
  <c r="C1536" i="1"/>
  <c r="B1536" i="1"/>
  <c r="D1535" i="1"/>
  <c r="C1535" i="1"/>
  <c r="E1535" i="1" s="1"/>
  <c r="B1535" i="1"/>
  <c r="D1534" i="1"/>
  <c r="C1534" i="1"/>
  <c r="E1534" i="1" s="1"/>
  <c r="B1534" i="1"/>
  <c r="D1533" i="1"/>
  <c r="C1533" i="1"/>
  <c r="E1533" i="1" s="1"/>
  <c r="B1533" i="1"/>
  <c r="D1532" i="1"/>
  <c r="C1532" i="1"/>
  <c r="B1532" i="1"/>
  <c r="D1531" i="1"/>
  <c r="C1531" i="1"/>
  <c r="E1531" i="1" s="1"/>
  <c r="B1531" i="1"/>
  <c r="D1530" i="1"/>
  <c r="C1530" i="1"/>
  <c r="E1530" i="1" s="1"/>
  <c r="B1530" i="1"/>
  <c r="D1529" i="1"/>
  <c r="C1529" i="1"/>
  <c r="E1529" i="1" s="1"/>
  <c r="B1529" i="1"/>
  <c r="D1528" i="1"/>
  <c r="C1528" i="1"/>
  <c r="B1528" i="1"/>
  <c r="D1527" i="1"/>
  <c r="C1527" i="1"/>
  <c r="E1527" i="1" s="1"/>
  <c r="B1527" i="1"/>
  <c r="D1526" i="1"/>
  <c r="C1526" i="1"/>
  <c r="E1526" i="1" s="1"/>
  <c r="B1526" i="1"/>
  <c r="D1525" i="1"/>
  <c r="C1525" i="1"/>
  <c r="E1525" i="1" s="1"/>
  <c r="B1525" i="1"/>
  <c r="D1524" i="1"/>
  <c r="D1557" i="1" s="1"/>
  <c r="C1524" i="1"/>
  <c r="B1524" i="1"/>
  <c r="C1519" i="1"/>
  <c r="D1519" i="1" s="1"/>
  <c r="B1519" i="1"/>
  <c r="C1518" i="1"/>
  <c r="D1518" i="1" s="1"/>
  <c r="B1518" i="1"/>
  <c r="C1517" i="1"/>
  <c r="D1517" i="1" s="1"/>
  <c r="B1517" i="1"/>
  <c r="D1516" i="1"/>
  <c r="C1516" i="1"/>
  <c r="B1516" i="1"/>
  <c r="D1515" i="1"/>
  <c r="C1515" i="1"/>
  <c r="B1515" i="1"/>
  <c r="C1514" i="1"/>
  <c r="D1514" i="1" s="1"/>
  <c r="B1514" i="1"/>
  <c r="C1513" i="1"/>
  <c r="D1513" i="1" s="1"/>
  <c r="B1513" i="1"/>
  <c r="D1512" i="1"/>
  <c r="C1512" i="1"/>
  <c r="B1512" i="1"/>
  <c r="C1511" i="1"/>
  <c r="D1511" i="1" s="1"/>
  <c r="B1511" i="1"/>
  <c r="C1510" i="1"/>
  <c r="D1510" i="1" s="1"/>
  <c r="B1510" i="1"/>
  <c r="C1509" i="1"/>
  <c r="D1509" i="1" s="1"/>
  <c r="B1509" i="1"/>
  <c r="D1508" i="1"/>
  <c r="C1508" i="1"/>
  <c r="B1508" i="1"/>
  <c r="D1507" i="1"/>
  <c r="C1507" i="1"/>
  <c r="B1507" i="1"/>
  <c r="C1506" i="1"/>
  <c r="D1506" i="1" s="1"/>
  <c r="B1506" i="1"/>
  <c r="C1505" i="1"/>
  <c r="D1505" i="1" s="1"/>
  <c r="B1505" i="1"/>
  <c r="D1504" i="1"/>
  <c r="C1504" i="1"/>
  <c r="B1504" i="1"/>
  <c r="C1503" i="1"/>
  <c r="D1503" i="1" s="1"/>
  <c r="B1503" i="1"/>
  <c r="C1502" i="1"/>
  <c r="D1502" i="1" s="1"/>
  <c r="B1502" i="1"/>
  <c r="C1501" i="1"/>
  <c r="D1501" i="1" s="1"/>
  <c r="B1501" i="1"/>
  <c r="D1500" i="1"/>
  <c r="C1500" i="1"/>
  <c r="B1500" i="1"/>
  <c r="D1499" i="1"/>
  <c r="C1499" i="1"/>
  <c r="B1499" i="1"/>
  <c r="C1498" i="1"/>
  <c r="D1498" i="1" s="1"/>
  <c r="B1498" i="1"/>
  <c r="C1497" i="1"/>
  <c r="D1497" i="1" s="1"/>
  <c r="B1497" i="1"/>
  <c r="D1496" i="1"/>
  <c r="C1496" i="1"/>
  <c r="B1496" i="1"/>
  <c r="C1495" i="1"/>
  <c r="D1495" i="1" s="1"/>
  <c r="B1495" i="1"/>
  <c r="C1494" i="1"/>
  <c r="D1494" i="1" s="1"/>
  <c r="B1494" i="1"/>
  <c r="C1493" i="1"/>
  <c r="D1493" i="1" s="1"/>
  <c r="B1493" i="1"/>
  <c r="D1492" i="1"/>
  <c r="C1492" i="1"/>
  <c r="B1492" i="1"/>
  <c r="D1491" i="1"/>
  <c r="C1491" i="1"/>
  <c r="B1491" i="1"/>
  <c r="C1490" i="1"/>
  <c r="D1490" i="1" s="1"/>
  <c r="B1490" i="1"/>
  <c r="C1489" i="1"/>
  <c r="D1489" i="1" s="1"/>
  <c r="B1489" i="1"/>
  <c r="D1488" i="1"/>
  <c r="C1488" i="1"/>
  <c r="B1488" i="1"/>
  <c r="C1487" i="1"/>
  <c r="B1487" i="1"/>
  <c r="D1482" i="1"/>
  <c r="C1482" i="1"/>
  <c r="B1482" i="1"/>
  <c r="D1481" i="1"/>
  <c r="C1481" i="1"/>
  <c r="B1481" i="1"/>
  <c r="C1480" i="1"/>
  <c r="D1480" i="1" s="1"/>
  <c r="B1480" i="1"/>
  <c r="C1479" i="1"/>
  <c r="D1479" i="1" s="1"/>
  <c r="B1479" i="1"/>
  <c r="D1478" i="1"/>
  <c r="C1478" i="1"/>
  <c r="B1478" i="1"/>
  <c r="C1477" i="1"/>
  <c r="D1477" i="1" s="1"/>
  <c r="B1477" i="1"/>
  <c r="C1476" i="1"/>
  <c r="D1476" i="1" s="1"/>
  <c r="B1476" i="1"/>
  <c r="C1475" i="1"/>
  <c r="D1475" i="1" s="1"/>
  <c r="B1475" i="1"/>
  <c r="D1474" i="1"/>
  <c r="C1474" i="1"/>
  <c r="B1474" i="1"/>
  <c r="D1473" i="1"/>
  <c r="C1473" i="1"/>
  <c r="B1473" i="1"/>
  <c r="C1472" i="1"/>
  <c r="D1472" i="1" s="1"/>
  <c r="B1472" i="1"/>
  <c r="C1471" i="1"/>
  <c r="D1471" i="1" s="1"/>
  <c r="B1471" i="1"/>
  <c r="D1470" i="1"/>
  <c r="C1470" i="1"/>
  <c r="B1470" i="1"/>
  <c r="C1469" i="1"/>
  <c r="D1469" i="1" s="1"/>
  <c r="B1469" i="1"/>
  <c r="C1468" i="1"/>
  <c r="D1468" i="1" s="1"/>
  <c r="B1468" i="1"/>
  <c r="C1467" i="1"/>
  <c r="D1467" i="1" s="1"/>
  <c r="B1467" i="1"/>
  <c r="D1466" i="1"/>
  <c r="C1466" i="1"/>
  <c r="B1466" i="1"/>
  <c r="D1465" i="1"/>
  <c r="C1465" i="1"/>
  <c r="B1465" i="1"/>
  <c r="C1464" i="1"/>
  <c r="D1464" i="1" s="1"/>
  <c r="B1464" i="1"/>
  <c r="C1463" i="1"/>
  <c r="D1463" i="1" s="1"/>
  <c r="B1463" i="1"/>
  <c r="D1462" i="1"/>
  <c r="C1462" i="1"/>
  <c r="B1462" i="1"/>
  <c r="C1461" i="1"/>
  <c r="D1461" i="1" s="1"/>
  <c r="B1461" i="1"/>
  <c r="C1460" i="1"/>
  <c r="D1460" i="1" s="1"/>
  <c r="B1460" i="1"/>
  <c r="C1459" i="1"/>
  <c r="D1459" i="1" s="1"/>
  <c r="B1459" i="1"/>
  <c r="D1458" i="1"/>
  <c r="C1458" i="1"/>
  <c r="B1458" i="1"/>
  <c r="D1457" i="1"/>
  <c r="C1457" i="1"/>
  <c r="B1457" i="1"/>
  <c r="C1456" i="1"/>
  <c r="D1456" i="1" s="1"/>
  <c r="B1456" i="1"/>
  <c r="C1455" i="1"/>
  <c r="D1455" i="1" s="1"/>
  <c r="B1455" i="1"/>
  <c r="D1454" i="1"/>
  <c r="C1454" i="1"/>
  <c r="B1454" i="1"/>
  <c r="C1453" i="1"/>
  <c r="D1453" i="1" s="1"/>
  <c r="B1453" i="1"/>
  <c r="C1452" i="1"/>
  <c r="D1452" i="1" s="1"/>
  <c r="B1452" i="1"/>
  <c r="C1451" i="1"/>
  <c r="D1451" i="1" s="1"/>
  <c r="B1451" i="1"/>
  <c r="D1450" i="1"/>
  <c r="C1450" i="1"/>
  <c r="B1450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P1414" i="1"/>
  <c r="O1414" i="1"/>
  <c r="N1414" i="1"/>
  <c r="M1414" i="1"/>
  <c r="M1446" i="1" s="1"/>
  <c r="L1414" i="1"/>
  <c r="K1414" i="1"/>
  <c r="J1414" i="1"/>
  <c r="I1414" i="1"/>
  <c r="I1446" i="1" s="1"/>
  <c r="H1414" i="1"/>
  <c r="G1414" i="1"/>
  <c r="F1414" i="1"/>
  <c r="E1414" i="1"/>
  <c r="E1446" i="1" s="1"/>
  <c r="D1414" i="1"/>
  <c r="C1414" i="1"/>
  <c r="B1414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Q1408" i="1" s="1"/>
  <c r="B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Q1404" i="1" s="1"/>
  <c r="B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Q1400" i="1" s="1"/>
  <c r="B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Q1368" i="1" s="1"/>
  <c r="B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Q1364" i="1" s="1"/>
  <c r="B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Q1360" i="1" s="1"/>
  <c r="B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Q1356" i="1" s="1"/>
  <c r="B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Q1352" i="1" s="1"/>
  <c r="B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Q1348" i="1" s="1"/>
  <c r="B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Q1344" i="1" s="1"/>
  <c r="B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P1341" i="1"/>
  <c r="P1372" i="1" s="1"/>
  <c r="O1341" i="1"/>
  <c r="N1341" i="1"/>
  <c r="M1341" i="1"/>
  <c r="L1341" i="1"/>
  <c r="L1372" i="1" s="1"/>
  <c r="K1341" i="1"/>
  <c r="J1341" i="1"/>
  <c r="I1341" i="1"/>
  <c r="H1341" i="1"/>
  <c r="H1372" i="1" s="1"/>
  <c r="G1341" i="1"/>
  <c r="F1341" i="1"/>
  <c r="E1341" i="1"/>
  <c r="D1341" i="1"/>
  <c r="D1372" i="1" s="1"/>
  <c r="C1341" i="1"/>
  <c r="B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Q1340" i="1" s="1"/>
  <c r="B1340" i="1"/>
  <c r="P1339" i="1"/>
  <c r="O1339" i="1"/>
  <c r="N1339" i="1"/>
  <c r="N1372" i="1" s="1"/>
  <c r="M1339" i="1"/>
  <c r="L1339" i="1"/>
  <c r="K1339" i="1"/>
  <c r="J1339" i="1"/>
  <c r="J1372" i="1" s="1"/>
  <c r="I1339" i="1"/>
  <c r="H1339" i="1"/>
  <c r="G1339" i="1"/>
  <c r="F1339" i="1"/>
  <c r="F1372" i="1" s="1"/>
  <c r="E1339" i="1"/>
  <c r="D1339" i="1"/>
  <c r="C1339" i="1"/>
  <c r="B1339" i="1"/>
  <c r="D1334" i="1"/>
  <c r="C1334" i="1"/>
  <c r="E1334" i="1" s="1"/>
  <c r="B1334" i="1"/>
  <c r="D1333" i="1"/>
  <c r="C1333" i="1"/>
  <c r="E1333" i="1" s="1"/>
  <c r="B1333" i="1"/>
  <c r="D1332" i="1"/>
  <c r="C1332" i="1"/>
  <c r="E1332" i="1" s="1"/>
  <c r="B1332" i="1"/>
  <c r="D1331" i="1"/>
  <c r="C1331" i="1"/>
  <c r="E1331" i="1" s="1"/>
  <c r="B1331" i="1"/>
  <c r="D1330" i="1"/>
  <c r="C1330" i="1"/>
  <c r="E1330" i="1" s="1"/>
  <c r="B1330" i="1"/>
  <c r="D1329" i="1"/>
  <c r="C1329" i="1"/>
  <c r="E1329" i="1" s="1"/>
  <c r="B1329" i="1"/>
  <c r="D1328" i="1"/>
  <c r="C1328" i="1"/>
  <c r="E1328" i="1" s="1"/>
  <c r="B1328" i="1"/>
  <c r="D1327" i="1"/>
  <c r="C1327" i="1"/>
  <c r="E1327" i="1" s="1"/>
  <c r="B1327" i="1"/>
  <c r="D1326" i="1"/>
  <c r="C1326" i="1"/>
  <c r="B1326" i="1"/>
  <c r="D1325" i="1"/>
  <c r="C1325" i="1"/>
  <c r="E1325" i="1" s="1"/>
  <c r="B1325" i="1"/>
  <c r="D1324" i="1"/>
  <c r="C1324" i="1"/>
  <c r="E1324" i="1" s="1"/>
  <c r="B1324" i="1"/>
  <c r="D1323" i="1"/>
  <c r="C1323" i="1"/>
  <c r="E1323" i="1" s="1"/>
  <c r="B1323" i="1"/>
  <c r="D1322" i="1"/>
  <c r="C1322" i="1"/>
  <c r="B1322" i="1"/>
  <c r="D1321" i="1"/>
  <c r="C1321" i="1"/>
  <c r="E1321" i="1" s="1"/>
  <c r="B1321" i="1"/>
  <c r="D1320" i="1"/>
  <c r="C1320" i="1"/>
  <c r="E1320" i="1" s="1"/>
  <c r="B1320" i="1"/>
  <c r="D1319" i="1"/>
  <c r="C1319" i="1"/>
  <c r="E1319" i="1" s="1"/>
  <c r="B1319" i="1"/>
  <c r="D1318" i="1"/>
  <c r="C1318" i="1"/>
  <c r="B1318" i="1"/>
  <c r="D1317" i="1"/>
  <c r="C1317" i="1"/>
  <c r="E1317" i="1" s="1"/>
  <c r="B1317" i="1"/>
  <c r="D1316" i="1"/>
  <c r="C1316" i="1"/>
  <c r="E1316" i="1" s="1"/>
  <c r="B1316" i="1"/>
  <c r="D1315" i="1"/>
  <c r="C1315" i="1"/>
  <c r="E1315" i="1" s="1"/>
  <c r="B1315" i="1"/>
  <c r="D1314" i="1"/>
  <c r="C1314" i="1"/>
  <c r="B1314" i="1"/>
  <c r="D1313" i="1"/>
  <c r="C1313" i="1"/>
  <c r="E1313" i="1" s="1"/>
  <c r="B1313" i="1"/>
  <c r="D1312" i="1"/>
  <c r="C1312" i="1"/>
  <c r="E1312" i="1" s="1"/>
  <c r="B1312" i="1"/>
  <c r="D1311" i="1"/>
  <c r="C1311" i="1"/>
  <c r="E1311" i="1" s="1"/>
  <c r="B1311" i="1"/>
  <c r="D1310" i="1"/>
  <c r="C1310" i="1"/>
  <c r="B1310" i="1"/>
  <c r="D1309" i="1"/>
  <c r="C1309" i="1"/>
  <c r="E1309" i="1" s="1"/>
  <c r="B1309" i="1"/>
  <c r="D1308" i="1"/>
  <c r="C1308" i="1"/>
  <c r="E1308" i="1" s="1"/>
  <c r="B1308" i="1"/>
  <c r="D1307" i="1"/>
  <c r="C1307" i="1"/>
  <c r="E1307" i="1" s="1"/>
  <c r="B1307" i="1"/>
  <c r="D1306" i="1"/>
  <c r="C1306" i="1"/>
  <c r="B1306" i="1"/>
  <c r="D1305" i="1"/>
  <c r="C1305" i="1"/>
  <c r="B1305" i="1"/>
  <c r="D1304" i="1"/>
  <c r="C1304" i="1"/>
  <c r="E1304" i="1" s="1"/>
  <c r="B1304" i="1"/>
  <c r="D1303" i="1"/>
  <c r="C1303" i="1"/>
  <c r="E1303" i="1" s="1"/>
  <c r="B1303" i="1"/>
  <c r="D1302" i="1"/>
  <c r="D1335" i="1" s="1"/>
  <c r="C1302" i="1"/>
  <c r="B1302" i="1"/>
  <c r="J1298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Q1296" i="1" s="1"/>
  <c r="D1296" i="1"/>
  <c r="C1296" i="1"/>
  <c r="B1296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Q1292" i="1" s="1"/>
  <c r="D1292" i="1"/>
  <c r="C1292" i="1"/>
  <c r="B1292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Q1288" i="1" s="1"/>
  <c r="D1288" i="1"/>
  <c r="C1288" i="1"/>
  <c r="B1288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Q1284" i="1" s="1"/>
  <c r="D1284" i="1"/>
  <c r="C1284" i="1"/>
  <c r="B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Q1280" i="1" s="1"/>
  <c r="D1280" i="1"/>
  <c r="C1280" i="1"/>
  <c r="B1280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Q1276" i="1" s="1"/>
  <c r="D1276" i="1"/>
  <c r="C1276" i="1"/>
  <c r="B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Q1272" i="1" s="1"/>
  <c r="D1272" i="1"/>
  <c r="C1272" i="1"/>
  <c r="B1272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Q1268" i="1" s="1"/>
  <c r="D1268" i="1"/>
  <c r="C1268" i="1"/>
  <c r="B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P1265" i="1"/>
  <c r="O1265" i="1"/>
  <c r="N1265" i="1"/>
  <c r="N1298" i="1" s="1"/>
  <c r="M1265" i="1"/>
  <c r="L1265" i="1"/>
  <c r="K1265" i="1"/>
  <c r="J1265" i="1"/>
  <c r="I1265" i="1"/>
  <c r="H1265" i="1"/>
  <c r="G1265" i="1"/>
  <c r="F1265" i="1"/>
  <c r="F1298" i="1" s="1"/>
  <c r="E1265" i="1"/>
  <c r="D1265" i="1"/>
  <c r="C1265" i="1"/>
  <c r="B1265" i="1"/>
  <c r="C1260" i="1"/>
  <c r="D1260" i="1" s="1"/>
  <c r="B1260" i="1"/>
  <c r="C1259" i="1"/>
  <c r="D1259" i="1" s="1"/>
  <c r="B1259" i="1"/>
  <c r="D1258" i="1"/>
  <c r="C1258" i="1"/>
  <c r="B1258" i="1"/>
  <c r="C1257" i="1"/>
  <c r="D1257" i="1" s="1"/>
  <c r="B1257" i="1"/>
  <c r="C1256" i="1"/>
  <c r="D1256" i="1" s="1"/>
  <c r="B1256" i="1"/>
  <c r="C1255" i="1"/>
  <c r="D1255" i="1" s="1"/>
  <c r="B1255" i="1"/>
  <c r="D1254" i="1"/>
  <c r="C1254" i="1"/>
  <c r="B1254" i="1"/>
  <c r="C1253" i="1"/>
  <c r="D1253" i="1" s="1"/>
  <c r="B1253" i="1"/>
  <c r="C1252" i="1"/>
  <c r="D1252" i="1" s="1"/>
  <c r="B1252" i="1"/>
  <c r="C1251" i="1"/>
  <c r="D1251" i="1" s="1"/>
  <c r="B1251" i="1"/>
  <c r="C1250" i="1"/>
  <c r="D1250" i="1" s="1"/>
  <c r="B1250" i="1"/>
  <c r="C1249" i="1"/>
  <c r="D1249" i="1" s="1"/>
  <c r="B1249" i="1"/>
  <c r="C1248" i="1"/>
  <c r="D1248" i="1" s="1"/>
  <c r="B1248" i="1"/>
  <c r="C1247" i="1"/>
  <c r="D1247" i="1" s="1"/>
  <c r="B1247" i="1"/>
  <c r="D1246" i="1"/>
  <c r="C1246" i="1"/>
  <c r="B1246" i="1"/>
  <c r="C1245" i="1"/>
  <c r="D1245" i="1" s="1"/>
  <c r="B1245" i="1"/>
  <c r="C1244" i="1"/>
  <c r="D1244" i="1" s="1"/>
  <c r="B1244" i="1"/>
  <c r="C1243" i="1"/>
  <c r="D1243" i="1" s="1"/>
  <c r="B1243" i="1"/>
  <c r="D1242" i="1"/>
  <c r="C1242" i="1"/>
  <c r="B1242" i="1"/>
  <c r="C1241" i="1"/>
  <c r="D1241" i="1" s="1"/>
  <c r="B1241" i="1"/>
  <c r="C1240" i="1"/>
  <c r="D1240" i="1" s="1"/>
  <c r="B1240" i="1"/>
  <c r="C1239" i="1"/>
  <c r="D1239" i="1" s="1"/>
  <c r="B1239" i="1"/>
  <c r="D1238" i="1"/>
  <c r="C1238" i="1"/>
  <c r="B1238" i="1"/>
  <c r="C1237" i="1"/>
  <c r="D1237" i="1" s="1"/>
  <c r="B1237" i="1"/>
  <c r="C1236" i="1"/>
  <c r="D1236" i="1" s="1"/>
  <c r="B1236" i="1"/>
  <c r="C1235" i="1"/>
  <c r="D1235" i="1" s="1"/>
  <c r="B1235" i="1"/>
  <c r="C1234" i="1"/>
  <c r="D1234" i="1" s="1"/>
  <c r="B1234" i="1"/>
  <c r="C1233" i="1"/>
  <c r="D1233" i="1" s="1"/>
  <c r="B1233" i="1"/>
  <c r="C1232" i="1"/>
  <c r="D1232" i="1" s="1"/>
  <c r="B1232" i="1"/>
  <c r="C1231" i="1"/>
  <c r="D1231" i="1" s="1"/>
  <c r="B1231" i="1"/>
  <c r="D1230" i="1"/>
  <c r="C1230" i="1"/>
  <c r="B1230" i="1"/>
  <c r="C1229" i="1"/>
  <c r="D1229" i="1" s="1"/>
  <c r="B1229" i="1"/>
  <c r="C1228" i="1"/>
  <c r="B1228" i="1"/>
  <c r="F1223" i="1"/>
  <c r="E1223" i="1"/>
  <c r="D1223" i="1"/>
  <c r="C1223" i="1"/>
  <c r="B1223" i="1"/>
  <c r="F1222" i="1"/>
  <c r="E1222" i="1"/>
  <c r="D1222" i="1"/>
  <c r="C1222" i="1"/>
  <c r="B1222" i="1"/>
  <c r="F1221" i="1"/>
  <c r="E1221" i="1"/>
  <c r="D1221" i="1"/>
  <c r="C1221" i="1"/>
  <c r="B1221" i="1"/>
  <c r="F1220" i="1"/>
  <c r="E1220" i="1"/>
  <c r="D1220" i="1"/>
  <c r="C1220" i="1"/>
  <c r="B1220" i="1"/>
  <c r="F1219" i="1"/>
  <c r="E1219" i="1"/>
  <c r="D1219" i="1"/>
  <c r="C1219" i="1"/>
  <c r="B1219" i="1"/>
  <c r="F1218" i="1"/>
  <c r="E1218" i="1"/>
  <c r="D1218" i="1"/>
  <c r="C1218" i="1"/>
  <c r="B1218" i="1"/>
  <c r="F1217" i="1"/>
  <c r="E1217" i="1"/>
  <c r="D1217" i="1"/>
  <c r="C1217" i="1"/>
  <c r="B1217" i="1"/>
  <c r="F1216" i="1"/>
  <c r="E1216" i="1"/>
  <c r="D1216" i="1"/>
  <c r="C1216" i="1"/>
  <c r="B1216" i="1"/>
  <c r="F1215" i="1"/>
  <c r="E1215" i="1"/>
  <c r="D1215" i="1"/>
  <c r="C1215" i="1"/>
  <c r="B1215" i="1"/>
  <c r="F1214" i="1"/>
  <c r="E1214" i="1"/>
  <c r="D1214" i="1"/>
  <c r="C1214" i="1"/>
  <c r="B1214" i="1"/>
  <c r="F1213" i="1"/>
  <c r="E1213" i="1"/>
  <c r="D1213" i="1"/>
  <c r="C1213" i="1"/>
  <c r="B1213" i="1"/>
  <c r="F1212" i="1"/>
  <c r="E1212" i="1"/>
  <c r="D1212" i="1"/>
  <c r="C1212" i="1"/>
  <c r="B1212" i="1"/>
  <c r="F1211" i="1"/>
  <c r="E1211" i="1"/>
  <c r="D1211" i="1"/>
  <c r="C1211" i="1"/>
  <c r="B1211" i="1"/>
  <c r="F1210" i="1"/>
  <c r="E1210" i="1"/>
  <c r="D1210" i="1"/>
  <c r="C1210" i="1"/>
  <c r="B1210" i="1"/>
  <c r="F1209" i="1"/>
  <c r="E1209" i="1"/>
  <c r="D1209" i="1"/>
  <c r="C1209" i="1"/>
  <c r="B1209" i="1"/>
  <c r="F1208" i="1"/>
  <c r="E1208" i="1"/>
  <c r="D1208" i="1"/>
  <c r="C1208" i="1"/>
  <c r="B1208" i="1"/>
  <c r="F1207" i="1"/>
  <c r="E1207" i="1"/>
  <c r="D1207" i="1"/>
  <c r="C1207" i="1"/>
  <c r="B1207" i="1"/>
  <c r="F1206" i="1"/>
  <c r="E1206" i="1"/>
  <c r="D1206" i="1"/>
  <c r="C1206" i="1"/>
  <c r="B1206" i="1"/>
  <c r="F1205" i="1"/>
  <c r="E1205" i="1"/>
  <c r="D1205" i="1"/>
  <c r="C1205" i="1"/>
  <c r="B1205" i="1"/>
  <c r="F1204" i="1"/>
  <c r="E1204" i="1"/>
  <c r="D1204" i="1"/>
  <c r="C1204" i="1"/>
  <c r="B1204" i="1"/>
  <c r="F1203" i="1"/>
  <c r="E1203" i="1"/>
  <c r="D1203" i="1"/>
  <c r="C1203" i="1"/>
  <c r="B1203" i="1"/>
  <c r="F1202" i="1"/>
  <c r="E1202" i="1"/>
  <c r="D1202" i="1"/>
  <c r="C1202" i="1"/>
  <c r="B1202" i="1"/>
  <c r="F1201" i="1"/>
  <c r="E1201" i="1"/>
  <c r="D1201" i="1"/>
  <c r="C1201" i="1"/>
  <c r="B1201" i="1"/>
  <c r="F1200" i="1"/>
  <c r="E1200" i="1"/>
  <c r="D1200" i="1"/>
  <c r="C1200" i="1"/>
  <c r="B1200" i="1"/>
  <c r="F1199" i="1"/>
  <c r="E1199" i="1"/>
  <c r="D1199" i="1"/>
  <c r="C1199" i="1"/>
  <c r="B1199" i="1"/>
  <c r="F1198" i="1"/>
  <c r="E1198" i="1"/>
  <c r="D1198" i="1"/>
  <c r="C1198" i="1"/>
  <c r="B1198" i="1"/>
  <c r="F1197" i="1"/>
  <c r="E1197" i="1"/>
  <c r="D1197" i="1"/>
  <c r="C1197" i="1"/>
  <c r="B1197" i="1"/>
  <c r="F1196" i="1"/>
  <c r="E1196" i="1"/>
  <c r="D1196" i="1"/>
  <c r="C1196" i="1"/>
  <c r="B1196" i="1"/>
  <c r="F1195" i="1"/>
  <c r="E1195" i="1"/>
  <c r="D1195" i="1"/>
  <c r="C1195" i="1"/>
  <c r="B1195" i="1"/>
  <c r="F1194" i="1"/>
  <c r="E1194" i="1"/>
  <c r="D1194" i="1"/>
  <c r="C1194" i="1"/>
  <c r="B1194" i="1"/>
  <c r="F1193" i="1"/>
  <c r="E1193" i="1"/>
  <c r="D1193" i="1"/>
  <c r="C1193" i="1"/>
  <c r="B1193" i="1"/>
  <c r="F1192" i="1"/>
  <c r="E1192" i="1"/>
  <c r="D1192" i="1"/>
  <c r="C1192" i="1"/>
  <c r="B1192" i="1"/>
  <c r="F1191" i="1"/>
  <c r="E1191" i="1"/>
  <c r="D1191" i="1"/>
  <c r="C1191" i="1"/>
  <c r="B1191" i="1"/>
  <c r="F1186" i="1"/>
  <c r="E1186" i="1"/>
  <c r="D1186" i="1"/>
  <c r="C1186" i="1"/>
  <c r="B1186" i="1"/>
  <c r="F1185" i="1"/>
  <c r="E1185" i="1"/>
  <c r="D1185" i="1"/>
  <c r="C1185" i="1"/>
  <c r="B1185" i="1"/>
  <c r="F1184" i="1"/>
  <c r="E1184" i="1"/>
  <c r="D1184" i="1"/>
  <c r="C1184" i="1"/>
  <c r="B1184" i="1"/>
  <c r="F1183" i="1"/>
  <c r="E1183" i="1"/>
  <c r="D1183" i="1"/>
  <c r="C1183" i="1"/>
  <c r="B1183" i="1"/>
  <c r="F1182" i="1"/>
  <c r="E1182" i="1"/>
  <c r="D1182" i="1"/>
  <c r="C1182" i="1"/>
  <c r="B1182" i="1"/>
  <c r="F1181" i="1"/>
  <c r="E1181" i="1"/>
  <c r="D1181" i="1"/>
  <c r="C1181" i="1"/>
  <c r="B1181" i="1"/>
  <c r="F1180" i="1"/>
  <c r="E1180" i="1"/>
  <c r="D1180" i="1"/>
  <c r="C1180" i="1"/>
  <c r="B1180" i="1"/>
  <c r="F1179" i="1"/>
  <c r="E1179" i="1"/>
  <c r="D1179" i="1"/>
  <c r="C1179" i="1"/>
  <c r="B1179" i="1"/>
  <c r="F1178" i="1"/>
  <c r="E1178" i="1"/>
  <c r="D1178" i="1"/>
  <c r="C1178" i="1"/>
  <c r="B1178" i="1"/>
  <c r="F1177" i="1"/>
  <c r="E1177" i="1"/>
  <c r="D1177" i="1"/>
  <c r="C1177" i="1"/>
  <c r="B1177" i="1"/>
  <c r="F1176" i="1"/>
  <c r="E1176" i="1"/>
  <c r="D1176" i="1"/>
  <c r="C1176" i="1"/>
  <c r="B1176" i="1"/>
  <c r="F1175" i="1"/>
  <c r="E1175" i="1"/>
  <c r="D1175" i="1"/>
  <c r="C1175" i="1"/>
  <c r="B1175" i="1"/>
  <c r="F1174" i="1"/>
  <c r="E1174" i="1"/>
  <c r="D1174" i="1"/>
  <c r="C1174" i="1"/>
  <c r="B1174" i="1"/>
  <c r="F1173" i="1"/>
  <c r="E1173" i="1"/>
  <c r="D1173" i="1"/>
  <c r="C1173" i="1"/>
  <c r="B1173" i="1"/>
  <c r="F1172" i="1"/>
  <c r="E1172" i="1"/>
  <c r="D1172" i="1"/>
  <c r="C1172" i="1"/>
  <c r="B1172" i="1"/>
  <c r="F1171" i="1"/>
  <c r="E1171" i="1"/>
  <c r="D1171" i="1"/>
  <c r="C1171" i="1"/>
  <c r="B1171" i="1"/>
  <c r="F1170" i="1"/>
  <c r="E1170" i="1"/>
  <c r="D1170" i="1"/>
  <c r="C1170" i="1"/>
  <c r="B1170" i="1"/>
  <c r="F1169" i="1"/>
  <c r="E1169" i="1"/>
  <c r="D1169" i="1"/>
  <c r="C1169" i="1"/>
  <c r="B1169" i="1"/>
  <c r="F1168" i="1"/>
  <c r="E1168" i="1"/>
  <c r="D1168" i="1"/>
  <c r="C1168" i="1"/>
  <c r="B1168" i="1"/>
  <c r="F1167" i="1"/>
  <c r="E1167" i="1"/>
  <c r="D1167" i="1"/>
  <c r="C1167" i="1"/>
  <c r="B1167" i="1"/>
  <c r="F1166" i="1"/>
  <c r="E1166" i="1"/>
  <c r="D1166" i="1"/>
  <c r="C1166" i="1"/>
  <c r="B1166" i="1"/>
  <c r="F1165" i="1"/>
  <c r="E1165" i="1"/>
  <c r="D1165" i="1"/>
  <c r="C1165" i="1"/>
  <c r="B1165" i="1"/>
  <c r="F1164" i="1"/>
  <c r="E1164" i="1"/>
  <c r="D1164" i="1"/>
  <c r="C1164" i="1"/>
  <c r="B1164" i="1"/>
  <c r="F1163" i="1"/>
  <c r="E1163" i="1"/>
  <c r="D1163" i="1"/>
  <c r="C1163" i="1"/>
  <c r="B1163" i="1"/>
  <c r="F1162" i="1"/>
  <c r="E1162" i="1"/>
  <c r="D1162" i="1"/>
  <c r="C1162" i="1"/>
  <c r="B1162" i="1"/>
  <c r="F1161" i="1"/>
  <c r="E1161" i="1"/>
  <c r="D1161" i="1"/>
  <c r="C1161" i="1"/>
  <c r="B1161" i="1"/>
  <c r="F1160" i="1"/>
  <c r="E1160" i="1"/>
  <c r="D1160" i="1"/>
  <c r="C1160" i="1"/>
  <c r="B1160" i="1"/>
  <c r="F1159" i="1"/>
  <c r="E1159" i="1"/>
  <c r="D1159" i="1"/>
  <c r="C1159" i="1"/>
  <c r="B1159" i="1"/>
  <c r="F1158" i="1"/>
  <c r="E1158" i="1"/>
  <c r="D1158" i="1"/>
  <c r="C1158" i="1"/>
  <c r="B1158" i="1"/>
  <c r="F1157" i="1"/>
  <c r="E1157" i="1"/>
  <c r="D1157" i="1"/>
  <c r="C1157" i="1"/>
  <c r="B1157" i="1"/>
  <c r="F1156" i="1"/>
  <c r="E1156" i="1"/>
  <c r="D1156" i="1"/>
  <c r="C1156" i="1"/>
  <c r="B1156" i="1"/>
  <c r="F1155" i="1"/>
  <c r="E1155" i="1"/>
  <c r="D1155" i="1"/>
  <c r="C1155" i="1"/>
  <c r="B1155" i="1"/>
  <c r="F1154" i="1"/>
  <c r="E1154" i="1"/>
  <c r="D1154" i="1"/>
  <c r="C1154" i="1"/>
  <c r="B1154" i="1"/>
  <c r="E1149" i="1"/>
  <c r="D1149" i="1"/>
  <c r="C1149" i="1"/>
  <c r="B1149" i="1"/>
  <c r="E1148" i="1"/>
  <c r="D1148" i="1"/>
  <c r="C1148" i="1"/>
  <c r="F1148" i="1" s="1"/>
  <c r="B1148" i="1"/>
  <c r="E1147" i="1"/>
  <c r="D1147" i="1"/>
  <c r="C1147" i="1"/>
  <c r="B1147" i="1"/>
  <c r="E1146" i="1"/>
  <c r="D1146" i="1"/>
  <c r="C1146" i="1"/>
  <c r="B1146" i="1"/>
  <c r="E1145" i="1"/>
  <c r="D1145" i="1"/>
  <c r="C1145" i="1"/>
  <c r="B1145" i="1"/>
  <c r="F1144" i="1"/>
  <c r="E1144" i="1"/>
  <c r="D1144" i="1"/>
  <c r="C1144" i="1"/>
  <c r="B1144" i="1"/>
  <c r="E1143" i="1"/>
  <c r="D1143" i="1"/>
  <c r="C1143" i="1"/>
  <c r="B1143" i="1"/>
  <c r="E1142" i="1"/>
  <c r="D1142" i="1"/>
  <c r="C1142" i="1"/>
  <c r="B1142" i="1"/>
  <c r="E1141" i="1"/>
  <c r="D1141" i="1"/>
  <c r="C1141" i="1"/>
  <c r="B1141" i="1"/>
  <c r="E1140" i="1"/>
  <c r="D1140" i="1"/>
  <c r="C1140" i="1"/>
  <c r="F1140" i="1" s="1"/>
  <c r="B1140" i="1"/>
  <c r="E1139" i="1"/>
  <c r="D1139" i="1"/>
  <c r="C1139" i="1"/>
  <c r="F1139" i="1" s="1"/>
  <c r="B1139" i="1"/>
  <c r="E1138" i="1"/>
  <c r="D1138" i="1"/>
  <c r="C1138" i="1"/>
  <c r="B1138" i="1"/>
  <c r="E1137" i="1"/>
  <c r="D1137" i="1"/>
  <c r="C1137" i="1"/>
  <c r="F1137" i="1" s="1"/>
  <c r="B1137" i="1"/>
  <c r="E1136" i="1"/>
  <c r="D1136" i="1"/>
  <c r="C1136" i="1"/>
  <c r="B1136" i="1"/>
  <c r="E1135" i="1"/>
  <c r="D1135" i="1"/>
  <c r="C1135" i="1"/>
  <c r="B1135" i="1"/>
  <c r="E1134" i="1"/>
  <c r="D1134" i="1"/>
  <c r="F1134" i="1" s="1"/>
  <c r="C1134" i="1"/>
  <c r="B1134" i="1"/>
  <c r="E1133" i="1"/>
  <c r="D1133" i="1"/>
  <c r="C1133" i="1"/>
  <c r="B1133" i="1"/>
  <c r="E1132" i="1"/>
  <c r="D1132" i="1"/>
  <c r="C1132" i="1"/>
  <c r="B1132" i="1"/>
  <c r="E1131" i="1"/>
  <c r="D1131" i="1"/>
  <c r="C1131" i="1"/>
  <c r="B1131" i="1"/>
  <c r="E1130" i="1"/>
  <c r="D1130" i="1"/>
  <c r="C1130" i="1"/>
  <c r="B1130" i="1"/>
  <c r="E1129" i="1"/>
  <c r="D1129" i="1"/>
  <c r="C1129" i="1"/>
  <c r="B1129" i="1"/>
  <c r="F1128" i="1"/>
  <c r="E1128" i="1"/>
  <c r="D1128" i="1"/>
  <c r="C1128" i="1"/>
  <c r="B1128" i="1"/>
  <c r="E1127" i="1"/>
  <c r="D1127" i="1"/>
  <c r="C1127" i="1"/>
  <c r="B1127" i="1"/>
  <c r="E1126" i="1"/>
  <c r="D1126" i="1"/>
  <c r="C1126" i="1"/>
  <c r="B1126" i="1"/>
  <c r="E1125" i="1"/>
  <c r="D1125" i="1"/>
  <c r="C1125" i="1"/>
  <c r="B1125" i="1"/>
  <c r="E1124" i="1"/>
  <c r="D1124" i="1"/>
  <c r="C1124" i="1"/>
  <c r="F1124" i="1" s="1"/>
  <c r="B1124" i="1"/>
  <c r="E1123" i="1"/>
  <c r="D1123" i="1"/>
  <c r="C1123" i="1"/>
  <c r="F1123" i="1" s="1"/>
  <c r="B1123" i="1"/>
  <c r="E1122" i="1"/>
  <c r="D1122" i="1"/>
  <c r="C1122" i="1"/>
  <c r="B1122" i="1"/>
  <c r="E1121" i="1"/>
  <c r="D1121" i="1"/>
  <c r="C1121" i="1"/>
  <c r="F1121" i="1" s="1"/>
  <c r="B1121" i="1"/>
  <c r="E1120" i="1"/>
  <c r="D1120" i="1"/>
  <c r="C1120" i="1"/>
  <c r="B1120" i="1"/>
  <c r="E1119" i="1"/>
  <c r="D1119" i="1"/>
  <c r="C1119" i="1"/>
  <c r="B1119" i="1"/>
  <c r="E1118" i="1"/>
  <c r="D1118" i="1"/>
  <c r="F1118" i="1" s="1"/>
  <c r="C1118" i="1"/>
  <c r="B1118" i="1"/>
  <c r="E1117" i="1"/>
  <c r="D1117" i="1"/>
  <c r="C1117" i="1"/>
  <c r="B1117" i="1"/>
  <c r="E1112" i="1"/>
  <c r="D1112" i="1"/>
  <c r="C1112" i="1"/>
  <c r="B1112" i="1"/>
  <c r="E1111" i="1"/>
  <c r="D1111" i="1"/>
  <c r="C1111" i="1"/>
  <c r="B1111" i="1"/>
  <c r="E1110" i="1"/>
  <c r="D1110" i="1"/>
  <c r="C1110" i="1"/>
  <c r="B1110" i="1"/>
  <c r="E1109" i="1"/>
  <c r="D1109" i="1"/>
  <c r="C1109" i="1"/>
  <c r="B1109" i="1"/>
  <c r="F1108" i="1"/>
  <c r="E1108" i="1"/>
  <c r="D1108" i="1"/>
  <c r="C1108" i="1"/>
  <c r="B1108" i="1"/>
  <c r="E1107" i="1"/>
  <c r="D1107" i="1"/>
  <c r="C1107" i="1"/>
  <c r="B1107" i="1"/>
  <c r="E1106" i="1"/>
  <c r="D1106" i="1"/>
  <c r="C1106" i="1"/>
  <c r="B1106" i="1"/>
  <c r="E1105" i="1"/>
  <c r="D1105" i="1"/>
  <c r="C1105" i="1"/>
  <c r="B1105" i="1"/>
  <c r="E1104" i="1"/>
  <c r="D1104" i="1"/>
  <c r="C1104" i="1"/>
  <c r="F1104" i="1" s="1"/>
  <c r="B1104" i="1"/>
  <c r="E1103" i="1"/>
  <c r="D1103" i="1"/>
  <c r="C1103" i="1"/>
  <c r="F1103" i="1" s="1"/>
  <c r="B1103" i="1"/>
  <c r="E1102" i="1"/>
  <c r="D1102" i="1"/>
  <c r="C1102" i="1"/>
  <c r="B1102" i="1"/>
  <c r="E1101" i="1"/>
  <c r="D1101" i="1"/>
  <c r="C1101" i="1"/>
  <c r="F1101" i="1" s="1"/>
  <c r="B1101" i="1"/>
  <c r="E1100" i="1"/>
  <c r="D1100" i="1"/>
  <c r="C1100" i="1"/>
  <c r="F1100" i="1" s="1"/>
  <c r="B1100" i="1"/>
  <c r="E1099" i="1"/>
  <c r="D1099" i="1"/>
  <c r="C1099" i="1"/>
  <c r="B1099" i="1"/>
  <c r="E1098" i="1"/>
  <c r="D1098" i="1"/>
  <c r="F1098" i="1" s="1"/>
  <c r="C1098" i="1"/>
  <c r="B1098" i="1"/>
  <c r="E1097" i="1"/>
  <c r="D1097" i="1"/>
  <c r="C1097" i="1"/>
  <c r="B1097" i="1"/>
  <c r="E1096" i="1"/>
  <c r="D1096" i="1"/>
  <c r="C1096" i="1"/>
  <c r="F1096" i="1" s="1"/>
  <c r="B1096" i="1"/>
  <c r="E1095" i="1"/>
  <c r="D1095" i="1"/>
  <c r="C1095" i="1"/>
  <c r="B1095" i="1"/>
  <c r="E1094" i="1"/>
  <c r="D1094" i="1"/>
  <c r="C1094" i="1"/>
  <c r="B1094" i="1"/>
  <c r="E1093" i="1"/>
  <c r="D1093" i="1"/>
  <c r="C1093" i="1"/>
  <c r="B1093" i="1"/>
  <c r="F1092" i="1"/>
  <c r="E1092" i="1"/>
  <c r="D1092" i="1"/>
  <c r="C1092" i="1"/>
  <c r="B1092" i="1"/>
  <c r="E1091" i="1"/>
  <c r="D1091" i="1"/>
  <c r="C1091" i="1"/>
  <c r="B1091" i="1"/>
  <c r="E1090" i="1"/>
  <c r="D1090" i="1"/>
  <c r="C1090" i="1"/>
  <c r="B1090" i="1"/>
  <c r="E1089" i="1"/>
  <c r="D1089" i="1"/>
  <c r="C1089" i="1"/>
  <c r="B1089" i="1"/>
  <c r="E1088" i="1"/>
  <c r="D1088" i="1"/>
  <c r="C1088" i="1"/>
  <c r="F1088" i="1" s="1"/>
  <c r="B1088" i="1"/>
  <c r="E1087" i="1"/>
  <c r="D1087" i="1"/>
  <c r="C1087" i="1"/>
  <c r="F1087" i="1" s="1"/>
  <c r="B1087" i="1"/>
  <c r="E1086" i="1"/>
  <c r="D1086" i="1"/>
  <c r="C1086" i="1"/>
  <c r="B1086" i="1"/>
  <c r="E1085" i="1"/>
  <c r="D1085" i="1"/>
  <c r="C1085" i="1"/>
  <c r="F1085" i="1" s="1"/>
  <c r="B1085" i="1"/>
  <c r="E1084" i="1"/>
  <c r="D1084" i="1"/>
  <c r="C1084" i="1"/>
  <c r="B1084" i="1"/>
  <c r="E1083" i="1"/>
  <c r="D1083" i="1"/>
  <c r="C1083" i="1"/>
  <c r="B1083" i="1"/>
  <c r="E1082" i="1"/>
  <c r="D1082" i="1"/>
  <c r="F1082" i="1" s="1"/>
  <c r="C1082" i="1"/>
  <c r="B1082" i="1"/>
  <c r="E1081" i="1"/>
  <c r="D1081" i="1"/>
  <c r="C1081" i="1"/>
  <c r="B1081" i="1"/>
  <c r="E1080" i="1"/>
  <c r="D1080" i="1"/>
  <c r="C1080" i="1"/>
  <c r="F1080" i="1" s="1"/>
  <c r="B1080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Q1072" i="1" s="1"/>
  <c r="D1072" i="1"/>
  <c r="C1072" i="1"/>
  <c r="B1072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Q1068" i="1" s="1"/>
  <c r="D1068" i="1"/>
  <c r="C1068" i="1"/>
  <c r="B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Q1066" i="1" s="1"/>
  <c r="D1066" i="1"/>
  <c r="C1066" i="1"/>
  <c r="B1066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Q1062" i="1" s="1"/>
  <c r="D1062" i="1"/>
  <c r="C1062" i="1"/>
  <c r="B1062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Q1058" i="1" s="1"/>
  <c r="D1058" i="1"/>
  <c r="C1058" i="1"/>
  <c r="B1058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Q1054" i="1" s="1"/>
  <c r="D1054" i="1"/>
  <c r="C1054" i="1"/>
  <c r="B1054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Q1050" i="1" s="1"/>
  <c r="D1050" i="1"/>
  <c r="C1050" i="1"/>
  <c r="B1050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Q1046" i="1" s="1"/>
  <c r="D1046" i="1"/>
  <c r="C1046" i="1"/>
  <c r="B1046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P1043" i="1"/>
  <c r="O1043" i="1"/>
  <c r="N1043" i="1"/>
  <c r="N1076" i="1" s="1"/>
  <c r="M1043" i="1"/>
  <c r="L1043" i="1"/>
  <c r="K1043" i="1"/>
  <c r="J1043" i="1"/>
  <c r="J1076" i="1" s="1"/>
  <c r="I1043" i="1"/>
  <c r="H1043" i="1"/>
  <c r="G1043" i="1"/>
  <c r="F1043" i="1"/>
  <c r="F1076" i="1" s="1"/>
  <c r="E1043" i="1"/>
  <c r="D1043" i="1"/>
  <c r="C1043" i="1"/>
  <c r="B1043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Q1037" i="1" s="1"/>
  <c r="C1037" i="1"/>
  <c r="B1037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Q1033" i="1" s="1"/>
  <c r="C1033" i="1"/>
  <c r="B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Q1029" i="1" s="1"/>
  <c r="C1029" i="1"/>
  <c r="B1029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Q1025" i="1" s="1"/>
  <c r="C1025" i="1"/>
  <c r="B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Q1021" i="1" s="1"/>
  <c r="C1021" i="1"/>
  <c r="B1021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Q1017" i="1" s="1"/>
  <c r="C1017" i="1"/>
  <c r="B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Q1013" i="1" s="1"/>
  <c r="C1013" i="1"/>
  <c r="B1013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Q1009" i="1" s="1"/>
  <c r="C1009" i="1"/>
  <c r="B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P1006" i="1"/>
  <c r="O1006" i="1"/>
  <c r="N1006" i="1"/>
  <c r="M1006" i="1"/>
  <c r="M1039" i="1" s="1"/>
  <c r="L1006" i="1"/>
  <c r="K1006" i="1"/>
  <c r="J1006" i="1"/>
  <c r="I1006" i="1"/>
  <c r="I1039" i="1" s="1"/>
  <c r="H1006" i="1"/>
  <c r="G1006" i="1"/>
  <c r="F1006" i="1"/>
  <c r="E1006" i="1"/>
  <c r="E1039" i="1" s="1"/>
  <c r="D1006" i="1"/>
  <c r="C1006" i="1"/>
  <c r="B1006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Q1000" i="1" s="1"/>
  <c r="B1000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Q996" i="1" s="1"/>
  <c r="B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Q992" i="1" s="1"/>
  <c r="B992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Q988" i="1" s="1"/>
  <c r="B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Q984" i="1" s="1"/>
  <c r="B984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Q980" i="1" s="1"/>
  <c r="B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Q976" i="1" s="1"/>
  <c r="B976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Q972" i="1" s="1"/>
  <c r="B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P969" i="1"/>
  <c r="P1002" i="1" s="1"/>
  <c r="O969" i="1"/>
  <c r="N969" i="1"/>
  <c r="M969" i="1"/>
  <c r="L969" i="1"/>
  <c r="L1002" i="1" s="1"/>
  <c r="K969" i="1"/>
  <c r="J969" i="1"/>
  <c r="I969" i="1"/>
  <c r="H969" i="1"/>
  <c r="H1002" i="1" s="1"/>
  <c r="G969" i="1"/>
  <c r="F969" i="1"/>
  <c r="E969" i="1"/>
  <c r="D969" i="1"/>
  <c r="D1002" i="1" s="1"/>
  <c r="C969" i="1"/>
  <c r="B969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Q964" i="1" s="1"/>
  <c r="B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Q960" i="1" s="1"/>
  <c r="B960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Q956" i="1" s="1"/>
  <c r="B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Q952" i="1" s="1"/>
  <c r="B952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Q948" i="1" s="1"/>
  <c r="B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Q944" i="1" s="1"/>
  <c r="B944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Q940" i="1" s="1"/>
  <c r="B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Q936" i="1" s="1"/>
  <c r="B936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P932" i="1"/>
  <c r="O932" i="1"/>
  <c r="O965" i="1" s="1"/>
  <c r="N932" i="1"/>
  <c r="M932" i="1"/>
  <c r="L932" i="1"/>
  <c r="K932" i="1"/>
  <c r="K965" i="1" s="1"/>
  <c r="J932" i="1"/>
  <c r="I932" i="1"/>
  <c r="H932" i="1"/>
  <c r="G932" i="1"/>
  <c r="G965" i="1" s="1"/>
  <c r="F932" i="1"/>
  <c r="E932" i="1"/>
  <c r="D932" i="1"/>
  <c r="C932" i="1"/>
  <c r="C965" i="1" s="1"/>
  <c r="B932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Q926" i="1" s="1"/>
  <c r="D926" i="1"/>
  <c r="C926" i="1"/>
  <c r="B926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Q922" i="1" s="1"/>
  <c r="D922" i="1"/>
  <c r="C922" i="1"/>
  <c r="B922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Q918" i="1" s="1"/>
  <c r="D918" i="1"/>
  <c r="C918" i="1"/>
  <c r="B918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Q916" i="1" s="1"/>
  <c r="B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Q912" i="1" s="1"/>
  <c r="B912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Q908" i="1" s="1"/>
  <c r="B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Q904" i="1" s="1"/>
  <c r="B904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Q900" i="1" s="1"/>
  <c r="B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Q896" i="1" s="1"/>
  <c r="B896" i="1"/>
  <c r="P895" i="1"/>
  <c r="O895" i="1"/>
  <c r="N895" i="1"/>
  <c r="N928" i="1" s="1"/>
  <c r="M895" i="1"/>
  <c r="L895" i="1"/>
  <c r="K895" i="1"/>
  <c r="J895" i="1"/>
  <c r="J928" i="1" s="1"/>
  <c r="I895" i="1"/>
  <c r="H895" i="1"/>
  <c r="G895" i="1"/>
  <c r="F895" i="1"/>
  <c r="F928" i="1" s="1"/>
  <c r="E895" i="1"/>
  <c r="D895" i="1"/>
  <c r="C895" i="1"/>
  <c r="B895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Q888" i="1" s="1"/>
  <c r="B888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Q884" i="1" s="1"/>
  <c r="B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Q880" i="1" s="1"/>
  <c r="B880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Q876" i="1" s="1"/>
  <c r="B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Q872" i="1" s="1"/>
  <c r="B872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Q868" i="1" s="1"/>
  <c r="B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Q864" i="1" s="1"/>
  <c r="B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Q860" i="1" s="1"/>
  <c r="B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P858" i="1"/>
  <c r="O858" i="1"/>
  <c r="N858" i="1"/>
  <c r="M858" i="1"/>
  <c r="M891" i="1" s="1"/>
  <c r="L858" i="1"/>
  <c r="K858" i="1"/>
  <c r="J858" i="1"/>
  <c r="I858" i="1"/>
  <c r="I891" i="1" s="1"/>
  <c r="H858" i="1"/>
  <c r="G858" i="1"/>
  <c r="F858" i="1"/>
  <c r="E858" i="1"/>
  <c r="E891" i="1" s="1"/>
  <c r="D858" i="1"/>
  <c r="C858" i="1"/>
  <c r="B858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Q852" i="1" s="1"/>
  <c r="B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Q848" i="1" s="1"/>
  <c r="B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Q844" i="1" s="1"/>
  <c r="B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Q840" i="1" s="1"/>
  <c r="B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Q836" i="1" s="1"/>
  <c r="B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Q832" i="1" s="1"/>
  <c r="B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Q828" i="1" s="1"/>
  <c r="B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Q824" i="1" s="1"/>
  <c r="B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P821" i="1"/>
  <c r="P854" i="1" s="1"/>
  <c r="O821" i="1"/>
  <c r="N821" i="1"/>
  <c r="M821" i="1"/>
  <c r="L821" i="1"/>
  <c r="L854" i="1" s="1"/>
  <c r="K821" i="1"/>
  <c r="J821" i="1"/>
  <c r="I821" i="1"/>
  <c r="H821" i="1"/>
  <c r="H854" i="1" s="1"/>
  <c r="G821" i="1"/>
  <c r="F821" i="1"/>
  <c r="E821" i="1"/>
  <c r="D821" i="1"/>
  <c r="D854" i="1" s="1"/>
  <c r="C821" i="1"/>
  <c r="B821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Q816" i="1" s="1"/>
  <c r="B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Q812" i="1" s="1"/>
  <c r="B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Q808" i="1" s="1"/>
  <c r="B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Q804" i="1" s="1"/>
  <c r="B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Q800" i="1" s="1"/>
  <c r="B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Q797" i="1" s="1"/>
  <c r="B797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Q793" i="1" s="1"/>
  <c r="B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Q789" i="1" s="1"/>
  <c r="B789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Q785" i="1" s="1"/>
  <c r="B785" i="1"/>
  <c r="P784" i="1"/>
  <c r="O784" i="1"/>
  <c r="N784" i="1"/>
  <c r="N817" i="1" s="1"/>
  <c r="M784" i="1"/>
  <c r="L784" i="1"/>
  <c r="K784" i="1"/>
  <c r="J784" i="1"/>
  <c r="J817" i="1" s="1"/>
  <c r="I784" i="1"/>
  <c r="H784" i="1"/>
  <c r="G784" i="1"/>
  <c r="F784" i="1"/>
  <c r="F817" i="1" s="1"/>
  <c r="E784" i="1"/>
  <c r="D784" i="1"/>
  <c r="C784" i="1"/>
  <c r="B784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Q779" i="1" s="1"/>
  <c r="D779" i="1"/>
  <c r="C779" i="1"/>
  <c r="B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Q775" i="1" s="1"/>
  <c r="D775" i="1"/>
  <c r="C775" i="1"/>
  <c r="B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Q771" i="1" s="1"/>
  <c r="D771" i="1"/>
  <c r="C771" i="1"/>
  <c r="B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Q767" i="1" s="1"/>
  <c r="D767" i="1"/>
  <c r="C767" i="1"/>
  <c r="B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Q763" i="1" s="1"/>
  <c r="D763" i="1"/>
  <c r="C763" i="1"/>
  <c r="B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Q759" i="1" s="1"/>
  <c r="D759" i="1"/>
  <c r="C759" i="1"/>
  <c r="B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Q755" i="1" s="1"/>
  <c r="D755" i="1"/>
  <c r="C755" i="1"/>
  <c r="B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Q751" i="1" s="1"/>
  <c r="D751" i="1"/>
  <c r="C751" i="1"/>
  <c r="B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P747" i="1"/>
  <c r="O747" i="1"/>
  <c r="N747" i="1"/>
  <c r="M747" i="1"/>
  <c r="M780" i="1" s="1"/>
  <c r="L747" i="1"/>
  <c r="K747" i="1"/>
  <c r="J747" i="1"/>
  <c r="I747" i="1"/>
  <c r="I780" i="1" s="1"/>
  <c r="H747" i="1"/>
  <c r="G747" i="1"/>
  <c r="F747" i="1"/>
  <c r="E747" i="1"/>
  <c r="Q747" i="1" s="1"/>
  <c r="D747" i="1"/>
  <c r="C747" i="1"/>
  <c r="B747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Q739" i="1" s="1"/>
  <c r="D739" i="1"/>
  <c r="C739" i="1"/>
  <c r="B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Q734" i="1" s="1"/>
  <c r="C734" i="1"/>
  <c r="B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Q729" i="1" s="1"/>
  <c r="B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Q725" i="1" s="1"/>
  <c r="B725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Q721" i="1" s="1"/>
  <c r="B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Q717" i="1" s="1"/>
  <c r="B717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Q713" i="1" s="1"/>
  <c r="B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P710" i="1"/>
  <c r="P743" i="1" s="1"/>
  <c r="O710" i="1"/>
  <c r="N710" i="1"/>
  <c r="M710" i="1"/>
  <c r="L710" i="1"/>
  <c r="L743" i="1" s="1"/>
  <c r="K710" i="1"/>
  <c r="J710" i="1"/>
  <c r="I710" i="1"/>
  <c r="H710" i="1"/>
  <c r="H743" i="1" s="1"/>
  <c r="G710" i="1"/>
  <c r="F710" i="1"/>
  <c r="E710" i="1"/>
  <c r="D710" i="1"/>
  <c r="D743" i="1" s="1"/>
  <c r="C710" i="1"/>
  <c r="B710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Q705" i="1" s="1"/>
  <c r="B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Q701" i="1" s="1"/>
  <c r="B701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Q697" i="1" s="1"/>
  <c r="B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Q693" i="1" s="1"/>
  <c r="B693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Q689" i="1" s="1"/>
  <c r="B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Q685" i="1" s="1"/>
  <c r="B685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Q681" i="1" s="1"/>
  <c r="B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Q677" i="1" s="1"/>
  <c r="B677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P673" i="1"/>
  <c r="O673" i="1"/>
  <c r="O706" i="1" s="1"/>
  <c r="N673" i="1"/>
  <c r="M673" i="1"/>
  <c r="L673" i="1"/>
  <c r="K673" i="1"/>
  <c r="K706" i="1" s="1"/>
  <c r="J673" i="1"/>
  <c r="I673" i="1"/>
  <c r="H673" i="1"/>
  <c r="G673" i="1"/>
  <c r="G706" i="1" s="1"/>
  <c r="F673" i="1"/>
  <c r="E673" i="1"/>
  <c r="D673" i="1"/>
  <c r="C673" i="1"/>
  <c r="C706" i="1" s="1"/>
  <c r="B673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Q665" i="1" s="1"/>
  <c r="B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Q661" i="1" s="1"/>
  <c r="B661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Q657" i="1" s="1"/>
  <c r="B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Q653" i="1" s="1"/>
  <c r="B653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Q649" i="1" s="1"/>
  <c r="B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Q645" i="1" s="1"/>
  <c r="B645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Q641" i="1" s="1"/>
  <c r="B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Q637" i="1" s="1"/>
  <c r="B637" i="1"/>
  <c r="P636" i="1"/>
  <c r="O636" i="1"/>
  <c r="N636" i="1"/>
  <c r="N669" i="1" s="1"/>
  <c r="M636" i="1"/>
  <c r="L636" i="1"/>
  <c r="K636" i="1"/>
  <c r="J636" i="1"/>
  <c r="J669" i="1" s="1"/>
  <c r="I636" i="1"/>
  <c r="H636" i="1"/>
  <c r="G636" i="1"/>
  <c r="F636" i="1"/>
  <c r="F669" i="1" s="1"/>
  <c r="E636" i="1"/>
  <c r="D636" i="1"/>
  <c r="C636" i="1"/>
  <c r="B636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Q629" i="1" s="1"/>
  <c r="B629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Q625" i="1" s="1"/>
  <c r="B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Q621" i="1" s="1"/>
  <c r="B621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Q617" i="1" s="1"/>
  <c r="B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Q613" i="1" s="1"/>
  <c r="B613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Q609" i="1" s="1"/>
  <c r="B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Q605" i="1" s="1"/>
  <c r="B605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Q601" i="1" s="1"/>
  <c r="B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P599" i="1"/>
  <c r="O599" i="1"/>
  <c r="N599" i="1"/>
  <c r="M599" i="1"/>
  <c r="M632" i="1" s="1"/>
  <c r="L599" i="1"/>
  <c r="K599" i="1"/>
  <c r="J599" i="1"/>
  <c r="I599" i="1"/>
  <c r="I632" i="1" s="1"/>
  <c r="H599" i="1"/>
  <c r="G599" i="1"/>
  <c r="F599" i="1"/>
  <c r="E599" i="1"/>
  <c r="E632" i="1" s="1"/>
  <c r="D599" i="1"/>
  <c r="C599" i="1"/>
  <c r="B599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Q593" i="1" s="1"/>
  <c r="B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Q589" i="1" s="1"/>
  <c r="B589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Q585" i="1" s="1"/>
  <c r="B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Q581" i="1" s="1"/>
  <c r="B581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Q577" i="1" s="1"/>
  <c r="B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Q573" i="1" s="1"/>
  <c r="B573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Q569" i="1" s="1"/>
  <c r="B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Q565" i="1" s="1"/>
  <c r="B565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P562" i="1"/>
  <c r="P595" i="1" s="1"/>
  <c r="O562" i="1"/>
  <c r="N562" i="1"/>
  <c r="M562" i="1"/>
  <c r="L562" i="1"/>
  <c r="L595" i="1" s="1"/>
  <c r="K562" i="1"/>
  <c r="J562" i="1"/>
  <c r="I562" i="1"/>
  <c r="H562" i="1"/>
  <c r="H595" i="1" s="1"/>
  <c r="G562" i="1"/>
  <c r="F562" i="1"/>
  <c r="E562" i="1"/>
  <c r="D562" i="1"/>
  <c r="D595" i="1" s="1"/>
  <c r="C562" i="1"/>
  <c r="B562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Q557" i="1" s="1"/>
  <c r="B557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Q553" i="1" s="1"/>
  <c r="B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Q549" i="1" s="1"/>
  <c r="B549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Q545" i="1" s="1"/>
  <c r="B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Q541" i="1" s="1"/>
  <c r="B541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Q537" i="1" s="1"/>
  <c r="B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Q533" i="1" s="1"/>
  <c r="B533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Q529" i="1" s="1"/>
  <c r="B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P525" i="1"/>
  <c r="O525" i="1"/>
  <c r="O558" i="1" s="1"/>
  <c r="N525" i="1"/>
  <c r="M525" i="1"/>
  <c r="L525" i="1"/>
  <c r="K525" i="1"/>
  <c r="K558" i="1" s="1"/>
  <c r="J525" i="1"/>
  <c r="I525" i="1"/>
  <c r="H525" i="1"/>
  <c r="G525" i="1"/>
  <c r="G558" i="1" s="1"/>
  <c r="F525" i="1"/>
  <c r="E525" i="1"/>
  <c r="D525" i="1"/>
  <c r="C525" i="1"/>
  <c r="C558" i="1" s="1"/>
  <c r="B525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Q517" i="1" s="1"/>
  <c r="B517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Q513" i="1" s="1"/>
  <c r="B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Q509" i="1" s="1"/>
  <c r="B509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Q505" i="1" s="1"/>
  <c r="B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Q501" i="1" s="1"/>
  <c r="B501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Q497" i="1" s="1"/>
  <c r="B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Q493" i="1" s="1"/>
  <c r="B493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Q489" i="1" s="1"/>
  <c r="B489" i="1"/>
  <c r="P488" i="1"/>
  <c r="O488" i="1"/>
  <c r="N488" i="1"/>
  <c r="N521" i="1" s="1"/>
  <c r="M488" i="1"/>
  <c r="L488" i="1"/>
  <c r="K488" i="1"/>
  <c r="J488" i="1"/>
  <c r="J521" i="1" s="1"/>
  <c r="I488" i="1"/>
  <c r="H488" i="1"/>
  <c r="G488" i="1"/>
  <c r="F488" i="1"/>
  <c r="F521" i="1" s="1"/>
  <c r="E488" i="1"/>
  <c r="D488" i="1"/>
  <c r="C488" i="1"/>
  <c r="B488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P459" i="1" s="1"/>
  <c r="C459" i="1"/>
  <c r="B459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P455" i="1" s="1"/>
  <c r="C455" i="1"/>
  <c r="B455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O451" i="1"/>
  <c r="N451" i="1"/>
  <c r="M451" i="1"/>
  <c r="M484" i="1" s="1"/>
  <c r="L451" i="1"/>
  <c r="L484" i="1" s="1"/>
  <c r="K451" i="1"/>
  <c r="J451" i="1"/>
  <c r="I451" i="1"/>
  <c r="I484" i="1" s="1"/>
  <c r="H451" i="1"/>
  <c r="H484" i="1" s="1"/>
  <c r="G451" i="1"/>
  <c r="F451" i="1"/>
  <c r="E451" i="1"/>
  <c r="E484" i="1" s="1"/>
  <c r="D451" i="1"/>
  <c r="D484" i="1" s="1"/>
  <c r="C451" i="1"/>
  <c r="B451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Q446" i="1" s="1"/>
  <c r="B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Q442" i="1" s="1"/>
  <c r="B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Q438" i="1" s="1"/>
  <c r="B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Q434" i="1" s="1"/>
  <c r="B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Q430" i="1" s="1"/>
  <c r="B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Q424" i="1" s="1"/>
  <c r="D424" i="1"/>
  <c r="C424" i="1"/>
  <c r="B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Q420" i="1" s="1"/>
  <c r="D420" i="1"/>
  <c r="C420" i="1"/>
  <c r="B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Q416" i="1" s="1"/>
  <c r="D416" i="1"/>
  <c r="C416" i="1"/>
  <c r="B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P414" i="1"/>
  <c r="O414" i="1"/>
  <c r="O447" i="1" s="1"/>
  <c r="N414" i="1"/>
  <c r="M414" i="1"/>
  <c r="L414" i="1"/>
  <c r="K414" i="1"/>
  <c r="K447" i="1" s="1"/>
  <c r="J414" i="1"/>
  <c r="I414" i="1"/>
  <c r="H414" i="1"/>
  <c r="G414" i="1"/>
  <c r="G447" i="1" s="1"/>
  <c r="F414" i="1"/>
  <c r="E414" i="1"/>
  <c r="D414" i="1"/>
  <c r="C414" i="1"/>
  <c r="C447" i="1" s="1"/>
  <c r="B414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Q406" i="1" s="1"/>
  <c r="B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Q402" i="1" s="1"/>
  <c r="B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Q398" i="1" s="1"/>
  <c r="B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Q394" i="1" s="1"/>
  <c r="B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Q390" i="1" s="1"/>
  <c r="B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Q386" i="1" s="1"/>
  <c r="B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Q382" i="1" s="1"/>
  <c r="B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Q378" i="1" s="1"/>
  <c r="B378" i="1"/>
  <c r="P377" i="1"/>
  <c r="O377" i="1"/>
  <c r="N377" i="1"/>
  <c r="N410" i="1" s="1"/>
  <c r="M377" i="1"/>
  <c r="L377" i="1"/>
  <c r="K377" i="1"/>
  <c r="J377" i="1"/>
  <c r="J410" i="1" s="1"/>
  <c r="I377" i="1"/>
  <c r="H377" i="1"/>
  <c r="G377" i="1"/>
  <c r="F377" i="1"/>
  <c r="F410" i="1" s="1"/>
  <c r="E377" i="1"/>
  <c r="D377" i="1"/>
  <c r="C377" i="1"/>
  <c r="B377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Q370" i="1" s="1"/>
  <c r="B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Q366" i="1" s="1"/>
  <c r="B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Q362" i="1" s="1"/>
  <c r="B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Q358" i="1" s="1"/>
  <c r="B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Q354" i="1" s="1"/>
  <c r="B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Q350" i="1" s="1"/>
  <c r="B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Q346" i="1" s="1"/>
  <c r="B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Q342" i="1" s="1"/>
  <c r="B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P340" i="1"/>
  <c r="O340" i="1"/>
  <c r="N340" i="1"/>
  <c r="M340" i="1"/>
  <c r="M373" i="1" s="1"/>
  <c r="L340" i="1"/>
  <c r="K340" i="1"/>
  <c r="J340" i="1"/>
  <c r="I340" i="1"/>
  <c r="I373" i="1" s="1"/>
  <c r="H340" i="1"/>
  <c r="G340" i="1"/>
  <c r="F340" i="1"/>
  <c r="E340" i="1"/>
  <c r="E373" i="1" s="1"/>
  <c r="D340" i="1"/>
  <c r="C340" i="1"/>
  <c r="B340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Q334" i="1" s="1"/>
  <c r="B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Q330" i="1" s="1"/>
  <c r="B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Q326" i="1" s="1"/>
  <c r="B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Q322" i="1" s="1"/>
  <c r="B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Q318" i="1" s="1"/>
  <c r="B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Q314" i="1" s="1"/>
  <c r="B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Q310" i="1" s="1"/>
  <c r="B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Q306" i="1" s="1"/>
  <c r="B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P303" i="1"/>
  <c r="P336" i="1" s="1"/>
  <c r="O303" i="1"/>
  <c r="N303" i="1"/>
  <c r="M303" i="1"/>
  <c r="L303" i="1"/>
  <c r="L336" i="1" s="1"/>
  <c r="K303" i="1"/>
  <c r="J303" i="1"/>
  <c r="I303" i="1"/>
  <c r="H303" i="1"/>
  <c r="H336" i="1" s="1"/>
  <c r="G303" i="1"/>
  <c r="F303" i="1"/>
  <c r="E303" i="1"/>
  <c r="D303" i="1"/>
  <c r="D336" i="1" s="1"/>
  <c r="C303" i="1"/>
  <c r="B303" i="1"/>
  <c r="C298" i="1"/>
  <c r="D298" i="1" s="1"/>
  <c r="B298" i="1"/>
  <c r="C297" i="1"/>
  <c r="D297" i="1" s="1"/>
  <c r="B297" i="1"/>
  <c r="C296" i="1"/>
  <c r="D296" i="1" s="1"/>
  <c r="B296" i="1"/>
  <c r="C295" i="1"/>
  <c r="D295" i="1" s="1"/>
  <c r="B295" i="1"/>
  <c r="C294" i="1"/>
  <c r="D294" i="1" s="1"/>
  <c r="B294" i="1"/>
  <c r="C293" i="1"/>
  <c r="D293" i="1" s="1"/>
  <c r="B293" i="1"/>
  <c r="C292" i="1"/>
  <c r="D292" i="1" s="1"/>
  <c r="B292" i="1"/>
  <c r="C291" i="1"/>
  <c r="D291" i="1" s="1"/>
  <c r="B291" i="1"/>
  <c r="C290" i="1"/>
  <c r="D290" i="1" s="1"/>
  <c r="B290" i="1"/>
  <c r="C289" i="1"/>
  <c r="D289" i="1" s="1"/>
  <c r="B289" i="1"/>
  <c r="C288" i="1"/>
  <c r="D288" i="1" s="1"/>
  <c r="B288" i="1"/>
  <c r="C287" i="1"/>
  <c r="D287" i="1" s="1"/>
  <c r="B287" i="1"/>
  <c r="C286" i="1"/>
  <c r="D286" i="1" s="1"/>
  <c r="B286" i="1"/>
  <c r="C285" i="1"/>
  <c r="D285" i="1" s="1"/>
  <c r="B285" i="1"/>
  <c r="C284" i="1"/>
  <c r="D284" i="1" s="1"/>
  <c r="B284" i="1"/>
  <c r="D283" i="1"/>
  <c r="C283" i="1"/>
  <c r="B283" i="1"/>
  <c r="C282" i="1"/>
  <c r="D282" i="1" s="1"/>
  <c r="B282" i="1"/>
  <c r="C281" i="1"/>
  <c r="D281" i="1" s="1"/>
  <c r="B281" i="1"/>
  <c r="C280" i="1"/>
  <c r="D280" i="1" s="1"/>
  <c r="B280" i="1"/>
  <c r="C279" i="1"/>
  <c r="D279" i="1" s="1"/>
  <c r="B279" i="1"/>
  <c r="C278" i="1"/>
  <c r="D278" i="1" s="1"/>
  <c r="B278" i="1"/>
  <c r="C277" i="1"/>
  <c r="D277" i="1" s="1"/>
  <c r="B277" i="1"/>
  <c r="C276" i="1"/>
  <c r="D276" i="1" s="1"/>
  <c r="B276" i="1"/>
  <c r="D275" i="1"/>
  <c r="C275" i="1"/>
  <c r="B275" i="1"/>
  <c r="C274" i="1"/>
  <c r="D274" i="1" s="1"/>
  <c r="B274" i="1"/>
  <c r="C273" i="1"/>
  <c r="D273" i="1" s="1"/>
  <c r="B273" i="1"/>
  <c r="C272" i="1"/>
  <c r="D272" i="1" s="1"/>
  <c r="B272" i="1"/>
  <c r="C271" i="1"/>
  <c r="D271" i="1" s="1"/>
  <c r="B271" i="1"/>
  <c r="C270" i="1"/>
  <c r="D270" i="1" s="1"/>
  <c r="B270" i="1"/>
  <c r="C269" i="1"/>
  <c r="D269" i="1" s="1"/>
  <c r="B269" i="1"/>
  <c r="C268" i="1"/>
  <c r="D268" i="1" s="1"/>
  <c r="B268" i="1"/>
  <c r="D267" i="1"/>
  <c r="C267" i="1"/>
  <c r="B267" i="1"/>
  <c r="C266" i="1"/>
  <c r="D266" i="1" s="1"/>
  <c r="B266" i="1"/>
  <c r="C261" i="1"/>
  <c r="D261" i="1" s="1"/>
  <c r="B261" i="1"/>
  <c r="C260" i="1"/>
  <c r="D260" i="1" s="1"/>
  <c r="B260" i="1"/>
  <c r="C259" i="1"/>
  <c r="D259" i="1" s="1"/>
  <c r="B259" i="1"/>
  <c r="C258" i="1"/>
  <c r="D258" i="1" s="1"/>
  <c r="B258" i="1"/>
  <c r="C257" i="1"/>
  <c r="D257" i="1" s="1"/>
  <c r="B257" i="1"/>
  <c r="C256" i="1"/>
  <c r="D256" i="1" s="1"/>
  <c r="B256" i="1"/>
  <c r="C255" i="1"/>
  <c r="D255" i="1" s="1"/>
  <c r="B255" i="1"/>
  <c r="D254" i="1"/>
  <c r="C254" i="1"/>
  <c r="B254" i="1"/>
  <c r="C253" i="1"/>
  <c r="D253" i="1" s="1"/>
  <c r="B253" i="1"/>
  <c r="C252" i="1"/>
  <c r="D252" i="1" s="1"/>
  <c r="B252" i="1"/>
  <c r="C251" i="1"/>
  <c r="D251" i="1" s="1"/>
  <c r="B251" i="1"/>
  <c r="C250" i="1"/>
  <c r="D250" i="1" s="1"/>
  <c r="B250" i="1"/>
  <c r="C249" i="1"/>
  <c r="D249" i="1" s="1"/>
  <c r="B249" i="1"/>
  <c r="C248" i="1"/>
  <c r="D248" i="1" s="1"/>
  <c r="B248" i="1"/>
  <c r="C247" i="1"/>
  <c r="D247" i="1" s="1"/>
  <c r="B247" i="1"/>
  <c r="C246" i="1"/>
  <c r="D246" i="1" s="1"/>
  <c r="B246" i="1"/>
  <c r="C245" i="1"/>
  <c r="D245" i="1" s="1"/>
  <c r="B245" i="1"/>
  <c r="C244" i="1"/>
  <c r="D244" i="1" s="1"/>
  <c r="B244" i="1"/>
  <c r="C243" i="1"/>
  <c r="D243" i="1" s="1"/>
  <c r="B243" i="1"/>
  <c r="D242" i="1"/>
  <c r="C242" i="1"/>
  <c r="B242" i="1"/>
  <c r="C241" i="1"/>
  <c r="D241" i="1" s="1"/>
  <c r="B241" i="1"/>
  <c r="C240" i="1"/>
  <c r="D240" i="1" s="1"/>
  <c r="B240" i="1"/>
  <c r="C239" i="1"/>
  <c r="D239" i="1" s="1"/>
  <c r="B239" i="1"/>
  <c r="D238" i="1"/>
  <c r="C238" i="1"/>
  <c r="B238" i="1"/>
  <c r="C237" i="1"/>
  <c r="D237" i="1" s="1"/>
  <c r="B237" i="1"/>
  <c r="C236" i="1"/>
  <c r="D236" i="1" s="1"/>
  <c r="B236" i="1"/>
  <c r="C235" i="1"/>
  <c r="D235" i="1" s="1"/>
  <c r="B235" i="1"/>
  <c r="C234" i="1"/>
  <c r="D234" i="1" s="1"/>
  <c r="B234" i="1"/>
  <c r="C233" i="1"/>
  <c r="D233" i="1" s="1"/>
  <c r="B233" i="1"/>
  <c r="C232" i="1"/>
  <c r="D232" i="1" s="1"/>
  <c r="B232" i="1"/>
  <c r="C231" i="1"/>
  <c r="D231" i="1" s="1"/>
  <c r="B231" i="1"/>
  <c r="C230" i="1"/>
  <c r="D230" i="1" s="1"/>
  <c r="B230" i="1"/>
  <c r="C229" i="1"/>
  <c r="D229" i="1" s="1"/>
  <c r="B229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Q223" i="1" s="1"/>
  <c r="B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Q219" i="1" s="1"/>
  <c r="B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Q215" i="1" s="1"/>
  <c r="B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Q211" i="1" s="1"/>
  <c r="B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Q207" i="1" s="1"/>
  <c r="B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Q203" i="1" s="1"/>
  <c r="B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Q199" i="1" s="1"/>
  <c r="B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Q195" i="1" s="1"/>
  <c r="B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P191" i="1"/>
  <c r="O191" i="1"/>
  <c r="O224" i="1" s="1"/>
  <c r="N191" i="1"/>
  <c r="M191" i="1"/>
  <c r="L191" i="1"/>
  <c r="K191" i="1"/>
  <c r="K224" i="1" s="1"/>
  <c r="J191" i="1"/>
  <c r="I191" i="1"/>
  <c r="H191" i="1"/>
  <c r="G191" i="1"/>
  <c r="G224" i="1" s="1"/>
  <c r="F191" i="1"/>
  <c r="E191" i="1"/>
  <c r="D191" i="1"/>
  <c r="C191" i="1"/>
  <c r="C224" i="1" s="1"/>
  <c r="B191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Q184" i="1" s="1"/>
  <c r="D184" i="1"/>
  <c r="C184" i="1"/>
  <c r="B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Q180" i="1" s="1"/>
  <c r="D180" i="1"/>
  <c r="C180" i="1"/>
  <c r="B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Q176" i="1" s="1"/>
  <c r="D176" i="1"/>
  <c r="C176" i="1"/>
  <c r="B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Q170" i="1" s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Q166" i="1" s="1"/>
  <c r="B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Q162" i="1" s="1"/>
  <c r="B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Q158" i="1" s="1"/>
  <c r="B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Q154" i="1" s="1"/>
  <c r="B154" i="1"/>
  <c r="P153" i="1"/>
  <c r="O153" i="1"/>
  <c r="N153" i="1"/>
  <c r="N186" i="1" s="1"/>
  <c r="M153" i="1"/>
  <c r="L153" i="1"/>
  <c r="K153" i="1"/>
  <c r="J153" i="1"/>
  <c r="J186" i="1" s="1"/>
  <c r="I153" i="1"/>
  <c r="H153" i="1"/>
  <c r="G153" i="1"/>
  <c r="F153" i="1"/>
  <c r="F186" i="1" s="1"/>
  <c r="E153" i="1"/>
  <c r="D153" i="1"/>
  <c r="C153" i="1"/>
  <c r="B153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Q145" i="1" s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Q141" i="1" s="1"/>
  <c r="B141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Q137" i="1" s="1"/>
  <c r="B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Q133" i="1" s="1"/>
  <c r="B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Q129" i="1" s="1"/>
  <c r="B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Q125" i="1" s="1"/>
  <c r="B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Q121" i="1" s="1"/>
  <c r="B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Q117" i="1" s="1"/>
  <c r="B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P115" i="1"/>
  <c r="O115" i="1"/>
  <c r="N115" i="1"/>
  <c r="M115" i="1"/>
  <c r="M148" i="1" s="1"/>
  <c r="L115" i="1"/>
  <c r="K115" i="1"/>
  <c r="J115" i="1"/>
  <c r="I115" i="1"/>
  <c r="I148" i="1" s="1"/>
  <c r="H115" i="1"/>
  <c r="G115" i="1"/>
  <c r="F115" i="1"/>
  <c r="E115" i="1"/>
  <c r="E148" i="1" s="1"/>
  <c r="D115" i="1"/>
  <c r="C115" i="1"/>
  <c r="B115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Q108" i="1" s="1"/>
  <c r="B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Q104" i="1" s="1"/>
  <c r="B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Q100" i="1" s="1"/>
  <c r="B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Q96" i="1" s="1"/>
  <c r="B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Q92" i="1" s="1"/>
  <c r="B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Q88" i="1" s="1"/>
  <c r="B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Q84" i="1" s="1"/>
  <c r="B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Q80" i="1" s="1"/>
  <c r="B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P77" i="1"/>
  <c r="P110" i="1" s="1"/>
  <c r="O77" i="1"/>
  <c r="N77" i="1"/>
  <c r="M77" i="1"/>
  <c r="L77" i="1"/>
  <c r="L110" i="1" s="1"/>
  <c r="K77" i="1"/>
  <c r="J77" i="1"/>
  <c r="I77" i="1"/>
  <c r="H77" i="1"/>
  <c r="H110" i="1" s="1"/>
  <c r="G77" i="1"/>
  <c r="F77" i="1"/>
  <c r="E77" i="1"/>
  <c r="D77" i="1"/>
  <c r="D110" i="1" s="1"/>
  <c r="C77" i="1"/>
  <c r="B77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Q72" i="1" s="1"/>
  <c r="B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Q68" i="1" s="1"/>
  <c r="B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Q64" i="1" s="1"/>
  <c r="B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Q60" i="1" s="1"/>
  <c r="B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Q56" i="1" s="1"/>
  <c r="B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Q52" i="1" s="1"/>
  <c r="B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Q48" i="1" s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Q44" i="1" s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P40" i="1"/>
  <c r="O40" i="1"/>
  <c r="O73" i="1" s="1"/>
  <c r="N40" i="1"/>
  <c r="M40" i="1"/>
  <c r="L40" i="1"/>
  <c r="K40" i="1"/>
  <c r="K73" i="1" s="1"/>
  <c r="J40" i="1"/>
  <c r="I40" i="1"/>
  <c r="H40" i="1"/>
  <c r="G40" i="1"/>
  <c r="G73" i="1" s="1"/>
  <c r="F40" i="1"/>
  <c r="E40" i="1"/>
  <c r="D40" i="1"/>
  <c r="C40" i="1"/>
  <c r="C73" i="1" s="1"/>
  <c r="B40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Q32" i="1" s="1"/>
  <c r="B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Q28" i="1" s="1"/>
  <c r="B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Q24" i="1" s="1"/>
  <c r="B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Q20" i="1" s="1"/>
  <c r="B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Q16" i="1" s="1"/>
  <c r="B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Q12" i="1" s="1"/>
  <c r="B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Q8" i="1" s="1"/>
  <c r="B8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Q4" i="1" s="1"/>
  <c r="B4" i="1"/>
  <c r="P3" i="1"/>
  <c r="O3" i="1"/>
  <c r="N3" i="1"/>
  <c r="N36" i="1" s="1"/>
  <c r="M3" i="1"/>
  <c r="L3" i="1"/>
  <c r="K3" i="1"/>
  <c r="J3" i="1"/>
  <c r="J36" i="1" s="1"/>
  <c r="I3" i="1"/>
  <c r="H3" i="1"/>
  <c r="G3" i="1"/>
  <c r="F3" i="1"/>
  <c r="F36" i="1" s="1"/>
  <c r="E3" i="1"/>
  <c r="D3" i="1"/>
  <c r="C3" i="1"/>
  <c r="B3" i="1"/>
  <c r="C36" i="1" l="1"/>
  <c r="K36" i="1"/>
  <c r="Q7" i="1"/>
  <c r="Q11" i="1"/>
  <c r="Q15" i="1"/>
  <c r="L73" i="1"/>
  <c r="Q47" i="1"/>
  <c r="Q67" i="1"/>
  <c r="Q71" i="1"/>
  <c r="E110" i="1"/>
  <c r="Q79" i="1"/>
  <c r="Q95" i="1"/>
  <c r="Q99" i="1"/>
  <c r="F148" i="1"/>
  <c r="Q116" i="1"/>
  <c r="Q124" i="1"/>
  <c r="Q140" i="1"/>
  <c r="Q144" i="1"/>
  <c r="G186" i="1"/>
  <c r="Q165" i="1"/>
  <c r="Q169" i="1"/>
  <c r="Q173" i="1"/>
  <c r="Q175" i="1"/>
  <c r="Q179" i="1"/>
  <c r="Q183" i="1"/>
  <c r="Q185" i="1"/>
  <c r="D224" i="1"/>
  <c r="H224" i="1"/>
  <c r="L224" i="1"/>
  <c r="P224" i="1"/>
  <c r="Q194" i="1"/>
  <c r="Q198" i="1"/>
  <c r="Q202" i="1"/>
  <c r="Q206" i="1"/>
  <c r="Q210" i="1"/>
  <c r="Q214" i="1"/>
  <c r="Q218" i="1"/>
  <c r="Q222" i="1"/>
  <c r="E336" i="1"/>
  <c r="I336" i="1"/>
  <c r="M336" i="1"/>
  <c r="Q305" i="1"/>
  <c r="Q309" i="1"/>
  <c r="Q313" i="1"/>
  <c r="Q317" i="1"/>
  <c r="Q321" i="1"/>
  <c r="Q325" i="1"/>
  <c r="Q329" i="1"/>
  <c r="Q333" i="1"/>
  <c r="F373" i="1"/>
  <c r="J373" i="1"/>
  <c r="N373" i="1"/>
  <c r="Q341" i="1"/>
  <c r="Q345" i="1"/>
  <c r="Q349" i="1"/>
  <c r="Q353" i="1"/>
  <c r="Q357" i="1"/>
  <c r="Q361" i="1"/>
  <c r="Q365" i="1"/>
  <c r="Q369" i="1"/>
  <c r="Q377" i="1"/>
  <c r="G410" i="1"/>
  <c r="K410" i="1"/>
  <c r="O410" i="1"/>
  <c r="Q381" i="1"/>
  <c r="Q385" i="1"/>
  <c r="Q389" i="1"/>
  <c r="Q393" i="1"/>
  <c r="Q397" i="1"/>
  <c r="Q401" i="1"/>
  <c r="Q405" i="1"/>
  <c r="Q409" i="1"/>
  <c r="D447" i="1"/>
  <c r="H447" i="1"/>
  <c r="L447" i="1"/>
  <c r="P447" i="1"/>
  <c r="Q415" i="1"/>
  <c r="Q419" i="1"/>
  <c r="Q423" i="1"/>
  <c r="Q429" i="1"/>
  <c r="Q433" i="1"/>
  <c r="Q437" i="1"/>
  <c r="Q441" i="1"/>
  <c r="Q445" i="1"/>
  <c r="P452" i="1"/>
  <c r="P454" i="1"/>
  <c r="P456" i="1"/>
  <c r="P458" i="1"/>
  <c r="P460" i="1"/>
  <c r="P462" i="1"/>
  <c r="P464" i="1"/>
  <c r="P466" i="1"/>
  <c r="P468" i="1"/>
  <c r="P470" i="1"/>
  <c r="P472" i="1"/>
  <c r="O36" i="1"/>
  <c r="Q19" i="1"/>
  <c r="Q23" i="1"/>
  <c r="Q31" i="1"/>
  <c r="Q35" i="1"/>
  <c r="H73" i="1"/>
  <c r="Q43" i="1"/>
  <c r="Q51" i="1"/>
  <c r="Q59" i="1"/>
  <c r="I110" i="1"/>
  <c r="Q87" i="1"/>
  <c r="Q103" i="1"/>
  <c r="Q107" i="1"/>
  <c r="N148" i="1"/>
  <c r="Q120" i="1"/>
  <c r="Q128" i="1"/>
  <c r="K186" i="1"/>
  <c r="Q161" i="1"/>
  <c r="D36" i="1"/>
  <c r="L36" i="1"/>
  <c r="Q14" i="1"/>
  <c r="E73" i="1"/>
  <c r="M73" i="1"/>
  <c r="Q42" i="1"/>
  <c r="F110" i="1"/>
  <c r="N110" i="1"/>
  <c r="Q86" i="1"/>
  <c r="Q90" i="1"/>
  <c r="Q94" i="1"/>
  <c r="Q106" i="1"/>
  <c r="Q115" i="1"/>
  <c r="K148" i="1"/>
  <c r="Q127" i="1"/>
  <c r="Q131" i="1"/>
  <c r="Q135" i="1"/>
  <c r="H186" i="1"/>
  <c r="P186" i="1"/>
  <c r="Q168" i="1"/>
  <c r="Q174" i="1"/>
  <c r="Q178" i="1"/>
  <c r="E224" i="1"/>
  <c r="I224" i="1"/>
  <c r="Q193" i="1"/>
  <c r="Q197" i="1"/>
  <c r="Q201" i="1"/>
  <c r="Q205" i="1"/>
  <c r="Q209" i="1"/>
  <c r="Q213" i="1"/>
  <c r="Q217" i="1"/>
  <c r="Q221" i="1"/>
  <c r="F336" i="1"/>
  <c r="J336" i="1"/>
  <c r="N336" i="1"/>
  <c r="Q304" i="1"/>
  <c r="Q308" i="1"/>
  <c r="Q312" i="1"/>
  <c r="Q316" i="1"/>
  <c r="Q320" i="1"/>
  <c r="Q324" i="1"/>
  <c r="Q328" i="1"/>
  <c r="Q332" i="1"/>
  <c r="C373" i="1"/>
  <c r="G373" i="1"/>
  <c r="K373" i="1"/>
  <c r="O373" i="1"/>
  <c r="Q344" i="1"/>
  <c r="Q348" i="1"/>
  <c r="Q352" i="1"/>
  <c r="Q356" i="1"/>
  <c r="Q360" i="1"/>
  <c r="Q364" i="1"/>
  <c r="Q368" i="1"/>
  <c r="Q372" i="1"/>
  <c r="D410" i="1"/>
  <c r="H410" i="1"/>
  <c r="L410" i="1"/>
  <c r="P410" i="1"/>
  <c r="Q380" i="1"/>
  <c r="Q384" i="1"/>
  <c r="Q388" i="1"/>
  <c r="Q392" i="1"/>
  <c r="Q396" i="1"/>
  <c r="Q400" i="1"/>
  <c r="Q404" i="1"/>
  <c r="Q408" i="1"/>
  <c r="E447" i="1"/>
  <c r="I447" i="1"/>
  <c r="M447" i="1"/>
  <c r="Q418" i="1"/>
  <c r="Q422" i="1"/>
  <c r="Q426" i="1"/>
  <c r="Q432" i="1"/>
  <c r="Q436" i="1"/>
  <c r="Q440" i="1"/>
  <c r="Q444" i="1"/>
  <c r="F484" i="1"/>
  <c r="J484" i="1"/>
  <c r="N484" i="1"/>
  <c r="P480" i="1"/>
  <c r="D521" i="1"/>
  <c r="H521" i="1"/>
  <c r="L521" i="1"/>
  <c r="P521" i="1"/>
  <c r="Q491" i="1"/>
  <c r="Q495" i="1"/>
  <c r="Q499" i="1"/>
  <c r="Q503" i="1"/>
  <c r="Q507" i="1"/>
  <c r="Q511" i="1"/>
  <c r="Q515" i="1"/>
  <c r="Q519" i="1"/>
  <c r="G36" i="1"/>
  <c r="Q27" i="1"/>
  <c r="D73" i="1"/>
  <c r="P73" i="1"/>
  <c r="Q55" i="1"/>
  <c r="Q63" i="1"/>
  <c r="M110" i="1"/>
  <c r="Q83" i="1"/>
  <c r="Q91" i="1"/>
  <c r="J148" i="1"/>
  <c r="Q132" i="1"/>
  <c r="Q136" i="1"/>
  <c r="C186" i="1"/>
  <c r="O186" i="1"/>
  <c r="Q157" i="1"/>
  <c r="H36" i="1"/>
  <c r="P36" i="1"/>
  <c r="Q6" i="1"/>
  <c r="Q10" i="1"/>
  <c r="Q18" i="1"/>
  <c r="Q22" i="1"/>
  <c r="Q26" i="1"/>
  <c r="Q30" i="1"/>
  <c r="Q34" i="1"/>
  <c r="I73" i="1"/>
  <c r="Q46" i="1"/>
  <c r="Q50" i="1"/>
  <c r="Q54" i="1"/>
  <c r="Q58" i="1"/>
  <c r="Q62" i="1"/>
  <c r="Q66" i="1"/>
  <c r="Q70" i="1"/>
  <c r="J110" i="1"/>
  <c r="Q78" i="1"/>
  <c r="Q82" i="1"/>
  <c r="Q98" i="1"/>
  <c r="Q102" i="1"/>
  <c r="G148" i="1"/>
  <c r="O148" i="1"/>
  <c r="Q119" i="1"/>
  <c r="Q123" i="1"/>
  <c r="Q139" i="1"/>
  <c r="Q143" i="1"/>
  <c r="Q147" i="1"/>
  <c r="D186" i="1"/>
  <c r="L186" i="1"/>
  <c r="Q156" i="1"/>
  <c r="Q160" i="1"/>
  <c r="Q164" i="1"/>
  <c r="Q172" i="1"/>
  <c r="Q182" i="1"/>
  <c r="M224" i="1"/>
  <c r="E36" i="1"/>
  <c r="I36" i="1"/>
  <c r="M36" i="1"/>
  <c r="Q5" i="1"/>
  <c r="Q9" i="1"/>
  <c r="Q13" i="1"/>
  <c r="Q17" i="1"/>
  <c r="Q21" i="1"/>
  <c r="Q25" i="1"/>
  <c r="Q29" i="1"/>
  <c r="Q33" i="1"/>
  <c r="F73" i="1"/>
  <c r="J73" i="1"/>
  <c r="N73" i="1"/>
  <c r="Q41" i="1"/>
  <c r="Q45" i="1"/>
  <c r="Q49" i="1"/>
  <c r="Q53" i="1"/>
  <c r="Q57" i="1"/>
  <c r="Q61" i="1"/>
  <c r="Q65" i="1"/>
  <c r="Q69" i="1"/>
  <c r="C110" i="1"/>
  <c r="G110" i="1"/>
  <c r="K110" i="1"/>
  <c r="O110" i="1"/>
  <c r="Q81" i="1"/>
  <c r="Q85" i="1"/>
  <c r="Q89" i="1"/>
  <c r="Q93" i="1"/>
  <c r="Q97" i="1"/>
  <c r="Q101" i="1"/>
  <c r="Q105" i="1"/>
  <c r="Q109" i="1"/>
  <c r="D148" i="1"/>
  <c r="H148" i="1"/>
  <c r="L148" i="1"/>
  <c r="P148" i="1"/>
  <c r="Q118" i="1"/>
  <c r="Q122" i="1"/>
  <c r="Q126" i="1"/>
  <c r="Q130" i="1"/>
  <c r="Q134" i="1"/>
  <c r="Q138" i="1"/>
  <c r="Q142" i="1"/>
  <c r="Q146" i="1"/>
  <c r="E186" i="1"/>
  <c r="I186" i="1"/>
  <c r="M186" i="1"/>
  <c r="Q155" i="1"/>
  <c r="Q159" i="1"/>
  <c r="Q163" i="1"/>
  <c r="Q167" i="1"/>
  <c r="Q171" i="1"/>
  <c r="Q177" i="1"/>
  <c r="Q181" i="1"/>
  <c r="F224" i="1"/>
  <c r="J224" i="1"/>
  <c r="N224" i="1"/>
  <c r="Q192" i="1"/>
  <c r="Q196" i="1"/>
  <c r="Q200" i="1"/>
  <c r="Q204" i="1"/>
  <c r="Q208" i="1"/>
  <c r="P474" i="1"/>
  <c r="P476" i="1"/>
  <c r="P478" i="1"/>
  <c r="P482" i="1"/>
  <c r="C521" i="1"/>
  <c r="G521" i="1"/>
  <c r="K521" i="1"/>
  <c r="O521" i="1"/>
  <c r="Q492" i="1"/>
  <c r="Q496" i="1"/>
  <c r="Q500" i="1"/>
  <c r="Q504" i="1"/>
  <c r="Q508" i="1"/>
  <c r="Q512" i="1"/>
  <c r="Q516" i="1"/>
  <c r="Q520" i="1"/>
  <c r="D558" i="1"/>
  <c r="H558" i="1"/>
  <c r="L558" i="1"/>
  <c r="P558" i="1"/>
  <c r="Q528" i="1"/>
  <c r="Q532" i="1"/>
  <c r="Q536" i="1"/>
  <c r="Q540" i="1"/>
  <c r="Q544" i="1"/>
  <c r="Q548" i="1"/>
  <c r="Q552" i="1"/>
  <c r="Q556" i="1"/>
  <c r="E595" i="1"/>
  <c r="I595" i="1"/>
  <c r="M595" i="1"/>
  <c r="Q564" i="1"/>
  <c r="Q568" i="1"/>
  <c r="Q572" i="1"/>
  <c r="Q576" i="1"/>
  <c r="Q580" i="1"/>
  <c r="Q584" i="1"/>
  <c r="Q588" i="1"/>
  <c r="Q592" i="1"/>
  <c r="F632" i="1"/>
  <c r="J632" i="1"/>
  <c r="N632" i="1"/>
  <c r="Q600" i="1"/>
  <c r="Q604" i="1"/>
  <c r="Q608" i="1"/>
  <c r="Q612" i="1"/>
  <c r="Q616" i="1"/>
  <c r="Q620" i="1"/>
  <c r="Q624" i="1"/>
  <c r="Q628" i="1"/>
  <c r="C669" i="1"/>
  <c r="G669" i="1"/>
  <c r="K669" i="1"/>
  <c r="O669" i="1"/>
  <c r="Q640" i="1"/>
  <c r="Q644" i="1"/>
  <c r="Q648" i="1"/>
  <c r="Q652" i="1"/>
  <c r="Q656" i="1"/>
  <c r="Q660" i="1"/>
  <c r="Q664" i="1"/>
  <c r="Q668" i="1"/>
  <c r="D706" i="1"/>
  <c r="H706" i="1"/>
  <c r="L706" i="1"/>
  <c r="P706" i="1"/>
  <c r="Q676" i="1"/>
  <c r="Q680" i="1"/>
  <c r="Q684" i="1"/>
  <c r="Q688" i="1"/>
  <c r="Q692" i="1"/>
  <c r="Q696" i="1"/>
  <c r="Q700" i="1"/>
  <c r="Q704" i="1"/>
  <c r="E743" i="1"/>
  <c r="I743" i="1"/>
  <c r="M743" i="1"/>
  <c r="Q712" i="1"/>
  <c r="Q716" i="1"/>
  <c r="Q720" i="1"/>
  <c r="Q724" i="1"/>
  <c r="Q728" i="1"/>
  <c r="Q732" i="1"/>
  <c r="Q733" i="1"/>
  <c r="Q738" i="1"/>
  <c r="Q742" i="1"/>
  <c r="F780" i="1"/>
  <c r="J780" i="1"/>
  <c r="N780" i="1"/>
  <c r="Q750" i="1"/>
  <c r="Q754" i="1"/>
  <c r="Q758" i="1"/>
  <c r="Q762" i="1"/>
  <c r="Q766" i="1"/>
  <c r="Q770" i="1"/>
  <c r="Q774" i="1"/>
  <c r="Q778" i="1"/>
  <c r="C817" i="1"/>
  <c r="G817" i="1"/>
  <c r="K817" i="1"/>
  <c r="O817" i="1"/>
  <c r="Q788" i="1"/>
  <c r="Q792" i="1"/>
  <c r="Q796" i="1"/>
  <c r="E558" i="1"/>
  <c r="I558" i="1"/>
  <c r="M558" i="1"/>
  <c r="Q527" i="1"/>
  <c r="Q531" i="1"/>
  <c r="Q535" i="1"/>
  <c r="Q539" i="1"/>
  <c r="Q543" i="1"/>
  <c r="Q547" i="1"/>
  <c r="Q551" i="1"/>
  <c r="Q555" i="1"/>
  <c r="F595" i="1"/>
  <c r="J595" i="1"/>
  <c r="N595" i="1"/>
  <c r="Q563" i="1"/>
  <c r="Q567" i="1"/>
  <c r="Q571" i="1"/>
  <c r="Q575" i="1"/>
  <c r="Q579" i="1"/>
  <c r="Q583" i="1"/>
  <c r="Q587" i="1"/>
  <c r="Q591" i="1"/>
  <c r="C632" i="1"/>
  <c r="G632" i="1"/>
  <c r="K632" i="1"/>
  <c r="O632" i="1"/>
  <c r="Q603" i="1"/>
  <c r="Q607" i="1"/>
  <c r="Q611" i="1"/>
  <c r="Q615" i="1"/>
  <c r="Q619" i="1"/>
  <c r="Q623" i="1"/>
  <c r="Q627" i="1"/>
  <c r="Q631" i="1"/>
  <c r="D669" i="1"/>
  <c r="H669" i="1"/>
  <c r="L669" i="1"/>
  <c r="P669" i="1"/>
  <c r="Q639" i="1"/>
  <c r="Q643" i="1"/>
  <c r="Q647" i="1"/>
  <c r="Q651" i="1"/>
  <c r="Q655" i="1"/>
  <c r="Q659" i="1"/>
  <c r="Q663" i="1"/>
  <c r="Q667" i="1"/>
  <c r="E706" i="1"/>
  <c r="I706" i="1"/>
  <c r="M706" i="1"/>
  <c r="Q675" i="1"/>
  <c r="Q679" i="1"/>
  <c r="Q683" i="1"/>
  <c r="Q687" i="1"/>
  <c r="Q691" i="1"/>
  <c r="Q695" i="1"/>
  <c r="Q699" i="1"/>
  <c r="Q703" i="1"/>
  <c r="F743" i="1"/>
  <c r="J743" i="1"/>
  <c r="N743" i="1"/>
  <c r="Q711" i="1"/>
  <c r="Q715" i="1"/>
  <c r="Q719" i="1"/>
  <c r="Q723" i="1"/>
  <c r="Q727" i="1"/>
  <c r="Q731" i="1"/>
  <c r="Q737" i="1"/>
  <c r="Q741" i="1"/>
  <c r="C780" i="1"/>
  <c r="G780" i="1"/>
  <c r="K780" i="1"/>
  <c r="O780" i="1"/>
  <c r="Q749" i="1"/>
  <c r="Q753" i="1"/>
  <c r="Q757" i="1"/>
  <c r="Q761" i="1"/>
  <c r="Q765" i="1"/>
  <c r="Q769" i="1"/>
  <c r="Q773" i="1"/>
  <c r="Q777" i="1"/>
  <c r="D817" i="1"/>
  <c r="H817" i="1"/>
  <c r="L817" i="1"/>
  <c r="P817" i="1"/>
  <c r="Q787" i="1"/>
  <c r="Q791" i="1"/>
  <c r="Q795" i="1"/>
  <c r="Q799" i="1"/>
  <c r="Q803" i="1"/>
  <c r="Q807" i="1"/>
  <c r="Q811" i="1"/>
  <c r="Q815" i="1"/>
  <c r="E854" i="1"/>
  <c r="I854" i="1"/>
  <c r="M854" i="1"/>
  <c r="Q823" i="1"/>
  <c r="Q827" i="1"/>
  <c r="Q831" i="1"/>
  <c r="Q835" i="1"/>
  <c r="Q839" i="1"/>
  <c r="Q843" i="1"/>
  <c r="Q847" i="1"/>
  <c r="Q851" i="1"/>
  <c r="F891" i="1"/>
  <c r="J891" i="1"/>
  <c r="N891" i="1"/>
  <c r="Q859" i="1"/>
  <c r="Q863" i="1"/>
  <c r="Q867" i="1"/>
  <c r="Q871" i="1"/>
  <c r="Q875" i="1"/>
  <c r="Q879" i="1"/>
  <c r="Q883" i="1"/>
  <c r="Q887" i="1"/>
  <c r="C928" i="1"/>
  <c r="G928" i="1"/>
  <c r="K928" i="1"/>
  <c r="O928" i="1"/>
  <c r="Q899" i="1"/>
  <c r="Q903" i="1"/>
  <c r="Q212" i="1"/>
  <c r="Q216" i="1"/>
  <c r="Q220" i="1"/>
  <c r="D262" i="1"/>
  <c r="C336" i="1"/>
  <c r="G336" i="1"/>
  <c r="K336" i="1"/>
  <c r="O336" i="1"/>
  <c r="Q307" i="1"/>
  <c r="Q311" i="1"/>
  <c r="Q315" i="1"/>
  <c r="Q319" i="1"/>
  <c r="Q323" i="1"/>
  <c r="Q327" i="1"/>
  <c r="Q331" i="1"/>
  <c r="Q335" i="1"/>
  <c r="D373" i="1"/>
  <c r="H373" i="1"/>
  <c r="L373" i="1"/>
  <c r="P373" i="1"/>
  <c r="Q343" i="1"/>
  <c r="Q347" i="1"/>
  <c r="Q351" i="1"/>
  <c r="Q355" i="1"/>
  <c r="Q359" i="1"/>
  <c r="Q363" i="1"/>
  <c r="Q367" i="1"/>
  <c r="Q371" i="1"/>
  <c r="E410" i="1"/>
  <c r="I410" i="1"/>
  <c r="M410" i="1"/>
  <c r="Q379" i="1"/>
  <c r="Q383" i="1"/>
  <c r="Q387" i="1"/>
  <c r="Q391" i="1"/>
  <c r="Q395" i="1"/>
  <c r="Q399" i="1"/>
  <c r="Q403" i="1"/>
  <c r="Q407" i="1"/>
  <c r="F447" i="1"/>
  <c r="J447" i="1"/>
  <c r="N447" i="1"/>
  <c r="Q417" i="1"/>
  <c r="Q421" i="1"/>
  <c r="Q425" i="1"/>
  <c r="Q431" i="1"/>
  <c r="Q435" i="1"/>
  <c r="Q439" i="1"/>
  <c r="Q443" i="1"/>
  <c r="P451" i="1"/>
  <c r="G484" i="1"/>
  <c r="K484" i="1"/>
  <c r="O484" i="1"/>
  <c r="P453" i="1"/>
  <c r="P457" i="1"/>
  <c r="P461" i="1"/>
  <c r="P463" i="1"/>
  <c r="P465" i="1"/>
  <c r="P467" i="1"/>
  <c r="P469" i="1"/>
  <c r="P471" i="1"/>
  <c r="P473" i="1"/>
  <c r="P475" i="1"/>
  <c r="P477" i="1"/>
  <c r="P479" i="1"/>
  <c r="P481" i="1"/>
  <c r="P483" i="1"/>
  <c r="E521" i="1"/>
  <c r="I521" i="1"/>
  <c r="M521" i="1"/>
  <c r="Q490" i="1"/>
  <c r="Q494" i="1"/>
  <c r="Q498" i="1"/>
  <c r="Q502" i="1"/>
  <c r="Q506" i="1"/>
  <c r="Q510" i="1"/>
  <c r="Q514" i="1"/>
  <c r="Q518" i="1"/>
  <c r="F558" i="1"/>
  <c r="J558" i="1"/>
  <c r="N558" i="1"/>
  <c r="Q526" i="1"/>
  <c r="Q530" i="1"/>
  <c r="Q534" i="1"/>
  <c r="Q538" i="1"/>
  <c r="Q542" i="1"/>
  <c r="Q546" i="1"/>
  <c r="Q550" i="1"/>
  <c r="Q554" i="1"/>
  <c r="Q562" i="1"/>
  <c r="G595" i="1"/>
  <c r="K595" i="1"/>
  <c r="O595" i="1"/>
  <c r="Q566" i="1"/>
  <c r="Q570" i="1"/>
  <c r="Q574" i="1"/>
  <c r="Q578" i="1"/>
  <c r="Q582" i="1"/>
  <c r="Q586" i="1"/>
  <c r="Q590" i="1"/>
  <c r="Q594" i="1"/>
  <c r="D632" i="1"/>
  <c r="H632" i="1"/>
  <c r="L632" i="1"/>
  <c r="P632" i="1"/>
  <c r="Q602" i="1"/>
  <c r="Q606" i="1"/>
  <c r="Q610" i="1"/>
  <c r="Q614" i="1"/>
  <c r="Q618" i="1"/>
  <c r="Q622" i="1"/>
  <c r="Q626" i="1"/>
  <c r="Q630" i="1"/>
  <c r="E669" i="1"/>
  <c r="I669" i="1"/>
  <c r="M669" i="1"/>
  <c r="Q638" i="1"/>
  <c r="Q642" i="1"/>
  <c r="Q646" i="1"/>
  <c r="Q650" i="1"/>
  <c r="Q654" i="1"/>
  <c r="Q658" i="1"/>
  <c r="Q662" i="1"/>
  <c r="Q666" i="1"/>
  <c r="F706" i="1"/>
  <c r="J706" i="1"/>
  <c r="N706" i="1"/>
  <c r="Q674" i="1"/>
  <c r="Q678" i="1"/>
  <c r="Q682" i="1"/>
  <c r="Q686" i="1"/>
  <c r="Q690" i="1"/>
  <c r="Q694" i="1"/>
  <c r="Q698" i="1"/>
  <c r="Q702" i="1"/>
  <c r="Q710" i="1"/>
  <c r="G743" i="1"/>
  <c r="K743" i="1"/>
  <c r="O743" i="1"/>
  <c r="Q714" i="1"/>
  <c r="Q718" i="1"/>
  <c r="Q722" i="1"/>
  <c r="Q726" i="1"/>
  <c r="Q730" i="1"/>
  <c r="Q735" i="1"/>
  <c r="Q736" i="1"/>
  <c r="Q740" i="1"/>
  <c r="D780" i="1"/>
  <c r="H780" i="1"/>
  <c r="L780" i="1"/>
  <c r="P780" i="1"/>
  <c r="Q748" i="1"/>
  <c r="Q780" i="1" s="1"/>
  <c r="Q752" i="1"/>
  <c r="Q756" i="1"/>
  <c r="Q760" i="1"/>
  <c r="Q764" i="1"/>
  <c r="Q768" i="1"/>
  <c r="Q772" i="1"/>
  <c r="Q776" i="1"/>
  <c r="E817" i="1"/>
  <c r="I817" i="1"/>
  <c r="M817" i="1"/>
  <c r="Q786" i="1"/>
  <c r="Q790" i="1"/>
  <c r="Q794" i="1"/>
  <c r="Q798" i="1"/>
  <c r="Q907" i="1"/>
  <c r="Q911" i="1"/>
  <c r="Q915" i="1"/>
  <c r="Q921" i="1"/>
  <c r="Q925" i="1"/>
  <c r="D965" i="1"/>
  <c r="H965" i="1"/>
  <c r="L965" i="1"/>
  <c r="P965" i="1"/>
  <c r="Q935" i="1"/>
  <c r="Q939" i="1"/>
  <c r="Q943" i="1"/>
  <c r="Q947" i="1"/>
  <c r="Q951" i="1"/>
  <c r="Q955" i="1"/>
  <c r="Q959" i="1"/>
  <c r="Q963" i="1"/>
  <c r="E1002" i="1"/>
  <c r="I1002" i="1"/>
  <c r="M1002" i="1"/>
  <c r="Q971" i="1"/>
  <c r="Q975" i="1"/>
  <c r="Q979" i="1"/>
  <c r="Q983" i="1"/>
  <c r="Q987" i="1"/>
  <c r="Q991" i="1"/>
  <c r="Q995" i="1"/>
  <c r="Q999" i="1"/>
  <c r="F1039" i="1"/>
  <c r="J1039" i="1"/>
  <c r="N1039" i="1"/>
  <c r="Q1008" i="1"/>
  <c r="Q1012" i="1"/>
  <c r="Q1016" i="1"/>
  <c r="Q1020" i="1"/>
  <c r="Q1024" i="1"/>
  <c r="Q1028" i="1"/>
  <c r="Q1032" i="1"/>
  <c r="Q1036" i="1"/>
  <c r="C1076" i="1"/>
  <c r="G1076" i="1"/>
  <c r="K1076" i="1"/>
  <c r="O1076" i="1"/>
  <c r="Q1045" i="1"/>
  <c r="Q1049" i="1"/>
  <c r="Q1053" i="1"/>
  <c r="Q1057" i="1"/>
  <c r="Q1061" i="1"/>
  <c r="Q1065" i="1"/>
  <c r="Q802" i="1"/>
  <c r="Q806" i="1"/>
  <c r="Q810" i="1"/>
  <c r="Q814" i="1"/>
  <c r="F854" i="1"/>
  <c r="J854" i="1"/>
  <c r="N854" i="1"/>
  <c r="Q822" i="1"/>
  <c r="Q826" i="1"/>
  <c r="Q830" i="1"/>
  <c r="Q834" i="1"/>
  <c r="Q838" i="1"/>
  <c r="Q842" i="1"/>
  <c r="Q846" i="1"/>
  <c r="Q850" i="1"/>
  <c r="Q858" i="1"/>
  <c r="G891" i="1"/>
  <c r="K891" i="1"/>
  <c r="O891" i="1"/>
  <c r="Q862" i="1"/>
  <c r="Q866" i="1"/>
  <c r="Q870" i="1"/>
  <c r="Q874" i="1"/>
  <c r="Q878" i="1"/>
  <c r="Q882" i="1"/>
  <c r="Q886" i="1"/>
  <c r="Q890" i="1"/>
  <c r="D928" i="1"/>
  <c r="H928" i="1"/>
  <c r="L928" i="1"/>
  <c r="P928" i="1"/>
  <c r="Q898" i="1"/>
  <c r="Q902" i="1"/>
  <c r="Q906" i="1"/>
  <c r="Q910" i="1"/>
  <c r="Q914" i="1"/>
  <c r="Q920" i="1"/>
  <c r="Q924" i="1"/>
  <c r="E965" i="1"/>
  <c r="I965" i="1"/>
  <c r="M965" i="1"/>
  <c r="Q934" i="1"/>
  <c r="Q938" i="1"/>
  <c r="Q942" i="1"/>
  <c r="Q946" i="1"/>
  <c r="Q950" i="1"/>
  <c r="Q954" i="1"/>
  <c r="Q958" i="1"/>
  <c r="Q962" i="1"/>
  <c r="F1002" i="1"/>
  <c r="J1002" i="1"/>
  <c r="N1002" i="1"/>
  <c r="Q970" i="1"/>
  <c r="Q974" i="1"/>
  <c r="Q978" i="1"/>
  <c r="Q982" i="1"/>
  <c r="Q986" i="1"/>
  <c r="Q990" i="1"/>
  <c r="Q994" i="1"/>
  <c r="Q998" i="1"/>
  <c r="C1039" i="1"/>
  <c r="G1039" i="1"/>
  <c r="K1039" i="1"/>
  <c r="O1039" i="1"/>
  <c r="Q1007" i="1"/>
  <c r="Q1011" i="1"/>
  <c r="Q1015" i="1"/>
  <c r="Q1019" i="1"/>
  <c r="Q1023" i="1"/>
  <c r="Q1027" i="1"/>
  <c r="Q1031" i="1"/>
  <c r="Q1035" i="1"/>
  <c r="D1076" i="1"/>
  <c r="H1076" i="1"/>
  <c r="L1076" i="1"/>
  <c r="P1076" i="1"/>
  <c r="Q1044" i="1"/>
  <c r="Q1048" i="1"/>
  <c r="Q1052" i="1"/>
  <c r="Q1056" i="1"/>
  <c r="Q1060" i="1"/>
  <c r="Q1064" i="1"/>
  <c r="F1112" i="1"/>
  <c r="F1120" i="1"/>
  <c r="E1187" i="1"/>
  <c r="C1520" i="1"/>
  <c r="D1487" i="1"/>
  <c r="Q801" i="1"/>
  <c r="Q805" i="1"/>
  <c r="Q809" i="1"/>
  <c r="Q813" i="1"/>
  <c r="C854" i="1"/>
  <c r="G854" i="1"/>
  <c r="K854" i="1"/>
  <c r="O854" i="1"/>
  <c r="Q825" i="1"/>
  <c r="Q829" i="1"/>
  <c r="Q833" i="1"/>
  <c r="Q837" i="1"/>
  <c r="Q845" i="1"/>
  <c r="Q849" i="1"/>
  <c r="Q853" i="1"/>
  <c r="D891" i="1"/>
  <c r="H891" i="1"/>
  <c r="L891" i="1"/>
  <c r="P891" i="1"/>
  <c r="Q861" i="1"/>
  <c r="Q865" i="1"/>
  <c r="Q869" i="1"/>
  <c r="Q873" i="1"/>
  <c r="Q877" i="1"/>
  <c r="Q881" i="1"/>
  <c r="Q885" i="1"/>
  <c r="Q889" i="1"/>
  <c r="E928" i="1"/>
  <c r="I928" i="1"/>
  <c r="M928" i="1"/>
  <c r="Q897" i="1"/>
  <c r="Q901" i="1"/>
  <c r="Q905" i="1"/>
  <c r="Q909" i="1"/>
  <c r="Q913" i="1"/>
  <c r="Q917" i="1"/>
  <c r="Q919" i="1"/>
  <c r="Q923" i="1"/>
  <c r="Q927" i="1"/>
  <c r="F965" i="1"/>
  <c r="J965" i="1"/>
  <c r="N965" i="1"/>
  <c r="Q933" i="1"/>
  <c r="Q937" i="1"/>
  <c r="Q941" i="1"/>
  <c r="Q945" i="1"/>
  <c r="Q949" i="1"/>
  <c r="Q953" i="1"/>
  <c r="Q957" i="1"/>
  <c r="Q961" i="1"/>
  <c r="C1002" i="1"/>
  <c r="G1002" i="1"/>
  <c r="K1002" i="1"/>
  <c r="O1002" i="1"/>
  <c r="Q973" i="1"/>
  <c r="Q977" i="1"/>
  <c r="Q981" i="1"/>
  <c r="Q985" i="1"/>
  <c r="Q989" i="1"/>
  <c r="Q993" i="1"/>
  <c r="Q997" i="1"/>
  <c r="Q1001" i="1"/>
  <c r="Q1006" i="1"/>
  <c r="H1039" i="1"/>
  <c r="L1039" i="1"/>
  <c r="P1039" i="1"/>
  <c r="Q1010" i="1"/>
  <c r="Q1014" i="1"/>
  <c r="Q1018" i="1"/>
  <c r="Q1022" i="1"/>
  <c r="Q1026" i="1"/>
  <c r="Q1030" i="1"/>
  <c r="Q1034" i="1"/>
  <c r="Q1038" i="1"/>
  <c r="E1076" i="1"/>
  <c r="I1076" i="1"/>
  <c r="M1076" i="1"/>
  <c r="Q1047" i="1"/>
  <c r="Q1051" i="1"/>
  <c r="Q1055" i="1"/>
  <c r="Q1059" i="1"/>
  <c r="Q1063" i="1"/>
  <c r="D1150" i="1"/>
  <c r="F1132" i="1"/>
  <c r="F1136" i="1"/>
  <c r="E1305" i="1"/>
  <c r="C1335" i="1"/>
  <c r="Q1067" i="1"/>
  <c r="Q1071" i="1"/>
  <c r="Q1075" i="1"/>
  <c r="F1084" i="1"/>
  <c r="F1086" i="1"/>
  <c r="F1089" i="1"/>
  <c r="F1091" i="1"/>
  <c r="F1102" i="1"/>
  <c r="F1105" i="1"/>
  <c r="F1107" i="1"/>
  <c r="F1122" i="1"/>
  <c r="F1127" i="1"/>
  <c r="F1138" i="1"/>
  <c r="F1143" i="1"/>
  <c r="G1176" i="1"/>
  <c r="G1180" i="1"/>
  <c r="G1184" i="1"/>
  <c r="G1191" i="1"/>
  <c r="G1195" i="1"/>
  <c r="G1199" i="1"/>
  <c r="G1203" i="1"/>
  <c r="G1207" i="1"/>
  <c r="G1211" i="1"/>
  <c r="G1215" i="1"/>
  <c r="G1219" i="1"/>
  <c r="G1223" i="1"/>
  <c r="C1224" i="1"/>
  <c r="C1298" i="1"/>
  <c r="G1298" i="1"/>
  <c r="K1298" i="1"/>
  <c r="O1298" i="1"/>
  <c r="Q1267" i="1"/>
  <c r="Q1271" i="1"/>
  <c r="Q1275" i="1"/>
  <c r="Q1279" i="1"/>
  <c r="Q1283" i="1"/>
  <c r="Q1287" i="1"/>
  <c r="Q1291" i="1"/>
  <c r="Q1295" i="1"/>
  <c r="G1372" i="1"/>
  <c r="K1372" i="1"/>
  <c r="O1372" i="1"/>
  <c r="Q1343" i="1"/>
  <c r="Q1347" i="1"/>
  <c r="Q1351" i="1"/>
  <c r="Q1355" i="1"/>
  <c r="Q1359" i="1"/>
  <c r="Q1363" i="1"/>
  <c r="Q1367" i="1"/>
  <c r="Q1371" i="1"/>
  <c r="D1409" i="1"/>
  <c r="H1409" i="1"/>
  <c r="L1409" i="1"/>
  <c r="P1409" i="1"/>
  <c r="Q1379" i="1"/>
  <c r="Q1383" i="1"/>
  <c r="Q1387" i="1"/>
  <c r="Q1391" i="1"/>
  <c r="Q1395" i="1"/>
  <c r="Q1403" i="1"/>
  <c r="Q1407" i="1"/>
  <c r="Q1070" i="1"/>
  <c r="Q1074" i="1"/>
  <c r="F1090" i="1"/>
  <c r="F1095" i="1"/>
  <c r="F1106" i="1"/>
  <c r="F1111" i="1"/>
  <c r="E1150" i="1"/>
  <c r="F1126" i="1"/>
  <c r="F1131" i="1"/>
  <c r="F1142" i="1"/>
  <c r="F1147" i="1"/>
  <c r="G1157" i="1"/>
  <c r="G1161" i="1"/>
  <c r="G1165" i="1"/>
  <c r="G1169" i="1"/>
  <c r="G1173" i="1"/>
  <c r="D1298" i="1"/>
  <c r="H1298" i="1"/>
  <c r="L1298" i="1"/>
  <c r="P1298" i="1"/>
  <c r="Q1266" i="1"/>
  <c r="Q1270" i="1"/>
  <c r="Q1274" i="1"/>
  <c r="Q1278" i="1"/>
  <c r="Q1282" i="1"/>
  <c r="Q1286" i="1"/>
  <c r="Q1290" i="1"/>
  <c r="Q1294" i="1"/>
  <c r="Q1342" i="1"/>
  <c r="Q1346" i="1"/>
  <c r="Q1350" i="1"/>
  <c r="Q1354" i="1"/>
  <c r="Q1358" i="1"/>
  <c r="Q1362" i="1"/>
  <c r="Q1366" i="1"/>
  <c r="Q1370" i="1"/>
  <c r="E1409" i="1"/>
  <c r="I1409" i="1"/>
  <c r="M1409" i="1"/>
  <c r="Q1402" i="1"/>
  <c r="Q1406" i="1"/>
  <c r="F1446" i="1"/>
  <c r="J1446" i="1"/>
  <c r="N1446" i="1"/>
  <c r="Q1414" i="1"/>
  <c r="Q1418" i="1"/>
  <c r="Q1422" i="1"/>
  <c r="Q1426" i="1"/>
  <c r="Q1430" i="1"/>
  <c r="Q1434" i="1"/>
  <c r="Q1438" i="1"/>
  <c r="Q1442" i="1"/>
  <c r="Q1069" i="1"/>
  <c r="Q1073" i="1"/>
  <c r="F1094" i="1"/>
  <c r="F1099" i="1"/>
  <c r="F1110" i="1"/>
  <c r="C1150" i="1"/>
  <c r="F1119" i="1"/>
  <c r="F1130" i="1"/>
  <c r="F1133" i="1"/>
  <c r="F1135" i="1"/>
  <c r="F1146" i="1"/>
  <c r="F1149" i="1"/>
  <c r="G1158" i="1"/>
  <c r="G1162" i="1"/>
  <c r="G1166" i="1"/>
  <c r="G1170" i="1"/>
  <c r="G1174" i="1"/>
  <c r="G1178" i="1"/>
  <c r="G1182" i="1"/>
  <c r="G1186" i="1"/>
  <c r="E1224" i="1"/>
  <c r="G1193" i="1"/>
  <c r="G1197" i="1"/>
  <c r="G1201" i="1"/>
  <c r="G1205" i="1"/>
  <c r="G1209" i="1"/>
  <c r="G1213" i="1"/>
  <c r="G1217" i="1"/>
  <c r="G1221" i="1"/>
  <c r="C1261" i="1"/>
  <c r="E1298" i="1"/>
  <c r="I1298" i="1"/>
  <c r="M1298" i="1"/>
  <c r="Q1269" i="1"/>
  <c r="Q1273" i="1"/>
  <c r="Q1277" i="1"/>
  <c r="Q1281" i="1"/>
  <c r="Q1285" i="1"/>
  <c r="Q1289" i="1"/>
  <c r="Q1293" i="1"/>
  <c r="Q1297" i="1"/>
  <c r="E1302" i="1"/>
  <c r="E1306" i="1"/>
  <c r="E1310" i="1"/>
  <c r="E1314" i="1"/>
  <c r="E1318" i="1"/>
  <c r="E1322" i="1"/>
  <c r="E1326" i="1"/>
  <c r="E1372" i="1"/>
  <c r="I1372" i="1"/>
  <c r="M1372" i="1"/>
  <c r="Q1341" i="1"/>
  <c r="Q1345" i="1"/>
  <c r="Q1349" i="1"/>
  <c r="Q1353" i="1"/>
  <c r="Q1357" i="1"/>
  <c r="Q1361" i="1"/>
  <c r="Q1365" i="1"/>
  <c r="Q1369" i="1"/>
  <c r="F1409" i="1"/>
  <c r="J1409" i="1"/>
  <c r="N1409" i="1"/>
  <c r="Q1377" i="1"/>
  <c r="Q1381" i="1"/>
  <c r="Q1385" i="1"/>
  <c r="Q1389" i="1"/>
  <c r="Q1393" i="1"/>
  <c r="Q1397" i="1"/>
  <c r="Q1401" i="1"/>
  <c r="Q1405" i="1"/>
  <c r="C1446" i="1"/>
  <c r="G1446" i="1"/>
  <c r="K1446" i="1"/>
  <c r="O1446" i="1"/>
  <c r="Q1417" i="1"/>
  <c r="Q1421" i="1"/>
  <c r="Q1425" i="1"/>
  <c r="Q1429" i="1"/>
  <c r="Q1433" i="1"/>
  <c r="Q1437" i="1"/>
  <c r="Q1441" i="1"/>
  <c r="Q1445" i="1"/>
  <c r="E1528" i="1"/>
  <c r="E1532" i="1"/>
  <c r="E1536" i="1"/>
  <c r="E1540" i="1"/>
  <c r="E1544" i="1"/>
  <c r="E1548" i="1"/>
  <c r="E1552" i="1"/>
  <c r="E1556" i="1"/>
  <c r="D299" i="1"/>
  <c r="Q77" i="1"/>
  <c r="Q110" i="1" s="1"/>
  <c r="C148" i="1"/>
  <c r="C299" i="1"/>
  <c r="Q340" i="1"/>
  <c r="Q373" i="1" s="1"/>
  <c r="C410" i="1"/>
  <c r="Q427" i="1"/>
  <c r="P484" i="1"/>
  <c r="Q595" i="1"/>
  <c r="Q743" i="1"/>
  <c r="Q40" i="1"/>
  <c r="Q73" i="1" s="1"/>
  <c r="Q191" i="1"/>
  <c r="Q224" i="1" s="1"/>
  <c r="Q303" i="1"/>
  <c r="Q336" i="1" s="1"/>
  <c r="Q3" i="1"/>
  <c r="Q36" i="1" s="1"/>
  <c r="Q153" i="1"/>
  <c r="Q186" i="1" s="1"/>
  <c r="Q414" i="1"/>
  <c r="Q428" i="1"/>
  <c r="C484" i="1"/>
  <c r="Q525" i="1"/>
  <c r="Q558" i="1" s="1"/>
  <c r="C595" i="1"/>
  <c r="Q673" i="1"/>
  <c r="Q706" i="1" s="1"/>
  <c r="C743" i="1"/>
  <c r="Q821" i="1"/>
  <c r="Q891" i="1"/>
  <c r="Q488" i="1"/>
  <c r="Q521" i="1" s="1"/>
  <c r="Q636" i="1"/>
  <c r="Q669" i="1" s="1"/>
  <c r="E780" i="1"/>
  <c r="Q784" i="1"/>
  <c r="Q817" i="1" s="1"/>
  <c r="Q841" i="1"/>
  <c r="Q1039" i="1"/>
  <c r="Q599" i="1"/>
  <c r="Q632" i="1" s="1"/>
  <c r="C891" i="1"/>
  <c r="Q969" i="1"/>
  <c r="Q1002" i="1" s="1"/>
  <c r="D1113" i="1"/>
  <c r="F1081" i="1"/>
  <c r="F1093" i="1"/>
  <c r="F1109" i="1"/>
  <c r="F1125" i="1"/>
  <c r="F1141" i="1"/>
  <c r="D1187" i="1"/>
  <c r="G1155" i="1"/>
  <c r="G1159" i="1"/>
  <c r="G1163" i="1"/>
  <c r="G1167" i="1"/>
  <c r="G1171" i="1"/>
  <c r="Q932" i="1"/>
  <c r="Q965" i="1" s="1"/>
  <c r="D1039" i="1"/>
  <c r="E1113" i="1"/>
  <c r="F1083" i="1"/>
  <c r="F1097" i="1"/>
  <c r="F1129" i="1"/>
  <c r="F1145" i="1"/>
  <c r="G1156" i="1"/>
  <c r="G1160" i="1"/>
  <c r="G1164" i="1"/>
  <c r="G1168" i="1"/>
  <c r="G1172" i="1"/>
  <c r="Q895" i="1"/>
  <c r="Q928" i="1" s="1"/>
  <c r="Q1043" i="1"/>
  <c r="Q1076" i="1" s="1"/>
  <c r="C1113" i="1"/>
  <c r="C1372" i="1"/>
  <c r="Q1339" i="1"/>
  <c r="Q1372" i="1" s="1"/>
  <c r="F1117" i="1"/>
  <c r="G1175" i="1"/>
  <c r="G1179" i="1"/>
  <c r="G1183" i="1"/>
  <c r="G1194" i="1"/>
  <c r="G1198" i="1"/>
  <c r="G1202" i="1"/>
  <c r="G1206" i="1"/>
  <c r="G1210" i="1"/>
  <c r="G1214" i="1"/>
  <c r="G1218" i="1"/>
  <c r="G1222" i="1"/>
  <c r="Q1265" i="1"/>
  <c r="Q1298" i="1" s="1"/>
  <c r="Q1378" i="1"/>
  <c r="Q1382" i="1"/>
  <c r="Q1386" i="1"/>
  <c r="Q1390" i="1"/>
  <c r="Q1394" i="1"/>
  <c r="Q1398" i="1"/>
  <c r="E1335" i="1"/>
  <c r="C1187" i="1"/>
  <c r="G1154" i="1"/>
  <c r="G1177" i="1"/>
  <c r="G1181" i="1"/>
  <c r="G1185" i="1"/>
  <c r="D1224" i="1"/>
  <c r="G1192" i="1"/>
  <c r="G1196" i="1"/>
  <c r="G1200" i="1"/>
  <c r="G1204" i="1"/>
  <c r="G1208" i="1"/>
  <c r="G1212" i="1"/>
  <c r="G1216" i="1"/>
  <c r="G1220" i="1"/>
  <c r="Q1376" i="1"/>
  <c r="Q1380" i="1"/>
  <c r="Q1384" i="1"/>
  <c r="Q1388" i="1"/>
  <c r="Q1392" i="1"/>
  <c r="Q1396" i="1"/>
  <c r="D1483" i="1"/>
  <c r="D1520" i="1"/>
  <c r="D1228" i="1"/>
  <c r="D1261" i="1" s="1"/>
  <c r="D1446" i="1"/>
  <c r="H1446" i="1"/>
  <c r="L1446" i="1"/>
  <c r="P1446" i="1"/>
  <c r="Q1416" i="1"/>
  <c r="Q1420" i="1"/>
  <c r="Q1424" i="1"/>
  <c r="Q1428" i="1"/>
  <c r="Q1432" i="1"/>
  <c r="Q1436" i="1"/>
  <c r="Q1440" i="1"/>
  <c r="Q1444" i="1"/>
  <c r="C1483" i="1"/>
  <c r="C1409" i="1"/>
  <c r="G1409" i="1"/>
  <c r="K1409" i="1"/>
  <c r="O1409" i="1"/>
  <c r="Q1399" i="1"/>
  <c r="Q1415" i="1"/>
  <c r="Q1419" i="1"/>
  <c r="Q1423" i="1"/>
  <c r="Q1427" i="1"/>
  <c r="Q1431" i="1"/>
  <c r="Q1435" i="1"/>
  <c r="Q1439" i="1"/>
  <c r="Q1443" i="1"/>
  <c r="C1557" i="1"/>
  <c r="E1524" i="1"/>
  <c r="E1557" i="1" s="1"/>
  <c r="C1594" i="1"/>
  <c r="C1631" i="1"/>
  <c r="D1598" i="1"/>
  <c r="D1631" i="1" s="1"/>
  <c r="Q1413" i="1"/>
  <c r="G1224" i="1" l="1"/>
  <c r="F1150" i="1"/>
  <c r="F1113" i="1"/>
  <c r="Q148" i="1"/>
  <c r="Q410" i="1"/>
  <c r="Q447" i="1"/>
  <c r="Q1446" i="1"/>
  <c r="Q1409" i="1"/>
  <c r="Q854" i="1"/>
  <c r="G1187" i="1"/>
</calcChain>
</file>

<file path=xl/sharedStrings.xml><?xml version="1.0" encoding="utf-8"?>
<sst xmlns="http://schemas.openxmlformats.org/spreadsheetml/2006/main" count="722" uniqueCount="98">
  <si>
    <t>4.01</t>
  </si>
  <si>
    <t>PRIMAS DIRECTAS                                                                                             (4.01.01  PRIMAS DIRECTAS)</t>
  </si>
  <si>
    <t>Nº</t>
  </si>
  <si>
    <t>COMPAÑÍAS</t>
  </si>
  <si>
    <t>INCENDIOS</t>
  </si>
  <si>
    <t>TRANSPORTES</t>
  </si>
  <si>
    <t>ACCIDENTES PERSONALES</t>
  </si>
  <si>
    <t>AUTOMÓVILES</t>
  </si>
  <si>
    <t>ACCIDENTES A PASAJEROS</t>
  </si>
  <si>
    <t>ROBO Y ASALTO</t>
  </si>
  <si>
    <t>CRISTALES\, VIDRIOS Y ESPEJOS</t>
  </si>
  <si>
    <t>AGROPECUARIO</t>
  </si>
  <si>
    <t>RIESGOS VARIOS</t>
  </si>
  <si>
    <t>RESPONSABILIDAD CIVIL</t>
  </si>
  <si>
    <t>AERONAVEGACIÓN</t>
  </si>
  <si>
    <t>RIESGOS TÉCNICOS</t>
  </si>
  <si>
    <t>CAUCIÓN</t>
  </si>
  <si>
    <t>VIDA</t>
  </si>
  <si>
    <t>TOTAL</t>
  </si>
  <si>
    <t>4.02</t>
  </si>
  <si>
    <t>PRIMAS REASEGUROS ACEPTADOS - LOCAL                                                                 (4.02.01  CONTRATOS PROPORCIONALES)</t>
  </si>
  <si>
    <t>PRIMAS REASEGUROS ACEPTADOS - LOCAL                                                                 (4.02.02  CONTRATOS NO PROPORCIONALES)</t>
  </si>
  <si>
    <t>4.03</t>
  </si>
  <si>
    <t>PRIMAS REASEGUROS ACEPTADOS - EXTERIOR                                                            (4.03.01  CONTRATOS PROPORCIONALES)</t>
  </si>
  <si>
    <t>PRIMAS REASEGUROS ACEPTADOS - EXTERIOR                                                            (4.03.02  CONTRATOS NO PROPORCIONALES)</t>
  </si>
  <si>
    <t>4.04</t>
  </si>
  <si>
    <t>DESAFECTACIÓN DE PROVISIONES TÉCNICAS DE SEGUROS                                         (4.04.01  AJUSTE DE PROVISIONES DE RIESGOS EN CURSO)</t>
  </si>
  <si>
    <t>DESAFECTACIÓN DE PROVISIONES TÉCNICAS DE SEGUROS                                                      (4.04.02 AJUSTES DE RESERVAS MATEMÁTICAS)</t>
  </si>
  <si>
    <t>DESAFECTACIÓN DE PROVISIONES TÉCNICAS DE SEGUROS                                                     (4.04.03 AJUSTES DE FONDO DE ACUMULACIÓN)</t>
  </si>
  <si>
    <t>Total</t>
  </si>
  <si>
    <t>4.05</t>
  </si>
  <si>
    <t>REINTEGRO DE GASTOS DE PRODUCCIÓN                                                                        (4.05.01  REVISIÓN Y EXÁMEN DE ASEGURABILIDAD)</t>
  </si>
  <si>
    <t>REINTEGRO DE GASTOS DE PRODUCCIÓN                                                                        (4.05.02  INTERES POR FINACIAMIENTO DE PRIMAS)</t>
  </si>
  <si>
    <t>REINTEGRO DE GASTOS DE PRODUCCIÓN                                                                         (4.05.03  REINTEGRO DE COMISIONES S/ PRIMAS)</t>
  </si>
  <si>
    <t>4.06</t>
  </si>
  <si>
    <t>DESAFECTACIÓN DE PROVISIONES TÉCNICAS DE SINIESTROS                    (4.06.01  DESAFECTACIÓN DE PROVISIONES TÉCNICAS DE SINIESTROS)</t>
  </si>
  <si>
    <t>4.07</t>
  </si>
  <si>
    <t>RECUPERO DE SINIESTROS                                                                                                 (4.07.01  RECUPERO DE SINIESTROS - DIRECTOS)</t>
  </si>
  <si>
    <t>4.08</t>
  </si>
  <si>
    <t>SINIESTROS RECUPERADOS REASEGUROS CEDIDOS - LOCAL                                      (4.08.01  CONTRATOS PROPORCIONALES)</t>
  </si>
  <si>
    <t>SINIESTROS RECUPERADOS REASEGUROS CEDIDOS - LOCAL                                          (4.08.02  CONTRATOS NO PROPORCIONALES)</t>
  </si>
  <si>
    <t>4.09</t>
  </si>
  <si>
    <t>SINIESTROS RECUPERADOS REASEGUROS CEDIDOS - EXTERIOR                     (4.09.01  CONTRATOS PROPORCIONALES)</t>
  </si>
  <si>
    <t>SINIESTROS RECUPERADOS REASEGUROS CEDIDOS - EXTERIOR                                 (4.09.02  CONTRATOS NO PROPORCIONALES)</t>
  </si>
  <si>
    <t>4.10</t>
  </si>
  <si>
    <t>OTROS INGRESOS POR REASEGUROS CEDIDOS - LOCAL                                              (4.10.01  COMISIÓN DE REASEGUROS CEDIDOS - CONTRATOS PROPORCIONALES)</t>
  </si>
  <si>
    <t>OTROS INGRESOS POR REASEGUROS CEDIDOS - LOCAL                                              (4.10.04  PARTICIPACIÓN DE UTILIDADES REASEGUROS CEDIDOS - CONTRATOS PROPORCIONALES)</t>
  </si>
  <si>
    <t>OTROS INGRESOS POR REASEGUROS CEDIDOS - LOCAL                                               (4.10.05  PARTICIPACIÓN DE UTILIDADES REASEGUROS CEDIDOS - CONTRATOS NO PROPORCIONALES)</t>
  </si>
  <si>
    <t>4.11</t>
  </si>
  <si>
    <t>OTROS INGRESOS POR REASEGUROS CEDIDOS - EXTERIOR                                          (4.11.01  COMISIÓN DE REASEGUROS CEDIDOS - CONTRATOS PROPORCIONALES)</t>
  </si>
  <si>
    <t>OTROS INGRESOS POR REASEGUROS CEDIDOS - EXTERIOR                                          (4.11.04  PARTICIPACIÓN DE UTILIDADES REASEGUROS CEDIDOS - CONTRATOS PROPORCIONALES)</t>
  </si>
  <si>
    <t>OTROS INGRESOS POR REASEGUROS CEDIDOS - EXTERIOR                                          (4.11.05  PARTICIPACIÓN DE UTILIDADES REASEGUROS CEDIDOS - CONTRATOS NO PROPORCIONALES)</t>
  </si>
  <si>
    <t>4.12</t>
  </si>
  <si>
    <t>PARTICIPACIÓN RECUPERO DE REASEGUROS ACEPTADOS - LOCAL    (4.12.01  CONTRATOS PROPORCIONALES)</t>
  </si>
  <si>
    <t>PARTICIPACIÓN RECUPERO DE REASEGUROS ACEPTADOS - LOCAL    (4.12.02  CONTRATOS NO PROPORCIONALES)</t>
  </si>
  <si>
    <t>4.13</t>
  </si>
  <si>
    <t>OTROS INGRESOS POR REASEGUROS ACEPTADOS - LOCAL         (4.13.01  INTERESES S/ RESERVAS RETENIDAS - CONTRATOS PROPORCIONALES)</t>
  </si>
  <si>
    <t>4.14</t>
  </si>
  <si>
    <t>PARTICIPACIÓN RECUPERO REASEGUROS ACEPTADOS - EXTERIOR    (4.14.01  CONTRATOS PROPORCIONALES)</t>
  </si>
  <si>
    <t>PARTICIPACIÓN RECUPERO REASEGUROS ACEPTADOS - EXTERIOR    (4.14.02  CONTRATOS NO PROPORCIONALES)</t>
  </si>
  <si>
    <t>4.15</t>
  </si>
  <si>
    <t>OTROS INGRESOS POR REASEGUROS ACEPTADOS - EXTERIOR   (4.15.01  INTERESES SOBRE RESERVAS RETENIDAS - CONTRATOS PROPORCIONALES)</t>
  </si>
  <si>
    <t>4.25</t>
  </si>
  <si>
    <t>INGRESOS DE INVERSIÓN                                                                          (4.25.01  TITULOS VALORES DE RENTA FIJA)</t>
  </si>
  <si>
    <t>INTERESES</t>
  </si>
  <si>
    <t>GANACIAS POR VENTAS</t>
  </si>
  <si>
    <t>DESAFECTACIÓN DE PREVISIONES</t>
  </si>
  <si>
    <t xml:space="preserve">INGRESOS DE INVERSIÓN                                                                    (4.25.02  TITULOS VALORES DE RENTA VARIABLE)                              </t>
  </si>
  <si>
    <t>DIVIDENDOS Y PARTICIPACIONES</t>
  </si>
  <si>
    <t xml:space="preserve">INGRESOS DE INVERSIÓN                                                                       (4.25.03  INVERSIONES INMOBILIARIAS)                               </t>
  </si>
  <si>
    <t>ALQUILERES</t>
  </si>
  <si>
    <t>INGRESOS POR ADMINISTRACIÓN DE EDIFICIOS</t>
  </si>
  <si>
    <t xml:space="preserve">INGRESOS DE INVERSIÓN                                                                            (4.25.04  PRESTAMOS)                               </t>
  </si>
  <si>
    <t>INTERES S/ PRESTAMOS</t>
  </si>
  <si>
    <t>INTERES S/ PRSTAMOS CON GARANTÍA PÓLIZAS VIDA</t>
  </si>
  <si>
    <t>INTERES S/ VENTA DE BIENES</t>
  </si>
  <si>
    <t>INGRESOS DE INVERSIÓN                                                                      (4.25.05  GANANCIAS POR FLUCTUACIÓN DE ACTIVOS Y PASIVOS )</t>
  </si>
  <si>
    <t>DIFERENCIA DE CAMBIO</t>
  </si>
  <si>
    <t>4.26</t>
  </si>
  <si>
    <t xml:space="preserve">DESAFECTACIÓN DE PREVISIONES                                            (4.26.01  DEUDORES POR PREMIOS)                               </t>
  </si>
  <si>
    <t xml:space="preserve">DESAFECTACIÓN DE PREVISIONES                                                         (4.26.02  DEUDORES POR COASEGUROS)    </t>
  </si>
  <si>
    <t>GRUPO COASEGUROR SEGUROS OBLIGATORIOS</t>
  </si>
  <si>
    <t>CÑIAS COASEGUROS CTA CTE ACEPTADOS RAMOS GENERALES</t>
  </si>
  <si>
    <t xml:space="preserve">DESAFECTACIÓN DE PREVISIONES                                              (4.26.03  DEUDORES POR REASEGUROS)                               </t>
  </si>
  <si>
    <t xml:space="preserve">DESAFECTACIÓN DE PREVISIONES                                                (4.26.04  ANTICIPO DE COMISIONES)                            </t>
  </si>
  <si>
    <t xml:space="preserve">DESAFECTACIÓN DE PREVISIONES                                                      (4.26.05  COMISIONES A RECUPERAR S/ PRIMAS ANULADAS)                              </t>
  </si>
  <si>
    <t xml:space="preserve">DESAFECTACIÓN DE PREVISIONES                                                       (4.26.06  BIENES Y DERECHOS RECIBIDOS EN PAGO)                            </t>
  </si>
  <si>
    <t>BIENES Y DERECHOS RECIBIDOS EN PAGO</t>
  </si>
  <si>
    <t xml:space="preserve">DESAFECTACIÓN DE PREVISIONES                                                 (4.26.07  CRÉDITOS ADMINISTRATIVOS)                           </t>
  </si>
  <si>
    <t>CUENTAS OPERATIVAS</t>
  </si>
  <si>
    <t>4.35</t>
  </si>
  <si>
    <t xml:space="preserve">GANANCIAS EXTRAORDINARIAS                                                        (4.35.01  VENTA DE BIENES)                              </t>
  </si>
  <si>
    <t>VENTA DE BIENES DE USO</t>
  </si>
  <si>
    <t>VENTA DE BIENES RECIBIDOS EN PAGO</t>
  </si>
  <si>
    <t xml:space="preserve">GANANCIAS EXTRAORDINARIAS                                                   (4.35.02  CESION DE CARTERA DE SEGUROS)                                  </t>
  </si>
  <si>
    <t>CESIÓN DE CARTERA DE SEGUROS</t>
  </si>
  <si>
    <t xml:space="preserve">GANANCIAS EXTRAORDINARIAS                                                  (4.35.03  OTRAS GANANCIAS OPERATIVAS)                               </t>
  </si>
  <si>
    <t>OTRAS GANANCIAS OPERATIVAS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</si>
</sst>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€_-;\-* #,##0\ _€_-;_-* &quot;-&quot;\ _€_-;_-@_-"/>
  </numFmts>
  <fonts count="6" x14ac:knownFonts="1">
    <font>
      <sz val="10"/>
      <name val="Arial"/>
      <family val="2"/>
    </font>
    <font>
      <sz val="10"/>
      <name val="Arial"/>
      <family val="2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/>
    <xf numFmtId="0" fontId="3" fillId="0" borderId="0" xfId="0" applyFont="1" applyFill="1"/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/>
    <xf numFmtId="38" fontId="3" fillId="0" borderId="1" xfId="1" applyNumberFormat="1" applyFont="1" applyFill="1" applyBorder="1" applyAlignment="1"/>
    <xf numFmtId="38" fontId="2" fillId="0" borderId="1" xfId="1" applyNumberFormat="1" applyFont="1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38" fontId="3" fillId="0" borderId="8" xfId="0" applyNumberFormat="1" applyFont="1" applyFill="1" applyBorder="1" applyAlignment="1">
      <alignment vertical="center"/>
    </xf>
    <xf numFmtId="38" fontId="3" fillId="0" borderId="1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8" xfId="0" applyFont="1" applyFill="1" applyBorder="1"/>
    <xf numFmtId="0" fontId="2" fillId="0" borderId="8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38" fontId="3" fillId="0" borderId="13" xfId="1" applyNumberFormat="1" applyFont="1" applyFill="1" applyBorder="1" applyAlignment="1"/>
    <xf numFmtId="0" fontId="5" fillId="0" borderId="7" xfId="0" applyFont="1" applyFill="1" applyBorder="1" applyAlignment="1">
      <alignment horizontal="center"/>
    </xf>
    <xf numFmtId="0" fontId="3" fillId="0" borderId="8" xfId="0" applyNumberFormat="1" applyFont="1" applyFill="1" applyBorder="1" applyAlignment="1"/>
    <xf numFmtId="38" fontId="3" fillId="0" borderId="9" xfId="0" applyNumberFormat="1" applyFont="1" applyFill="1" applyBorder="1" applyAlignment="1"/>
    <xf numFmtId="0" fontId="2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38" fontId="3" fillId="0" borderId="9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/>
    <xf numFmtId="38" fontId="3" fillId="0" borderId="5" xfId="1" applyNumberFormat="1" applyFont="1" applyFill="1" applyBorder="1" applyAlignment="1"/>
    <xf numFmtId="38" fontId="2" fillId="0" borderId="12" xfId="1" applyNumberFormat="1" applyFont="1" applyFill="1" applyBorder="1" applyAlignment="1"/>
    <xf numFmtId="38" fontId="2" fillId="0" borderId="13" xfId="1" applyNumberFormat="1" applyFont="1" applyFill="1" applyBorder="1" applyAlignment="1"/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0" xfId="0" applyFont="1" applyFill="1" applyBorder="1" applyAlignment="1"/>
    <xf numFmtId="38" fontId="3" fillId="0" borderId="0" xfId="1" applyNumberFormat="1" applyFont="1" applyFill="1" applyBorder="1" applyAlignment="1"/>
    <xf numFmtId="38" fontId="2" fillId="0" borderId="0" xfId="1" applyNumberFormat="1" applyFont="1" applyFill="1" applyBorder="1" applyAlignment="1"/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38" fontId="3" fillId="0" borderId="13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/>
  </cellXfs>
  <cellStyles count="2">
    <cellStyle name="Millares [0]" xfId="1" builtinId="6"/>
    <cellStyle name="Normal" xfId="0" builtinId="0"/>
  </cellStyles>
  <dxfs count="1443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9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name val="Times New Roman"/>
        <scheme val="none"/>
      </font>
      <fill>
        <patternFill patternType="none">
          <fgColor indexed="64"/>
          <bgColor indexed="65"/>
        </patternFill>
      </fill>
      <alignment textRotation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left style="thin">
          <color rgb="FF000000"/>
        </left>
        <right style="thin">
          <color indexed="64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9"/>
        <name val="Times New Roman"/>
        <scheme val="none"/>
      </font>
      <fill>
        <patternFill patternType="none">
          <fgColor indexed="64"/>
          <bgColor indexed="65"/>
        </patternFill>
      </fill>
      <alignment textRotation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>
        <right style="thin">
          <color indexed="64"/>
        </right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right style="thin">
          <color indexed="64"/>
        </right>
      </border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>
        <bottom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>
        <bottom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/>
    </dxf>
    <dxf>
      <border outline="0"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numFmt numFmtId="6" formatCode="#,##0_);[Red]\(#,##0\)"/>
      <fill>
        <patternFill patternType="none">
          <fgColor indexed="64"/>
          <bgColor indexed="65"/>
        </patternFill>
      </fill>
      <alignment horizontal="general" vertical="bottom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vertical="center" textRotation="0" wrapText="0" indent="0" justifyLastLine="0" shrinkToFit="0" readingOrder="0"/>
      <border diagonalUp="0" diagonalDown="0" outline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nsolidado_jun_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Cuentas"/>
      <sheetName val="Filtro_Base"/>
      <sheetName val="Validacion"/>
      <sheetName val="Activos"/>
      <sheetName val="Pasivos"/>
      <sheetName val="PatrimNeto"/>
      <sheetName val="Ingresos"/>
      <sheetName val="Egresos"/>
      <sheetName val="4.00.Ingresos x Seccion"/>
      <sheetName val="5.00.Egresos x Seccion"/>
      <sheetName val="ResultadosEjercicio"/>
      <sheetName val="5.PrimasNetasGanadas"/>
      <sheetName val="6.StrosNetosOcurrido"/>
      <sheetName val="7.OtrosIngEgrTéc"/>
      <sheetName val="8.Inversion"/>
      <sheetName val="Aseguradoras"/>
      <sheetName val="Auxiliar"/>
      <sheetName val="Sector Financiero EE"/>
      <sheetName val="Ranking Produccion"/>
      <sheetName val="Hoja1"/>
    </sheetNames>
    <sheetDataSet>
      <sheetData sheetId="0">
        <row r="2">
          <cell r="A2">
            <v>100000000</v>
          </cell>
          <cell r="C2">
            <v>48754400131</v>
          </cell>
          <cell r="D2">
            <v>43055307601</v>
          </cell>
          <cell r="E2">
            <v>29668908943</v>
          </cell>
          <cell r="F2">
            <v>17172733790</v>
          </cell>
          <cell r="G2">
            <v>51858867782</v>
          </cell>
          <cell r="H2">
            <v>91150772681</v>
          </cell>
          <cell r="I2">
            <v>33510395320</v>
          </cell>
          <cell r="J2">
            <v>19133625760</v>
          </cell>
          <cell r="K2">
            <v>8991125389</v>
          </cell>
          <cell r="L2">
            <v>13823648158</v>
          </cell>
          <cell r="M2">
            <v>12315834521</v>
          </cell>
          <cell r="N2">
            <v>53046039103</v>
          </cell>
          <cell r="O2">
            <v>24956624330</v>
          </cell>
          <cell r="P2">
            <v>16237500079</v>
          </cell>
          <cell r="Q2">
            <v>16880675905</v>
          </cell>
          <cell r="R2">
            <v>18700035459</v>
          </cell>
          <cell r="S2">
            <v>6214534391</v>
          </cell>
          <cell r="T2">
            <v>44831220225</v>
          </cell>
          <cell r="U2">
            <v>6260445273</v>
          </cell>
          <cell r="V2">
            <v>85275775291</v>
          </cell>
          <cell r="W2">
            <v>22224167395</v>
          </cell>
          <cell r="X2">
            <v>28161962191</v>
          </cell>
          <cell r="Y2">
            <v>8765873529</v>
          </cell>
          <cell r="Z2">
            <v>23938087364</v>
          </cell>
          <cell r="AA2">
            <v>10811296746</v>
          </cell>
          <cell r="AB2">
            <v>51942079787</v>
          </cell>
          <cell r="AC2">
            <v>12148103365</v>
          </cell>
          <cell r="AD2">
            <v>30359313084</v>
          </cell>
          <cell r="AE2">
            <v>234803812710</v>
          </cell>
          <cell r="AF2">
            <v>18543496154</v>
          </cell>
          <cell r="AG2">
            <v>17449868531</v>
          </cell>
          <cell r="AH2">
            <v>25118321712</v>
          </cell>
          <cell r="AI2">
            <v>20533559782</v>
          </cell>
        </row>
        <row r="3">
          <cell r="A3">
            <v>101000000</v>
          </cell>
          <cell r="C3">
            <v>7778634450</v>
          </cell>
          <cell r="D3">
            <v>6757110863</v>
          </cell>
          <cell r="E3">
            <v>3527559817</v>
          </cell>
          <cell r="F3">
            <v>4714920143</v>
          </cell>
          <cell r="G3">
            <v>6832937822</v>
          </cell>
          <cell r="H3">
            <v>7793036309</v>
          </cell>
          <cell r="I3">
            <v>7016258029</v>
          </cell>
          <cell r="J3">
            <v>1418993229</v>
          </cell>
          <cell r="K3">
            <v>657427800</v>
          </cell>
          <cell r="L3">
            <v>1417326674</v>
          </cell>
          <cell r="M3">
            <v>1743584541</v>
          </cell>
          <cell r="N3">
            <v>6945590604</v>
          </cell>
          <cell r="O3">
            <v>5498179888</v>
          </cell>
          <cell r="P3">
            <v>1155350762</v>
          </cell>
          <cell r="Q3">
            <v>4352702134</v>
          </cell>
          <cell r="R3">
            <v>1557204662</v>
          </cell>
          <cell r="S3">
            <v>161861446</v>
          </cell>
          <cell r="T3">
            <v>6133799635</v>
          </cell>
          <cell r="U3">
            <v>9289183</v>
          </cell>
          <cell r="V3">
            <v>7805551338</v>
          </cell>
          <cell r="W3">
            <v>2701676706</v>
          </cell>
          <cell r="X3">
            <v>2083050014</v>
          </cell>
          <cell r="Y3">
            <v>663640010</v>
          </cell>
          <cell r="Z3">
            <v>1718238118</v>
          </cell>
          <cell r="AA3">
            <v>1116808450</v>
          </cell>
          <cell r="AB3">
            <v>2451237485</v>
          </cell>
          <cell r="AC3">
            <v>3151842188</v>
          </cell>
          <cell r="AD3">
            <v>2481535778</v>
          </cell>
          <cell r="AE3">
            <v>42350553552</v>
          </cell>
          <cell r="AF3">
            <v>1638594561</v>
          </cell>
          <cell r="AG3">
            <v>1137216047</v>
          </cell>
          <cell r="AH3">
            <v>4335351320</v>
          </cell>
          <cell r="AI3">
            <v>5347982510</v>
          </cell>
        </row>
        <row r="4">
          <cell r="A4">
            <v>101010000</v>
          </cell>
          <cell r="C4">
            <v>383634</v>
          </cell>
          <cell r="D4">
            <v>127034378</v>
          </cell>
          <cell r="E4">
            <v>166444658</v>
          </cell>
          <cell r="F4">
            <v>113750213</v>
          </cell>
          <cell r="G4">
            <v>681470777</v>
          </cell>
          <cell r="H4">
            <v>1380084099</v>
          </cell>
          <cell r="I4">
            <v>578528059</v>
          </cell>
          <cell r="J4">
            <v>80242082</v>
          </cell>
          <cell r="K4">
            <v>348347432</v>
          </cell>
          <cell r="L4">
            <v>32960311</v>
          </cell>
          <cell r="M4">
            <v>756479355</v>
          </cell>
          <cell r="N4">
            <v>375246826</v>
          </cell>
          <cell r="O4">
            <v>333425259</v>
          </cell>
          <cell r="P4">
            <v>102556248</v>
          </cell>
          <cell r="Q4">
            <v>448013160</v>
          </cell>
          <cell r="R4">
            <v>228433718</v>
          </cell>
          <cell r="S4">
            <v>11696582</v>
          </cell>
          <cell r="T4">
            <v>15983346</v>
          </cell>
          <cell r="U4">
            <v>300000</v>
          </cell>
          <cell r="V4">
            <v>1517921118</v>
          </cell>
          <cell r="W4">
            <v>177980480</v>
          </cell>
          <cell r="X4">
            <v>252711686</v>
          </cell>
          <cell r="Y4">
            <v>41964102</v>
          </cell>
          <cell r="Z4">
            <v>207788805</v>
          </cell>
          <cell r="AA4">
            <v>12774145</v>
          </cell>
          <cell r="AB4">
            <v>1062729689</v>
          </cell>
          <cell r="AC4">
            <v>15589087</v>
          </cell>
          <cell r="AD4">
            <v>190942481</v>
          </cell>
          <cell r="AE4">
            <v>685343060</v>
          </cell>
          <cell r="AF4">
            <v>501426671</v>
          </cell>
          <cell r="AG4">
            <v>207482209</v>
          </cell>
          <cell r="AH4">
            <v>90539076</v>
          </cell>
          <cell r="AI4">
            <v>29635463</v>
          </cell>
        </row>
        <row r="5">
          <cell r="A5">
            <v>101010100</v>
          </cell>
          <cell r="C5">
            <v>-1116366</v>
          </cell>
          <cell r="D5">
            <v>119034378</v>
          </cell>
          <cell r="E5">
            <v>164444658</v>
          </cell>
          <cell r="F5">
            <v>110150213</v>
          </cell>
          <cell r="G5">
            <v>665670777</v>
          </cell>
          <cell r="H5">
            <v>1341584099</v>
          </cell>
          <cell r="I5">
            <v>576028059</v>
          </cell>
          <cell r="J5">
            <v>78242082</v>
          </cell>
          <cell r="K5">
            <v>346547432</v>
          </cell>
          <cell r="L5">
            <v>31960311</v>
          </cell>
          <cell r="M5">
            <v>755479355</v>
          </cell>
          <cell r="N5">
            <v>372246826</v>
          </cell>
          <cell r="O5">
            <v>332425259</v>
          </cell>
          <cell r="P5">
            <v>99556248</v>
          </cell>
          <cell r="Q5">
            <v>447513160</v>
          </cell>
          <cell r="R5">
            <v>222433718</v>
          </cell>
          <cell r="S5">
            <v>8696582</v>
          </cell>
          <cell r="T5">
            <v>1533348</v>
          </cell>
          <cell r="U5">
            <v>0</v>
          </cell>
          <cell r="V5">
            <v>1515921118</v>
          </cell>
          <cell r="W5">
            <v>176980480</v>
          </cell>
          <cell r="X5">
            <v>249411686</v>
          </cell>
          <cell r="Y5">
            <v>41364102</v>
          </cell>
          <cell r="Z5">
            <v>205388805</v>
          </cell>
          <cell r="AA5">
            <v>11274145</v>
          </cell>
          <cell r="AB5">
            <v>1055929689</v>
          </cell>
          <cell r="AC5">
            <v>13089087</v>
          </cell>
          <cell r="AD5">
            <v>181442481</v>
          </cell>
          <cell r="AE5">
            <v>621843060</v>
          </cell>
          <cell r="AF5">
            <v>495926671</v>
          </cell>
          <cell r="AG5">
            <v>190265566</v>
          </cell>
          <cell r="AH5">
            <v>85239076</v>
          </cell>
          <cell r="AI5">
            <v>28635463</v>
          </cell>
        </row>
        <row r="6">
          <cell r="A6">
            <v>101010101</v>
          </cell>
          <cell r="C6">
            <v>-1116366</v>
          </cell>
          <cell r="D6">
            <v>119034378</v>
          </cell>
          <cell r="E6">
            <v>164444658</v>
          </cell>
          <cell r="F6">
            <v>110150213</v>
          </cell>
          <cell r="G6">
            <v>606685355</v>
          </cell>
          <cell r="H6">
            <v>1341584099</v>
          </cell>
          <cell r="I6">
            <v>576028059</v>
          </cell>
          <cell r="J6">
            <v>78242082</v>
          </cell>
          <cell r="K6">
            <v>346547432</v>
          </cell>
          <cell r="L6">
            <v>31960311</v>
          </cell>
          <cell r="M6">
            <v>755479355</v>
          </cell>
          <cell r="N6">
            <v>372246826</v>
          </cell>
          <cell r="O6">
            <v>332425259</v>
          </cell>
          <cell r="P6">
            <v>99556248</v>
          </cell>
          <cell r="Q6">
            <v>447513160</v>
          </cell>
          <cell r="R6">
            <v>222433718</v>
          </cell>
          <cell r="S6">
            <v>8696582</v>
          </cell>
          <cell r="T6">
            <v>1533348</v>
          </cell>
          <cell r="U6">
            <v>0</v>
          </cell>
          <cell r="V6">
            <v>1515921118</v>
          </cell>
          <cell r="W6">
            <v>176980480</v>
          </cell>
          <cell r="X6">
            <v>249411686</v>
          </cell>
          <cell r="Y6">
            <v>41364102</v>
          </cell>
          <cell r="Z6">
            <v>205388805</v>
          </cell>
          <cell r="AA6">
            <v>11274145</v>
          </cell>
          <cell r="AB6">
            <v>1055929689</v>
          </cell>
          <cell r="AC6">
            <v>13089087</v>
          </cell>
          <cell r="AD6">
            <v>181442481</v>
          </cell>
          <cell r="AE6">
            <v>621843060</v>
          </cell>
          <cell r="AF6">
            <v>495926671</v>
          </cell>
          <cell r="AG6">
            <v>190265566</v>
          </cell>
          <cell r="AH6">
            <v>85239076</v>
          </cell>
          <cell r="AI6">
            <v>28635463</v>
          </cell>
        </row>
        <row r="7">
          <cell r="A7">
            <v>101010102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</row>
        <row r="8">
          <cell r="A8">
            <v>101010103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58985422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</row>
        <row r="9">
          <cell r="A9">
            <v>101010200</v>
          </cell>
          <cell r="C9">
            <v>1500000</v>
          </cell>
          <cell r="D9">
            <v>8000000</v>
          </cell>
          <cell r="E9">
            <v>2000000</v>
          </cell>
          <cell r="F9">
            <v>3600000</v>
          </cell>
          <cell r="G9">
            <v>15800000</v>
          </cell>
          <cell r="H9">
            <v>38500000</v>
          </cell>
          <cell r="I9">
            <v>2500000</v>
          </cell>
          <cell r="J9">
            <v>2000000</v>
          </cell>
          <cell r="K9">
            <v>1800000</v>
          </cell>
          <cell r="L9">
            <v>1000000</v>
          </cell>
          <cell r="M9">
            <v>1000000</v>
          </cell>
          <cell r="N9">
            <v>3000000</v>
          </cell>
          <cell r="O9">
            <v>1000000</v>
          </cell>
          <cell r="P9">
            <v>3000000</v>
          </cell>
          <cell r="Q9">
            <v>500000</v>
          </cell>
          <cell r="R9">
            <v>6000000</v>
          </cell>
          <cell r="S9">
            <v>3000000</v>
          </cell>
          <cell r="T9">
            <v>14449998</v>
          </cell>
          <cell r="U9">
            <v>300000</v>
          </cell>
          <cell r="V9">
            <v>2000000</v>
          </cell>
          <cell r="W9">
            <v>1000000</v>
          </cell>
          <cell r="X9">
            <v>3300000</v>
          </cell>
          <cell r="Y9">
            <v>600000</v>
          </cell>
          <cell r="Z9">
            <v>2400000</v>
          </cell>
          <cell r="AA9">
            <v>1500000</v>
          </cell>
          <cell r="AB9">
            <v>6800000</v>
          </cell>
          <cell r="AC9">
            <v>2500000</v>
          </cell>
          <cell r="AD9">
            <v>9500000</v>
          </cell>
          <cell r="AE9">
            <v>63500000</v>
          </cell>
          <cell r="AF9">
            <v>5500000</v>
          </cell>
          <cell r="AG9">
            <v>17216643</v>
          </cell>
          <cell r="AH9">
            <v>5300000</v>
          </cell>
          <cell r="AI9">
            <v>1000000</v>
          </cell>
        </row>
        <row r="10">
          <cell r="A10">
            <v>101010201</v>
          </cell>
          <cell r="C10">
            <v>1000000</v>
          </cell>
          <cell r="D10">
            <v>4000000</v>
          </cell>
          <cell r="E10">
            <v>2000000</v>
          </cell>
          <cell r="F10">
            <v>3000000</v>
          </cell>
          <cell r="G10">
            <v>5000000</v>
          </cell>
          <cell r="H10">
            <v>3000000</v>
          </cell>
          <cell r="I10">
            <v>1535600</v>
          </cell>
          <cell r="J10">
            <v>2000000</v>
          </cell>
          <cell r="K10">
            <v>1800000</v>
          </cell>
          <cell r="L10">
            <v>1000000</v>
          </cell>
          <cell r="M10">
            <v>1000000</v>
          </cell>
          <cell r="N10">
            <v>3000000</v>
          </cell>
          <cell r="O10">
            <v>1000000</v>
          </cell>
          <cell r="P10">
            <v>3000000</v>
          </cell>
          <cell r="Q10">
            <v>500000</v>
          </cell>
          <cell r="R10">
            <v>2000000</v>
          </cell>
          <cell r="S10">
            <v>3000000</v>
          </cell>
          <cell r="T10">
            <v>7499998</v>
          </cell>
          <cell r="U10">
            <v>300000</v>
          </cell>
          <cell r="V10">
            <v>2000000</v>
          </cell>
          <cell r="W10">
            <v>1000000</v>
          </cell>
          <cell r="X10">
            <v>800000</v>
          </cell>
          <cell r="Y10">
            <v>600000</v>
          </cell>
          <cell r="Z10">
            <v>1200000</v>
          </cell>
          <cell r="AA10">
            <v>1500000</v>
          </cell>
          <cell r="AB10">
            <v>3500000</v>
          </cell>
          <cell r="AC10">
            <v>2500000</v>
          </cell>
          <cell r="AD10">
            <v>4000000</v>
          </cell>
          <cell r="AE10">
            <v>20300000</v>
          </cell>
          <cell r="AF10">
            <v>3000000</v>
          </cell>
          <cell r="AG10">
            <v>7635247</v>
          </cell>
          <cell r="AH10">
            <v>5300000</v>
          </cell>
          <cell r="AI10">
            <v>1000000</v>
          </cell>
        </row>
        <row r="11">
          <cell r="A11">
            <v>101010202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35500000</v>
          </cell>
          <cell r="I11">
            <v>964400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2500000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41800000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</row>
        <row r="12">
          <cell r="A12">
            <v>101010203</v>
          </cell>
          <cell r="C12">
            <v>500000</v>
          </cell>
          <cell r="D12">
            <v>4000000</v>
          </cell>
          <cell r="E12">
            <v>0</v>
          </cell>
          <cell r="F12">
            <v>600000</v>
          </cell>
          <cell r="G12">
            <v>10800000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4000000</v>
          </cell>
          <cell r="S12">
            <v>0</v>
          </cell>
          <cell r="T12">
            <v>6950000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1200000</v>
          </cell>
          <cell r="AA12">
            <v>0</v>
          </cell>
          <cell r="AB12">
            <v>3300000</v>
          </cell>
          <cell r="AC12">
            <v>0</v>
          </cell>
          <cell r="AD12">
            <v>5500000</v>
          </cell>
          <cell r="AE12">
            <v>1400000</v>
          </cell>
          <cell r="AF12">
            <v>2500000</v>
          </cell>
          <cell r="AG12">
            <v>9581396</v>
          </cell>
          <cell r="AH12">
            <v>0</v>
          </cell>
          <cell r="AI12">
            <v>0</v>
          </cell>
        </row>
        <row r="13">
          <cell r="A13">
            <v>101020000</v>
          </cell>
          <cell r="C13">
            <v>7778250816</v>
          </cell>
          <cell r="D13">
            <v>6630076485</v>
          </cell>
          <cell r="E13">
            <v>3361115159</v>
          </cell>
          <cell r="F13">
            <v>4601169930</v>
          </cell>
          <cell r="G13">
            <v>6151467045</v>
          </cell>
          <cell r="H13">
            <v>6412952210</v>
          </cell>
          <cell r="I13">
            <v>6437729970</v>
          </cell>
          <cell r="J13">
            <v>1338751147</v>
          </cell>
          <cell r="K13">
            <v>309080368</v>
          </cell>
          <cell r="L13">
            <v>1384366363</v>
          </cell>
          <cell r="M13">
            <v>987105186</v>
          </cell>
          <cell r="N13">
            <v>6570343778</v>
          </cell>
          <cell r="O13">
            <v>5164754629</v>
          </cell>
          <cell r="P13">
            <v>1052794514</v>
          </cell>
          <cell r="Q13">
            <v>3904688974</v>
          </cell>
          <cell r="R13">
            <v>1328770944</v>
          </cell>
          <cell r="S13">
            <v>150164864</v>
          </cell>
          <cell r="T13">
            <v>6117816289</v>
          </cell>
          <cell r="U13">
            <v>8989183</v>
          </cell>
          <cell r="V13">
            <v>6287630220</v>
          </cell>
          <cell r="W13">
            <v>2523696226</v>
          </cell>
          <cell r="X13">
            <v>1830338328</v>
          </cell>
          <cell r="Y13">
            <v>621675908</v>
          </cell>
          <cell r="Z13">
            <v>1510449313</v>
          </cell>
          <cell r="AA13">
            <v>1104034305</v>
          </cell>
          <cell r="AB13">
            <v>1388507796</v>
          </cell>
          <cell r="AC13">
            <v>3136253101</v>
          </cell>
          <cell r="AD13">
            <v>2290593297</v>
          </cell>
          <cell r="AE13">
            <v>41665210492</v>
          </cell>
          <cell r="AF13">
            <v>1137167890</v>
          </cell>
          <cell r="AG13">
            <v>929733838</v>
          </cell>
          <cell r="AH13">
            <v>4244812244</v>
          </cell>
          <cell r="AI13">
            <v>5318347047</v>
          </cell>
        </row>
        <row r="14">
          <cell r="A14">
            <v>101020100</v>
          </cell>
          <cell r="C14">
            <v>640342428</v>
          </cell>
          <cell r="D14">
            <v>25000000</v>
          </cell>
          <cell r="E14">
            <v>526850598</v>
          </cell>
          <cell r="F14">
            <v>2648764236</v>
          </cell>
          <cell r="G14">
            <v>630187059</v>
          </cell>
          <cell r="H14">
            <v>83064566</v>
          </cell>
          <cell r="I14">
            <v>674539034</v>
          </cell>
          <cell r="J14">
            <v>1010783343</v>
          </cell>
          <cell r="K14">
            <v>88235016</v>
          </cell>
          <cell r="L14">
            <v>557539982</v>
          </cell>
          <cell r="M14">
            <v>189096613</v>
          </cell>
          <cell r="N14">
            <v>544344686</v>
          </cell>
          <cell r="O14">
            <v>89143382</v>
          </cell>
          <cell r="P14">
            <v>112314018</v>
          </cell>
          <cell r="Q14">
            <v>2852207148</v>
          </cell>
          <cell r="R14">
            <v>295751370</v>
          </cell>
          <cell r="S14">
            <v>108895169</v>
          </cell>
          <cell r="T14">
            <v>829917039</v>
          </cell>
          <cell r="U14">
            <v>5761321</v>
          </cell>
          <cell r="V14">
            <v>4158713478</v>
          </cell>
          <cell r="W14">
            <v>2266520801</v>
          </cell>
          <cell r="X14">
            <v>-470148472</v>
          </cell>
          <cell r="Y14">
            <v>35422239</v>
          </cell>
          <cell r="Z14">
            <v>30000000</v>
          </cell>
          <cell r="AA14">
            <v>432472439</v>
          </cell>
          <cell r="AB14">
            <v>940342335</v>
          </cell>
          <cell r="AC14">
            <v>93946047</v>
          </cell>
          <cell r="AD14">
            <v>213449765</v>
          </cell>
          <cell r="AE14">
            <v>-438032127</v>
          </cell>
          <cell r="AF14">
            <v>22100912</v>
          </cell>
          <cell r="AG14">
            <v>380227582</v>
          </cell>
          <cell r="AH14">
            <v>2087564608</v>
          </cell>
          <cell r="AI14">
            <v>232699413</v>
          </cell>
        </row>
        <row r="15">
          <cell r="A15">
            <v>101020102</v>
          </cell>
          <cell r="C15">
            <v>3130000</v>
          </cell>
          <cell r="D15">
            <v>0</v>
          </cell>
          <cell r="E15">
            <v>0</v>
          </cell>
          <cell r="F15">
            <v>332758175</v>
          </cell>
          <cell r="G15">
            <v>5000000</v>
          </cell>
          <cell r="H15">
            <v>88384652</v>
          </cell>
          <cell r="I15">
            <v>228707204</v>
          </cell>
          <cell r="J15">
            <v>101152630</v>
          </cell>
          <cell r="K15">
            <v>5000000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7752790</v>
          </cell>
          <cell r="Q15">
            <v>0</v>
          </cell>
          <cell r="R15">
            <v>16332064</v>
          </cell>
          <cell r="S15">
            <v>19773903</v>
          </cell>
          <cell r="T15">
            <v>44350853</v>
          </cell>
          <cell r="U15">
            <v>0</v>
          </cell>
          <cell r="V15">
            <v>13919682</v>
          </cell>
          <cell r="W15">
            <v>220631519</v>
          </cell>
          <cell r="X15">
            <v>88628588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3000000</v>
          </cell>
          <cell r="AG15">
            <v>4000000</v>
          </cell>
          <cell r="AH15">
            <v>0</v>
          </cell>
          <cell r="AI15">
            <v>0</v>
          </cell>
        </row>
        <row r="16">
          <cell r="A16">
            <v>101020103</v>
          </cell>
          <cell r="C16">
            <v>0</v>
          </cell>
          <cell r="D16">
            <v>0</v>
          </cell>
          <cell r="E16">
            <v>0</v>
          </cell>
          <cell r="F16">
            <v>106329114</v>
          </cell>
          <cell r="G16">
            <v>0</v>
          </cell>
          <cell r="H16">
            <v>58611797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A17">
            <v>101020104</v>
          </cell>
          <cell r="C17">
            <v>0</v>
          </cell>
          <cell r="D17">
            <v>0</v>
          </cell>
          <cell r="E17">
            <v>0</v>
          </cell>
          <cell r="F17">
            <v>10000000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62148829</v>
          </cell>
          <cell r="U17">
            <v>0</v>
          </cell>
          <cell r="V17">
            <v>0</v>
          </cell>
          <cell r="W17">
            <v>118317628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55011364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A18">
            <v>101020105</v>
          </cell>
          <cell r="C18">
            <v>0</v>
          </cell>
          <cell r="D18">
            <v>0</v>
          </cell>
          <cell r="E18">
            <v>0</v>
          </cell>
          <cell r="F18">
            <v>198529909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13875400</v>
          </cell>
          <cell r="L18">
            <v>34667296</v>
          </cell>
          <cell r="M18">
            <v>0</v>
          </cell>
          <cell r="N18">
            <v>0</v>
          </cell>
          <cell r="O18">
            <v>39192425</v>
          </cell>
          <cell r="P18">
            <v>0</v>
          </cell>
          <cell r="Q18">
            <v>0</v>
          </cell>
          <cell r="R18">
            <v>5000000</v>
          </cell>
          <cell r="S18">
            <v>12089372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22485542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A19">
            <v>101020106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15000000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387261040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A20">
            <v>101020107</v>
          </cell>
          <cell r="C20">
            <v>10089920</v>
          </cell>
          <cell r="D20">
            <v>0</v>
          </cell>
          <cell r="E20">
            <v>112426548</v>
          </cell>
          <cell r="F20">
            <v>188072153</v>
          </cell>
          <cell r="G20">
            <v>15000000</v>
          </cell>
          <cell r="H20">
            <v>11164718</v>
          </cell>
          <cell r="I20">
            <v>0</v>
          </cell>
          <cell r="J20">
            <v>413582455</v>
          </cell>
          <cell r="K20">
            <v>0</v>
          </cell>
          <cell r="L20">
            <v>50101988</v>
          </cell>
          <cell r="M20">
            <v>47056940</v>
          </cell>
          <cell r="N20">
            <v>15000000</v>
          </cell>
          <cell r="O20">
            <v>14950957</v>
          </cell>
          <cell r="P20">
            <v>14985237</v>
          </cell>
          <cell r="Q20">
            <v>0</v>
          </cell>
          <cell r="R20">
            <v>156655437</v>
          </cell>
          <cell r="S20">
            <v>0</v>
          </cell>
          <cell r="T20">
            <v>114557366</v>
          </cell>
          <cell r="U20">
            <v>0</v>
          </cell>
          <cell r="V20">
            <v>213805871</v>
          </cell>
          <cell r="W20">
            <v>204209124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A21">
            <v>101020108</v>
          </cell>
          <cell r="C21">
            <v>0</v>
          </cell>
          <cell r="D21">
            <v>5000000</v>
          </cell>
          <cell r="E21">
            <v>94691043</v>
          </cell>
          <cell r="F21">
            <v>3956720</v>
          </cell>
          <cell r="G21">
            <v>0</v>
          </cell>
          <cell r="H21">
            <v>339030</v>
          </cell>
          <cell r="I21">
            <v>14237272</v>
          </cell>
          <cell r="J21">
            <v>219168918</v>
          </cell>
          <cell r="K21">
            <v>0</v>
          </cell>
          <cell r="L21">
            <v>0</v>
          </cell>
          <cell r="M21">
            <v>54189206</v>
          </cell>
          <cell r="N21">
            <v>5000000</v>
          </cell>
          <cell r="O21">
            <v>5000000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38841137</v>
          </cell>
          <cell r="U21">
            <v>0</v>
          </cell>
          <cell r="V21">
            <v>1344149371</v>
          </cell>
          <cell r="W21">
            <v>0</v>
          </cell>
          <cell r="X21">
            <v>0</v>
          </cell>
          <cell r="Y21">
            <v>0</v>
          </cell>
          <cell r="Z21">
            <v>5000000</v>
          </cell>
          <cell r="AA21">
            <v>0</v>
          </cell>
          <cell r="AB21">
            <v>76485076</v>
          </cell>
          <cell r="AC21">
            <v>0</v>
          </cell>
          <cell r="AD21">
            <v>0</v>
          </cell>
          <cell r="AE21">
            <v>260056134</v>
          </cell>
          <cell r="AF21">
            <v>0</v>
          </cell>
          <cell r="AG21">
            <v>0</v>
          </cell>
          <cell r="AH21">
            <v>48879492</v>
          </cell>
          <cell r="AI21">
            <v>0</v>
          </cell>
        </row>
        <row r="22">
          <cell r="A22">
            <v>101020111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20000000</v>
          </cell>
          <cell r="J22">
            <v>68110427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A23">
            <v>101020117</v>
          </cell>
          <cell r="C23">
            <v>174081418</v>
          </cell>
          <cell r="D23">
            <v>0</v>
          </cell>
          <cell r="E23">
            <v>0</v>
          </cell>
          <cell r="F23">
            <v>700000000</v>
          </cell>
          <cell r="G23">
            <v>114995425</v>
          </cell>
          <cell r="H23">
            <v>343633838</v>
          </cell>
          <cell r="I23">
            <v>5549208</v>
          </cell>
          <cell r="J23">
            <v>0</v>
          </cell>
          <cell r="K23">
            <v>40645658</v>
          </cell>
          <cell r="L23">
            <v>0</v>
          </cell>
          <cell r="M23">
            <v>46598318</v>
          </cell>
          <cell r="N23">
            <v>5000000</v>
          </cell>
          <cell r="O23">
            <v>5000000</v>
          </cell>
          <cell r="P23">
            <v>30256925</v>
          </cell>
          <cell r="Q23">
            <v>47417691</v>
          </cell>
          <cell r="R23">
            <v>89976491</v>
          </cell>
          <cell r="S23">
            <v>5000654</v>
          </cell>
          <cell r="T23">
            <v>290160589</v>
          </cell>
          <cell r="U23">
            <v>0</v>
          </cell>
          <cell r="V23">
            <v>71783384</v>
          </cell>
          <cell r="W23">
            <v>293164030</v>
          </cell>
          <cell r="X23">
            <v>-470336784</v>
          </cell>
          <cell r="Y23">
            <v>35422239</v>
          </cell>
          <cell r="Z23">
            <v>0</v>
          </cell>
          <cell r="AA23">
            <v>0</v>
          </cell>
          <cell r="AB23">
            <v>537842014</v>
          </cell>
          <cell r="AC23">
            <v>12889873</v>
          </cell>
          <cell r="AD23">
            <v>5000000</v>
          </cell>
          <cell r="AE23">
            <v>-768099625</v>
          </cell>
          <cell r="AF23">
            <v>4000714</v>
          </cell>
          <cell r="AG23">
            <v>205851895</v>
          </cell>
          <cell r="AH23">
            <v>0</v>
          </cell>
          <cell r="AI23">
            <v>232699413</v>
          </cell>
        </row>
        <row r="24">
          <cell r="A24">
            <v>101020120</v>
          </cell>
          <cell r="C24">
            <v>171057120</v>
          </cell>
          <cell r="D24">
            <v>5000000</v>
          </cell>
          <cell r="E24">
            <v>302040632</v>
          </cell>
          <cell r="F24">
            <v>0</v>
          </cell>
          <cell r="G24">
            <v>0</v>
          </cell>
          <cell r="H24">
            <v>-1158138179</v>
          </cell>
          <cell r="I24">
            <v>0</v>
          </cell>
          <cell r="J24">
            <v>0</v>
          </cell>
          <cell r="K24">
            <v>5000000</v>
          </cell>
          <cell r="L24">
            <v>472770698</v>
          </cell>
          <cell r="M24">
            <v>0</v>
          </cell>
          <cell r="N24">
            <v>0</v>
          </cell>
          <cell r="O24">
            <v>5000000</v>
          </cell>
          <cell r="P24">
            <v>5000000</v>
          </cell>
          <cell r="Q24">
            <v>1765987768</v>
          </cell>
          <cell r="R24">
            <v>5000000</v>
          </cell>
          <cell r="S24">
            <v>72031240</v>
          </cell>
          <cell r="T24">
            <v>13805789</v>
          </cell>
          <cell r="U24">
            <v>5761321</v>
          </cell>
          <cell r="V24">
            <v>2739882042</v>
          </cell>
          <cell r="W24">
            <v>553104983</v>
          </cell>
          <cell r="X24">
            <v>-88440276</v>
          </cell>
          <cell r="Y24">
            <v>0</v>
          </cell>
          <cell r="Z24">
            <v>10000000</v>
          </cell>
          <cell r="AA24">
            <v>359132324</v>
          </cell>
          <cell r="AB24">
            <v>154813969</v>
          </cell>
          <cell r="AC24">
            <v>71056174</v>
          </cell>
          <cell r="AD24">
            <v>535000</v>
          </cell>
          <cell r="AE24">
            <v>0</v>
          </cell>
          <cell r="AF24">
            <v>5100198</v>
          </cell>
          <cell r="AG24">
            <v>88571577</v>
          </cell>
          <cell r="AH24">
            <v>1897734984</v>
          </cell>
          <cell r="AI24">
            <v>0</v>
          </cell>
        </row>
        <row r="25">
          <cell r="A25">
            <v>101020129</v>
          </cell>
          <cell r="C25">
            <v>63566450</v>
          </cell>
          <cell r="D25">
            <v>10000000</v>
          </cell>
          <cell r="E25">
            <v>0</v>
          </cell>
          <cell r="F25">
            <v>1020565165</v>
          </cell>
          <cell r="G25">
            <v>292843572</v>
          </cell>
          <cell r="H25">
            <v>99812109</v>
          </cell>
          <cell r="I25">
            <v>391045350</v>
          </cell>
          <cell r="J25">
            <v>208768913</v>
          </cell>
          <cell r="K25">
            <v>855947</v>
          </cell>
          <cell r="L25">
            <v>0</v>
          </cell>
          <cell r="M25">
            <v>0</v>
          </cell>
          <cell r="N25">
            <v>0</v>
          </cell>
          <cell r="O25">
            <v>20000000</v>
          </cell>
          <cell r="P25">
            <v>35125529</v>
          </cell>
          <cell r="Q25">
            <v>0</v>
          </cell>
          <cell r="R25">
            <v>9307484</v>
          </cell>
          <cell r="S25">
            <v>0</v>
          </cell>
          <cell r="T25">
            <v>4316000</v>
          </cell>
          <cell r="U25">
            <v>0</v>
          </cell>
          <cell r="V25">
            <v>9013636</v>
          </cell>
          <cell r="W25">
            <v>338422958</v>
          </cell>
          <cell r="X25">
            <v>0</v>
          </cell>
          <cell r="Y25">
            <v>0</v>
          </cell>
          <cell r="Z25">
            <v>10000000</v>
          </cell>
          <cell r="AA25">
            <v>73340115</v>
          </cell>
          <cell r="AB25">
            <v>23074218</v>
          </cell>
          <cell r="AC25">
            <v>0</v>
          </cell>
          <cell r="AD25">
            <v>3870127</v>
          </cell>
          <cell r="AE25">
            <v>0</v>
          </cell>
          <cell r="AF25">
            <v>10000000</v>
          </cell>
          <cell r="AG25">
            <v>7989000</v>
          </cell>
          <cell r="AH25">
            <v>10000000</v>
          </cell>
          <cell r="AI25">
            <v>0</v>
          </cell>
        </row>
        <row r="26">
          <cell r="A26">
            <v>101020131</v>
          </cell>
          <cell r="C26">
            <v>174340118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10000000</v>
          </cell>
          <cell r="AI26">
            <v>0</v>
          </cell>
        </row>
        <row r="27">
          <cell r="A27">
            <v>101020134</v>
          </cell>
          <cell r="C27">
            <v>0</v>
          </cell>
          <cell r="D27">
            <v>0</v>
          </cell>
          <cell r="E27">
            <v>0</v>
          </cell>
          <cell r="F27">
            <v>88553000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22858011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220752599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15000000</v>
          </cell>
          <cell r="AF27">
            <v>0</v>
          </cell>
          <cell r="AG27">
            <v>0</v>
          </cell>
          <cell r="AH27">
            <v>120950132</v>
          </cell>
          <cell r="AI27">
            <v>0</v>
          </cell>
        </row>
        <row r="28">
          <cell r="A28">
            <v>101020137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A29">
            <v>101020138</v>
          </cell>
          <cell r="C29">
            <v>23347402</v>
          </cell>
          <cell r="D29">
            <v>0</v>
          </cell>
          <cell r="E29">
            <v>17692375</v>
          </cell>
          <cell r="F29">
            <v>0</v>
          </cell>
          <cell r="G29">
            <v>10002156</v>
          </cell>
          <cell r="H29">
            <v>68210534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41252149</v>
          </cell>
          <cell r="N29">
            <v>0</v>
          </cell>
          <cell r="O29">
            <v>0</v>
          </cell>
          <cell r="P29">
            <v>14193537</v>
          </cell>
          <cell r="Q29">
            <v>0</v>
          </cell>
          <cell r="R29">
            <v>10000000</v>
          </cell>
          <cell r="S29">
            <v>0</v>
          </cell>
          <cell r="T29">
            <v>40983877</v>
          </cell>
          <cell r="U29">
            <v>0</v>
          </cell>
          <cell r="V29">
            <v>-233840508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125641516</v>
          </cell>
          <cell r="AC29">
            <v>10000000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A30">
            <v>101020139</v>
          </cell>
          <cell r="C30">
            <v>20730000</v>
          </cell>
          <cell r="D30">
            <v>5000000</v>
          </cell>
          <cell r="E30">
            <v>0</v>
          </cell>
          <cell r="F30">
            <v>0</v>
          </cell>
          <cell r="G30">
            <v>31906032</v>
          </cell>
          <cell r="H30">
            <v>346223122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5000000</v>
          </cell>
          <cell r="Q30">
            <v>1038801689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151409519</v>
          </cell>
          <cell r="X30">
            <v>0</v>
          </cell>
          <cell r="Y30">
            <v>0</v>
          </cell>
          <cell r="Z30">
            <v>5000000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A31">
            <v>101020140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153774706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3479894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204044638</v>
          </cell>
          <cell r="AE31">
            <v>0</v>
          </cell>
          <cell r="AF31">
            <v>0</v>
          </cell>
          <cell r="AG31">
            <v>37071000</v>
          </cell>
          <cell r="AH31">
            <v>0</v>
          </cell>
          <cell r="AI31">
            <v>0</v>
          </cell>
        </row>
        <row r="32">
          <cell r="A32">
            <v>101020141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160439874</v>
          </cell>
          <cell r="H32">
            <v>71048239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519344686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36744110</v>
          </cell>
          <cell r="AH32">
            <v>0</v>
          </cell>
          <cell r="AI32">
            <v>0</v>
          </cell>
        </row>
        <row r="33">
          <cell r="A33">
            <v>101020142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A34">
            <v>101020143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A35">
            <v>101020144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A36">
            <v>101020200</v>
          </cell>
          <cell r="C36">
            <v>4246605503</v>
          </cell>
          <cell r="D36">
            <v>95120000</v>
          </cell>
          <cell r="E36">
            <v>42535048</v>
          </cell>
          <cell r="F36">
            <v>188288432</v>
          </cell>
          <cell r="G36">
            <v>168429888</v>
          </cell>
          <cell r="H36">
            <v>293788937</v>
          </cell>
          <cell r="I36">
            <v>524334638</v>
          </cell>
          <cell r="J36">
            <v>0</v>
          </cell>
          <cell r="K36">
            <v>0</v>
          </cell>
          <cell r="L36">
            <v>825721908</v>
          </cell>
          <cell r="M36">
            <v>47560000</v>
          </cell>
          <cell r="N36">
            <v>0</v>
          </cell>
          <cell r="O36">
            <v>85567841</v>
          </cell>
          <cell r="P36">
            <v>14268000</v>
          </cell>
          <cell r="Q36">
            <v>0</v>
          </cell>
          <cell r="R36">
            <v>0</v>
          </cell>
          <cell r="S36">
            <v>0</v>
          </cell>
          <cell r="T36">
            <v>650787996</v>
          </cell>
          <cell r="U36">
            <v>0</v>
          </cell>
          <cell r="V36">
            <v>1556969914</v>
          </cell>
          <cell r="W36">
            <v>136883342</v>
          </cell>
          <cell r="X36">
            <v>432714197</v>
          </cell>
          <cell r="Y36">
            <v>0</v>
          </cell>
          <cell r="Z36">
            <v>0</v>
          </cell>
          <cell r="AA36">
            <v>0</v>
          </cell>
          <cell r="AB36">
            <v>149434874</v>
          </cell>
          <cell r="AC36">
            <v>0</v>
          </cell>
          <cell r="AD36">
            <v>246361609</v>
          </cell>
          <cell r="AE36">
            <v>2302181275</v>
          </cell>
          <cell r="AF36">
            <v>47560000</v>
          </cell>
          <cell r="AG36">
            <v>0</v>
          </cell>
          <cell r="AH36">
            <v>38048000</v>
          </cell>
          <cell r="AI36">
            <v>5085647634</v>
          </cell>
        </row>
        <row r="37">
          <cell r="A37">
            <v>101020202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A38">
            <v>101020203</v>
          </cell>
          <cell r="C38">
            <v>0</v>
          </cell>
          <cell r="D38">
            <v>0</v>
          </cell>
          <cell r="E38">
            <v>0</v>
          </cell>
          <cell r="F38">
            <v>5580296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260699569</v>
          </cell>
        </row>
        <row r="39">
          <cell r="A39">
            <v>101020204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9049783</v>
          </cell>
          <cell r="U39">
            <v>0</v>
          </cell>
          <cell r="V39">
            <v>0</v>
          </cell>
          <cell r="W39">
            <v>93069690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A40">
            <v>101020205</v>
          </cell>
          <cell r="C40">
            <v>0</v>
          </cell>
          <cell r="D40">
            <v>0</v>
          </cell>
          <cell r="E40">
            <v>0</v>
          </cell>
          <cell r="F40">
            <v>14272087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30818880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A41">
            <v>101020206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47560000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24334455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2302181275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A42">
            <v>101020207</v>
          </cell>
          <cell r="C42">
            <v>154714436</v>
          </cell>
          <cell r="D42">
            <v>0</v>
          </cell>
          <cell r="E42">
            <v>0</v>
          </cell>
          <cell r="F42">
            <v>0</v>
          </cell>
          <cell r="G42">
            <v>47560000</v>
          </cell>
          <cell r="H42">
            <v>37733819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47560000</v>
          </cell>
          <cell r="N42">
            <v>0</v>
          </cell>
          <cell r="O42">
            <v>47518961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59405151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</row>
        <row r="43">
          <cell r="A43">
            <v>101020208</v>
          </cell>
          <cell r="C43">
            <v>0</v>
          </cell>
          <cell r="D43">
            <v>33292000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23780000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14268330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134204916</v>
          </cell>
          <cell r="U43">
            <v>0</v>
          </cell>
          <cell r="V43">
            <v>949635324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37036779</v>
          </cell>
        </row>
        <row r="44">
          <cell r="A44">
            <v>101020211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</row>
        <row r="45">
          <cell r="A45">
            <v>101020217</v>
          </cell>
          <cell r="C45">
            <v>1197237225</v>
          </cell>
          <cell r="D45">
            <v>0</v>
          </cell>
          <cell r="E45">
            <v>0</v>
          </cell>
          <cell r="F45">
            <v>0</v>
          </cell>
          <cell r="G45">
            <v>23780000</v>
          </cell>
          <cell r="H45">
            <v>286629772</v>
          </cell>
          <cell r="I45">
            <v>23788371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23780550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506172193</v>
          </cell>
          <cell r="U45">
            <v>0</v>
          </cell>
          <cell r="V45">
            <v>48982473</v>
          </cell>
          <cell r="W45">
            <v>19250909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21676157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4734051488</v>
          </cell>
        </row>
        <row r="46">
          <cell r="A46">
            <v>101020220</v>
          </cell>
          <cell r="C46">
            <v>-3</v>
          </cell>
          <cell r="D46">
            <v>14268000</v>
          </cell>
          <cell r="E46">
            <v>0</v>
          </cell>
          <cell r="F46">
            <v>0</v>
          </cell>
          <cell r="G46">
            <v>0</v>
          </cell>
          <cell r="H46">
            <v>-322472874</v>
          </cell>
          <cell r="I46">
            <v>0</v>
          </cell>
          <cell r="J46">
            <v>0</v>
          </cell>
          <cell r="K46">
            <v>0</v>
          </cell>
          <cell r="L46">
            <v>825721908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462133386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38048000</v>
          </cell>
          <cell r="AI46">
            <v>0</v>
          </cell>
        </row>
        <row r="47">
          <cell r="A47">
            <v>101020229</v>
          </cell>
          <cell r="C47">
            <v>418082744</v>
          </cell>
          <cell r="D47">
            <v>47560000</v>
          </cell>
          <cell r="E47">
            <v>0</v>
          </cell>
          <cell r="F47">
            <v>168436049</v>
          </cell>
          <cell r="G47">
            <v>97089888</v>
          </cell>
          <cell r="H47">
            <v>62449609</v>
          </cell>
          <cell r="I47">
            <v>429206267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14268000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36813580</v>
          </cell>
          <cell r="W47">
            <v>0</v>
          </cell>
          <cell r="X47">
            <v>432714197</v>
          </cell>
          <cell r="Y47">
            <v>0</v>
          </cell>
          <cell r="Z47">
            <v>0</v>
          </cell>
          <cell r="AA47">
            <v>0</v>
          </cell>
          <cell r="AB47">
            <v>5517959</v>
          </cell>
          <cell r="AC47">
            <v>0</v>
          </cell>
          <cell r="AD47">
            <v>246361609</v>
          </cell>
          <cell r="AE47">
            <v>0</v>
          </cell>
          <cell r="AF47">
            <v>47560000</v>
          </cell>
          <cell r="AG47">
            <v>0</v>
          </cell>
          <cell r="AH47">
            <v>0</v>
          </cell>
          <cell r="AI47">
            <v>0</v>
          </cell>
        </row>
        <row r="48">
          <cell r="A48">
            <v>101020231</v>
          </cell>
          <cell r="C48">
            <v>2476571101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53859798</v>
          </cell>
        </row>
        <row r="49">
          <cell r="A49">
            <v>101020234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1361104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</row>
        <row r="50">
          <cell r="A50">
            <v>101020237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</row>
        <row r="51">
          <cell r="A51">
            <v>101020238</v>
          </cell>
          <cell r="C51">
            <v>0</v>
          </cell>
          <cell r="D51">
            <v>0</v>
          </cell>
          <cell r="E51">
            <v>42535048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91421878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</row>
        <row r="52">
          <cell r="A52">
            <v>101020239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221567915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228288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</row>
        <row r="53">
          <cell r="A53">
            <v>101020240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67502098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</row>
        <row r="54">
          <cell r="A54">
            <v>101020241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-59621402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</row>
        <row r="55">
          <cell r="A55">
            <v>101020242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</row>
        <row r="56">
          <cell r="A56">
            <v>101020243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</row>
        <row r="57">
          <cell r="A57">
            <v>101020244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A58">
            <v>101020300</v>
          </cell>
          <cell r="C58">
            <v>0</v>
          </cell>
          <cell r="D58">
            <v>1288532761</v>
          </cell>
          <cell r="E58">
            <v>58716199</v>
          </cell>
          <cell r="F58">
            <v>1736601976</v>
          </cell>
          <cell r="G58">
            <v>5151918991</v>
          </cell>
          <cell r="H58">
            <v>1774490107</v>
          </cell>
          <cell r="I58">
            <v>4985837717</v>
          </cell>
          <cell r="J58">
            <v>0</v>
          </cell>
          <cell r="K58">
            <v>109419454</v>
          </cell>
          <cell r="L58">
            <v>0</v>
          </cell>
          <cell r="M58">
            <v>0</v>
          </cell>
          <cell r="N58">
            <v>4823208092</v>
          </cell>
          <cell r="O58">
            <v>3932825412</v>
          </cell>
          <cell r="P58">
            <v>580381382</v>
          </cell>
          <cell r="Q58">
            <v>0</v>
          </cell>
          <cell r="R58">
            <v>971403665</v>
          </cell>
          <cell r="S58">
            <v>20292171</v>
          </cell>
          <cell r="T58">
            <v>72765</v>
          </cell>
          <cell r="U58">
            <v>3227862</v>
          </cell>
          <cell r="V58">
            <v>483048941</v>
          </cell>
          <cell r="W58">
            <v>0</v>
          </cell>
          <cell r="X58">
            <v>943674383</v>
          </cell>
          <cell r="Y58">
            <v>92012518</v>
          </cell>
          <cell r="Z58">
            <v>1358730197</v>
          </cell>
          <cell r="AA58">
            <v>38318729</v>
          </cell>
          <cell r="AB58">
            <v>0</v>
          </cell>
          <cell r="AC58">
            <v>2617645098</v>
          </cell>
          <cell r="AD58">
            <v>1698372382</v>
          </cell>
          <cell r="AE58">
            <v>9034506837</v>
          </cell>
          <cell r="AF58">
            <v>1021080665</v>
          </cell>
          <cell r="AG58">
            <v>459523388</v>
          </cell>
          <cell r="AH58">
            <v>1674416233</v>
          </cell>
          <cell r="AI58">
            <v>0</v>
          </cell>
        </row>
        <row r="59">
          <cell r="A59">
            <v>101020302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282102072</v>
          </cell>
          <cell r="H59">
            <v>0</v>
          </cell>
          <cell r="I59">
            <v>0</v>
          </cell>
          <cell r="J59">
            <v>0</v>
          </cell>
          <cell r="K59">
            <v>13758986</v>
          </cell>
          <cell r="L59">
            <v>0</v>
          </cell>
          <cell r="M59">
            <v>0</v>
          </cell>
          <cell r="N59">
            <v>8600989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768717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32515010</v>
          </cell>
          <cell r="AA59">
            <v>0</v>
          </cell>
          <cell r="AB59">
            <v>0</v>
          </cell>
          <cell r="AC59">
            <v>105328642</v>
          </cell>
          <cell r="AD59">
            <v>0</v>
          </cell>
          <cell r="AE59">
            <v>93819138</v>
          </cell>
          <cell r="AF59">
            <v>704231375</v>
          </cell>
          <cell r="AG59">
            <v>0</v>
          </cell>
          <cell r="AH59">
            <v>0</v>
          </cell>
          <cell r="AI59">
            <v>0</v>
          </cell>
        </row>
        <row r="60">
          <cell r="A60">
            <v>101020303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32377276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</row>
        <row r="61">
          <cell r="A61">
            <v>101020304</v>
          </cell>
          <cell r="C61">
            <v>0</v>
          </cell>
          <cell r="D61">
            <v>0</v>
          </cell>
          <cell r="E61">
            <v>0</v>
          </cell>
          <cell r="F61">
            <v>385575144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26486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10000000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</row>
        <row r="62">
          <cell r="A62">
            <v>101020305</v>
          </cell>
          <cell r="C62">
            <v>0</v>
          </cell>
          <cell r="D62">
            <v>0</v>
          </cell>
          <cell r="E62">
            <v>0</v>
          </cell>
          <cell r="F62">
            <v>63741918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10680521</v>
          </cell>
          <cell r="P62">
            <v>0</v>
          </cell>
          <cell r="Q62">
            <v>0</v>
          </cell>
          <cell r="R62">
            <v>36315074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</row>
        <row r="63">
          <cell r="A63">
            <v>101020306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250158813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1426304738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</row>
        <row r="64">
          <cell r="A64">
            <v>101020307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526320351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2341543112</v>
          </cell>
          <cell r="O64">
            <v>192214594</v>
          </cell>
          <cell r="P64">
            <v>89397452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38233780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5433915343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</row>
        <row r="65">
          <cell r="A65">
            <v>101020308</v>
          </cell>
          <cell r="C65">
            <v>0</v>
          </cell>
          <cell r="D65">
            <v>935501730</v>
          </cell>
          <cell r="E65">
            <v>0</v>
          </cell>
          <cell r="F65">
            <v>349506794</v>
          </cell>
          <cell r="G65">
            <v>0</v>
          </cell>
          <cell r="H65">
            <v>0</v>
          </cell>
          <cell r="I65">
            <v>1643889044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390387208</v>
          </cell>
          <cell r="O65">
            <v>2801107374</v>
          </cell>
          <cell r="P65">
            <v>0</v>
          </cell>
          <cell r="Q65">
            <v>0</v>
          </cell>
          <cell r="R65">
            <v>188485791</v>
          </cell>
          <cell r="S65">
            <v>0</v>
          </cell>
          <cell r="T65">
            <v>2595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88022574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59236095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</row>
        <row r="66">
          <cell r="A66">
            <v>101020311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18923182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747491520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</row>
        <row r="67">
          <cell r="A67">
            <v>101020317</v>
          </cell>
          <cell r="C67">
            <v>0</v>
          </cell>
          <cell r="D67">
            <v>0</v>
          </cell>
          <cell r="E67">
            <v>58716199</v>
          </cell>
          <cell r="F67">
            <v>0</v>
          </cell>
          <cell r="G67">
            <v>3387792584</v>
          </cell>
          <cell r="H67">
            <v>0</v>
          </cell>
          <cell r="I67">
            <v>174543220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1767175488</v>
          </cell>
          <cell r="O67">
            <v>260781231</v>
          </cell>
          <cell r="P67">
            <v>78294995</v>
          </cell>
          <cell r="Q67">
            <v>0</v>
          </cell>
          <cell r="R67">
            <v>0</v>
          </cell>
          <cell r="S67">
            <v>17728363</v>
          </cell>
          <cell r="T67">
            <v>43684</v>
          </cell>
          <cell r="U67">
            <v>0</v>
          </cell>
          <cell r="V67">
            <v>0</v>
          </cell>
          <cell r="W67">
            <v>0</v>
          </cell>
          <cell r="X67">
            <v>568043074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254754990</v>
          </cell>
          <cell r="AE67">
            <v>663534599</v>
          </cell>
          <cell r="AF67">
            <v>16265175</v>
          </cell>
          <cell r="AG67">
            <v>0</v>
          </cell>
          <cell r="AH67">
            <v>0</v>
          </cell>
          <cell r="AI67">
            <v>0</v>
          </cell>
        </row>
        <row r="68">
          <cell r="A68">
            <v>101020320</v>
          </cell>
          <cell r="C68">
            <v>0</v>
          </cell>
          <cell r="D68">
            <v>101930561</v>
          </cell>
          <cell r="E68">
            <v>0</v>
          </cell>
          <cell r="F68">
            <v>0</v>
          </cell>
          <cell r="G68">
            <v>0</v>
          </cell>
          <cell r="H68">
            <v>1503163297</v>
          </cell>
          <cell r="I68">
            <v>0</v>
          </cell>
          <cell r="J68">
            <v>0</v>
          </cell>
          <cell r="K68">
            <v>72907992</v>
          </cell>
          <cell r="L68">
            <v>0</v>
          </cell>
          <cell r="M68">
            <v>0</v>
          </cell>
          <cell r="N68">
            <v>315501295</v>
          </cell>
          <cell r="O68">
            <v>374952226</v>
          </cell>
          <cell r="P68">
            <v>209260669</v>
          </cell>
          <cell r="Q68">
            <v>0</v>
          </cell>
          <cell r="R68">
            <v>12736828</v>
          </cell>
          <cell r="S68">
            <v>2563808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208390911</v>
          </cell>
          <cell r="Y68">
            <v>0</v>
          </cell>
          <cell r="Z68">
            <v>107277566</v>
          </cell>
          <cell r="AA68">
            <v>38318729</v>
          </cell>
          <cell r="AB68">
            <v>0</v>
          </cell>
          <cell r="AC68">
            <v>2494526190</v>
          </cell>
          <cell r="AD68">
            <v>0</v>
          </cell>
          <cell r="AE68">
            <v>174156867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A69">
            <v>101020329</v>
          </cell>
          <cell r="C69">
            <v>0</v>
          </cell>
          <cell r="D69">
            <v>200636039</v>
          </cell>
          <cell r="E69">
            <v>0</v>
          </cell>
          <cell r="F69">
            <v>937778120</v>
          </cell>
          <cell r="G69">
            <v>691648440</v>
          </cell>
          <cell r="H69">
            <v>0</v>
          </cell>
          <cell r="I69">
            <v>2796949172</v>
          </cell>
          <cell r="J69">
            <v>0</v>
          </cell>
          <cell r="K69">
            <v>9881110</v>
          </cell>
          <cell r="L69">
            <v>0</v>
          </cell>
          <cell r="M69">
            <v>0</v>
          </cell>
          <cell r="N69">
            <v>0</v>
          </cell>
          <cell r="O69">
            <v>293089466</v>
          </cell>
          <cell r="P69">
            <v>140466395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207214048</v>
          </cell>
          <cell r="W69">
            <v>0</v>
          </cell>
          <cell r="X69">
            <v>134863122</v>
          </cell>
          <cell r="Y69">
            <v>0</v>
          </cell>
          <cell r="Z69">
            <v>126409311</v>
          </cell>
          <cell r="AA69">
            <v>0</v>
          </cell>
          <cell r="AB69">
            <v>0</v>
          </cell>
          <cell r="AC69">
            <v>0</v>
          </cell>
          <cell r="AD69">
            <v>1212011375</v>
          </cell>
          <cell r="AE69">
            <v>290442848</v>
          </cell>
          <cell r="AF69">
            <v>300584115</v>
          </cell>
          <cell r="AG69">
            <v>0</v>
          </cell>
          <cell r="AH69">
            <v>1563143516</v>
          </cell>
          <cell r="AI69">
            <v>0</v>
          </cell>
        </row>
        <row r="70">
          <cell r="A70">
            <v>101020331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111272717</v>
          </cell>
          <cell r="AI70">
            <v>0</v>
          </cell>
        </row>
        <row r="71">
          <cell r="A71">
            <v>101020334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135605689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</row>
        <row r="72">
          <cell r="A72">
            <v>101020337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A73">
            <v>101020338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10678681</v>
          </cell>
          <cell r="H73">
            <v>0</v>
          </cell>
          <cell r="I73">
            <v>101374286</v>
          </cell>
          <cell r="J73">
            <v>0</v>
          </cell>
          <cell r="K73">
            <v>12871366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23294882</v>
          </cell>
          <cell r="Q73">
            <v>0</v>
          </cell>
          <cell r="R73">
            <v>733865972</v>
          </cell>
          <cell r="S73">
            <v>0</v>
          </cell>
          <cell r="T73">
            <v>0</v>
          </cell>
          <cell r="U73">
            <v>0</v>
          </cell>
          <cell r="V73">
            <v>275834893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17790266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</row>
        <row r="74">
          <cell r="A74">
            <v>101020339</v>
          </cell>
          <cell r="C74">
            <v>0</v>
          </cell>
          <cell r="D74">
            <v>50464431</v>
          </cell>
          <cell r="E74">
            <v>0</v>
          </cell>
          <cell r="F74">
            <v>0</v>
          </cell>
          <cell r="G74">
            <v>253376863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39666989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92012518</v>
          </cell>
          <cell r="Z74">
            <v>966271956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459523388</v>
          </cell>
          <cell r="AH74">
            <v>0</v>
          </cell>
          <cell r="AI74">
            <v>0</v>
          </cell>
        </row>
        <row r="75">
          <cell r="A75">
            <v>101020340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2459145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</row>
        <row r="76">
          <cell r="A76">
            <v>101020341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271326810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231606017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A77">
            <v>101020342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A78">
            <v>101020343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A79">
            <v>101020344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A80">
            <v>101020400</v>
          </cell>
          <cell r="C80">
            <v>2891302885</v>
          </cell>
          <cell r="D80">
            <v>2072075722</v>
          </cell>
          <cell r="E80">
            <v>2725021588</v>
          </cell>
          <cell r="F80">
            <v>27515286</v>
          </cell>
          <cell r="G80">
            <v>200931107</v>
          </cell>
          <cell r="H80">
            <v>2211754116</v>
          </cell>
          <cell r="I80">
            <v>253018581</v>
          </cell>
          <cell r="J80">
            <v>327967804</v>
          </cell>
          <cell r="K80">
            <v>111425898</v>
          </cell>
          <cell r="L80">
            <v>0</v>
          </cell>
          <cell r="M80">
            <v>750448573</v>
          </cell>
          <cell r="N80">
            <v>1053794242</v>
          </cell>
          <cell r="O80">
            <v>1041178399</v>
          </cell>
          <cell r="P80">
            <v>345831114</v>
          </cell>
          <cell r="Q80">
            <v>1052481826</v>
          </cell>
          <cell r="R80">
            <v>36142893</v>
          </cell>
          <cell r="S80">
            <v>0</v>
          </cell>
          <cell r="T80">
            <v>3300493862</v>
          </cell>
          <cell r="U80">
            <v>0</v>
          </cell>
          <cell r="V80">
            <v>73190227</v>
          </cell>
          <cell r="W80">
            <v>120182494</v>
          </cell>
          <cell r="X80">
            <v>924098220</v>
          </cell>
          <cell r="Y80">
            <v>294647992</v>
          </cell>
          <cell r="Z80">
            <v>121719116</v>
          </cell>
          <cell r="AA80">
            <v>633243137</v>
          </cell>
          <cell r="AB80">
            <v>0</v>
          </cell>
          <cell r="AC80">
            <v>424661956</v>
          </cell>
          <cell r="AD80">
            <v>87790100</v>
          </cell>
          <cell r="AE80">
            <v>29893794518</v>
          </cell>
          <cell r="AF80">
            <v>46426313</v>
          </cell>
          <cell r="AG80">
            <v>38996776</v>
          </cell>
          <cell r="AH80">
            <v>444783403</v>
          </cell>
          <cell r="AI80">
            <v>0</v>
          </cell>
        </row>
        <row r="81">
          <cell r="A81">
            <v>101020402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15208736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6106276</v>
          </cell>
          <cell r="AG81">
            <v>0</v>
          </cell>
          <cell r="AH81">
            <v>0</v>
          </cell>
          <cell r="AI81">
            <v>0</v>
          </cell>
        </row>
        <row r="82">
          <cell r="A82">
            <v>101020403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A83">
            <v>101020404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1497651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A84">
            <v>101020405</v>
          </cell>
          <cell r="C84">
            <v>0</v>
          </cell>
          <cell r="D84">
            <v>0</v>
          </cell>
          <cell r="E84">
            <v>0</v>
          </cell>
          <cell r="F84">
            <v>3208757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A85">
            <v>101020406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49565177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1921714068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A86">
            <v>101020407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61844313</v>
          </cell>
          <cell r="H86">
            <v>0</v>
          </cell>
          <cell r="I86">
            <v>0</v>
          </cell>
          <cell r="J86">
            <v>16502702</v>
          </cell>
          <cell r="K86">
            <v>0</v>
          </cell>
          <cell r="L86">
            <v>0</v>
          </cell>
          <cell r="M86">
            <v>750448573</v>
          </cell>
          <cell r="N86">
            <v>208245359</v>
          </cell>
          <cell r="O86">
            <v>144866545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93925943</v>
          </cell>
          <cell r="U86">
            <v>0</v>
          </cell>
          <cell r="V86">
            <v>0</v>
          </cell>
          <cell r="W86">
            <v>24192250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21016405304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A87">
            <v>101020408</v>
          </cell>
          <cell r="C87">
            <v>0</v>
          </cell>
          <cell r="D87">
            <v>693703359</v>
          </cell>
          <cell r="E87">
            <v>0</v>
          </cell>
          <cell r="F87">
            <v>24306529</v>
          </cell>
          <cell r="G87">
            <v>0</v>
          </cell>
          <cell r="H87">
            <v>0</v>
          </cell>
          <cell r="I87">
            <v>83662891</v>
          </cell>
          <cell r="J87">
            <v>250965120</v>
          </cell>
          <cell r="K87">
            <v>0</v>
          </cell>
          <cell r="L87">
            <v>0</v>
          </cell>
          <cell r="M87">
            <v>0</v>
          </cell>
          <cell r="N87">
            <v>117940667</v>
          </cell>
          <cell r="O87">
            <v>671980271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1644029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19193362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25047946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A88">
            <v>101020411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28089554</v>
          </cell>
          <cell r="J88">
            <v>46426978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1730762038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A89">
            <v>101020417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113575230</v>
          </cell>
          <cell r="H89">
            <v>0</v>
          </cell>
          <cell r="I89">
            <v>67498912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159288428</v>
          </cell>
          <cell r="O89">
            <v>74318642</v>
          </cell>
          <cell r="P89">
            <v>161546054</v>
          </cell>
          <cell r="Q89">
            <v>0</v>
          </cell>
          <cell r="R89">
            <v>15005820</v>
          </cell>
          <cell r="S89">
            <v>0</v>
          </cell>
          <cell r="T89">
            <v>119613075</v>
          </cell>
          <cell r="U89">
            <v>0</v>
          </cell>
          <cell r="V89">
            <v>0</v>
          </cell>
          <cell r="W89">
            <v>0</v>
          </cell>
          <cell r="X89">
            <v>513426323</v>
          </cell>
          <cell r="Y89">
            <v>294591824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87790100</v>
          </cell>
          <cell r="AE89">
            <v>3020984947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</row>
        <row r="90">
          <cell r="A90">
            <v>101020420</v>
          </cell>
          <cell r="C90">
            <v>2891302885</v>
          </cell>
          <cell r="D90">
            <v>237095256</v>
          </cell>
          <cell r="E90">
            <v>2725021588</v>
          </cell>
          <cell r="F90">
            <v>0</v>
          </cell>
          <cell r="G90">
            <v>0</v>
          </cell>
          <cell r="H90">
            <v>1756340624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116215523</v>
          </cell>
          <cell r="O90">
            <v>0</v>
          </cell>
          <cell r="P90">
            <v>0</v>
          </cell>
          <cell r="Q90">
            <v>1052481826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75631520</v>
          </cell>
          <cell r="X90">
            <v>410671897</v>
          </cell>
          <cell r="Y90">
            <v>0</v>
          </cell>
          <cell r="Z90">
            <v>0</v>
          </cell>
          <cell r="AA90">
            <v>363067047</v>
          </cell>
          <cell r="AB90">
            <v>0</v>
          </cell>
          <cell r="AC90">
            <v>424661956</v>
          </cell>
          <cell r="AD90">
            <v>0</v>
          </cell>
          <cell r="AE90">
            <v>246153724</v>
          </cell>
          <cell r="AF90">
            <v>0</v>
          </cell>
          <cell r="AG90">
            <v>38996776</v>
          </cell>
          <cell r="AH90">
            <v>218950878</v>
          </cell>
          <cell r="AI90">
            <v>0</v>
          </cell>
        </row>
        <row r="91">
          <cell r="A91">
            <v>101020429</v>
          </cell>
          <cell r="C91">
            <v>0</v>
          </cell>
          <cell r="D91">
            <v>1141277107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14073004</v>
          </cell>
          <cell r="K91">
            <v>106031215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184285060</v>
          </cell>
          <cell r="Q91">
            <v>0</v>
          </cell>
          <cell r="R91">
            <v>0</v>
          </cell>
          <cell r="S91">
            <v>0</v>
          </cell>
          <cell r="T91">
            <v>826980279</v>
          </cell>
          <cell r="U91">
            <v>0</v>
          </cell>
          <cell r="V91">
            <v>0</v>
          </cell>
          <cell r="W91">
            <v>20358724</v>
          </cell>
          <cell r="X91">
            <v>0</v>
          </cell>
          <cell r="Y91">
            <v>0</v>
          </cell>
          <cell r="Z91">
            <v>0</v>
          </cell>
          <cell r="AA91">
            <v>189159960</v>
          </cell>
          <cell r="AB91">
            <v>0</v>
          </cell>
          <cell r="AC91">
            <v>0</v>
          </cell>
          <cell r="AD91">
            <v>0</v>
          </cell>
          <cell r="AE91">
            <v>1260569620</v>
          </cell>
          <cell r="AF91">
            <v>40320037</v>
          </cell>
          <cell r="AG91">
            <v>0</v>
          </cell>
          <cell r="AH91">
            <v>225832525</v>
          </cell>
          <cell r="AI91">
            <v>0</v>
          </cell>
        </row>
        <row r="92">
          <cell r="A92">
            <v>101020431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</row>
        <row r="93">
          <cell r="A93">
            <v>101020434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5394683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2256832885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672156871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A94">
            <v>101020437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A95">
            <v>101020438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25511564</v>
          </cell>
          <cell r="H95">
            <v>66074775</v>
          </cell>
          <cell r="I95">
            <v>24202047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150012941</v>
          </cell>
          <cell r="P95">
            <v>0</v>
          </cell>
          <cell r="Q95">
            <v>0</v>
          </cell>
          <cell r="R95">
            <v>21137073</v>
          </cell>
          <cell r="S95">
            <v>0</v>
          </cell>
          <cell r="T95">
            <v>0</v>
          </cell>
          <cell r="U95">
            <v>0</v>
          </cell>
          <cell r="V95">
            <v>73190227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81016130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A96">
            <v>101020439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102525754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</row>
        <row r="97">
          <cell r="A97">
            <v>101020440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</row>
        <row r="98">
          <cell r="A98">
            <v>101020441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389338717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436895529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56168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A99">
            <v>101020442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A100">
            <v>101020443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A101">
            <v>101020444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</row>
        <row r="102">
          <cell r="A102">
            <v>101020500</v>
          </cell>
          <cell r="C102">
            <v>0</v>
          </cell>
          <cell r="D102">
            <v>1039529235</v>
          </cell>
          <cell r="E102">
            <v>7991726</v>
          </cell>
          <cell r="F102">
            <v>0</v>
          </cell>
          <cell r="G102">
            <v>0</v>
          </cell>
          <cell r="H102">
            <v>1855980330</v>
          </cell>
          <cell r="I102">
            <v>0</v>
          </cell>
          <cell r="J102">
            <v>0</v>
          </cell>
          <cell r="K102">
            <v>0</v>
          </cell>
          <cell r="L102">
            <v>1104473</v>
          </cell>
          <cell r="M102">
            <v>0</v>
          </cell>
          <cell r="N102">
            <v>148996758</v>
          </cell>
          <cell r="O102">
            <v>16039595</v>
          </cell>
          <cell r="P102">
            <v>0</v>
          </cell>
          <cell r="Q102">
            <v>0</v>
          </cell>
          <cell r="R102">
            <v>25473016</v>
          </cell>
          <cell r="S102">
            <v>7618824</v>
          </cell>
          <cell r="T102">
            <v>1336544627</v>
          </cell>
          <cell r="U102">
            <v>0</v>
          </cell>
          <cell r="V102">
            <v>13801502</v>
          </cell>
          <cell r="W102">
            <v>109589</v>
          </cell>
          <cell r="X102">
            <v>0</v>
          </cell>
          <cell r="Y102">
            <v>153588942</v>
          </cell>
          <cell r="Z102">
            <v>0</v>
          </cell>
          <cell r="AA102">
            <v>0</v>
          </cell>
          <cell r="AB102">
            <v>280511159</v>
          </cell>
          <cell r="AC102">
            <v>0</v>
          </cell>
          <cell r="AD102">
            <v>44619441</v>
          </cell>
          <cell r="AE102">
            <v>771282644</v>
          </cell>
          <cell r="AF102">
            <v>0</v>
          </cell>
          <cell r="AG102">
            <v>50986092</v>
          </cell>
          <cell r="AH102">
            <v>0</v>
          </cell>
          <cell r="AI102">
            <v>0</v>
          </cell>
        </row>
        <row r="103">
          <cell r="A103">
            <v>101020506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A104">
            <v>101020507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32701095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835352826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152525953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51403205</v>
          </cell>
          <cell r="AF104">
            <v>0</v>
          </cell>
          <cell r="AG104">
            <v>50986092</v>
          </cell>
          <cell r="AH104">
            <v>0</v>
          </cell>
          <cell r="AI104">
            <v>0</v>
          </cell>
        </row>
        <row r="105">
          <cell r="A105">
            <v>101020508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1104473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501191801</v>
          </cell>
          <cell r="U105">
            <v>0</v>
          </cell>
          <cell r="V105">
            <v>0</v>
          </cell>
          <cell r="W105">
            <v>109589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</row>
        <row r="106">
          <cell r="A106">
            <v>101020518</v>
          </cell>
          <cell r="C106">
            <v>0</v>
          </cell>
          <cell r="D106">
            <v>0</v>
          </cell>
          <cell r="E106">
            <v>7991726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1062989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</row>
        <row r="107">
          <cell r="A107">
            <v>101020526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</row>
        <row r="108">
          <cell r="A108">
            <v>101020536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255472848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</row>
        <row r="109">
          <cell r="A109">
            <v>101020549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A110">
            <v>101020554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77021452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245719082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A111">
            <v>101020566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A112">
            <v>101020567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3027189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A113">
            <v>101020571</v>
          </cell>
          <cell r="C113">
            <v>0</v>
          </cell>
          <cell r="D113">
            <v>7511781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</row>
        <row r="114">
          <cell r="A114">
            <v>101020576</v>
          </cell>
          <cell r="C114">
            <v>0</v>
          </cell>
          <cell r="D114">
            <v>229688768</v>
          </cell>
          <cell r="E114">
            <v>0</v>
          </cell>
          <cell r="F114">
            <v>0</v>
          </cell>
          <cell r="G114">
            <v>0</v>
          </cell>
          <cell r="H114">
            <v>1290332233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</row>
        <row r="115">
          <cell r="A115">
            <v>101020577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22445827</v>
          </cell>
          <cell r="S115">
            <v>7618824</v>
          </cell>
          <cell r="T115">
            <v>0</v>
          </cell>
          <cell r="U115">
            <v>0</v>
          </cell>
          <cell r="V115">
            <v>13801502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280511159</v>
          </cell>
          <cell r="AC115">
            <v>0</v>
          </cell>
          <cell r="AD115">
            <v>0</v>
          </cell>
          <cell r="AE115">
            <v>46311091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A116">
            <v>101020578</v>
          </cell>
          <cell r="C116">
            <v>0</v>
          </cell>
          <cell r="D116">
            <v>802328686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</row>
        <row r="117">
          <cell r="A117">
            <v>101020590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565648097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39274211</v>
          </cell>
          <cell r="O117">
            <v>16039595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44619441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</row>
        <row r="118">
          <cell r="A118">
            <v>101020591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172376418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A119">
            <v>101020592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A120">
            <v>101020593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</row>
        <row r="121">
          <cell r="A121">
            <v>101020594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</row>
        <row r="122">
          <cell r="A122">
            <v>101020600</v>
          </cell>
          <cell r="C122">
            <v>0</v>
          </cell>
          <cell r="D122">
            <v>2109818767</v>
          </cell>
          <cell r="E122">
            <v>0</v>
          </cell>
          <cell r="F122">
            <v>0</v>
          </cell>
          <cell r="G122">
            <v>0</v>
          </cell>
          <cell r="H122">
            <v>193874154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13358700</v>
          </cell>
          <cell r="T122">
            <v>0</v>
          </cell>
          <cell r="U122">
            <v>0</v>
          </cell>
          <cell r="V122">
            <v>1906158</v>
          </cell>
          <cell r="W122">
            <v>0</v>
          </cell>
          <cell r="X122">
            <v>0</v>
          </cell>
          <cell r="Y122">
            <v>46004217</v>
          </cell>
          <cell r="Z122">
            <v>0</v>
          </cell>
          <cell r="AA122">
            <v>0</v>
          </cell>
          <cell r="AB122">
            <v>18219428</v>
          </cell>
          <cell r="AC122">
            <v>0</v>
          </cell>
          <cell r="AD122">
            <v>0</v>
          </cell>
          <cell r="AE122">
            <v>101477345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</row>
        <row r="123">
          <cell r="A123">
            <v>101020606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A124">
            <v>101020607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14485682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A125">
            <v>101020608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A126">
            <v>101020618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31518535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A127">
            <v>101020626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A128">
            <v>101020636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A129">
            <v>101020649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A130">
            <v>101020654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101477345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A131">
            <v>101020666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A132">
            <v>101020667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A133">
            <v>101020671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A134">
            <v>101020676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193874154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A135">
            <v>101020677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13358700</v>
          </cell>
          <cell r="T135">
            <v>0</v>
          </cell>
          <cell r="U135">
            <v>0</v>
          </cell>
          <cell r="V135">
            <v>1906158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18219428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A136">
            <v>101020678</v>
          </cell>
          <cell r="C136">
            <v>0</v>
          </cell>
          <cell r="D136">
            <v>2109818767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A137">
            <v>101020690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A138">
            <v>101020691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A139">
            <v>101020692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A140">
            <v>101020693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</row>
        <row r="141">
          <cell r="A141">
            <v>101020694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A142">
            <v>102000000</v>
          </cell>
          <cell r="C142">
            <v>16468528463</v>
          </cell>
          <cell r="D142">
            <v>11924416579</v>
          </cell>
          <cell r="E142">
            <v>6559798674</v>
          </cell>
          <cell r="F142">
            <v>5109445177</v>
          </cell>
          <cell r="G142">
            <v>18390605493</v>
          </cell>
          <cell r="H142">
            <v>32546252018</v>
          </cell>
          <cell r="I142">
            <v>10405055749</v>
          </cell>
          <cell r="J142">
            <v>3933254218</v>
          </cell>
          <cell r="K142">
            <v>1651826946</v>
          </cell>
          <cell r="L142">
            <v>2969154790</v>
          </cell>
          <cell r="M142">
            <v>3457100754</v>
          </cell>
          <cell r="N142">
            <v>23759334083</v>
          </cell>
          <cell r="O142">
            <v>7347590542</v>
          </cell>
          <cell r="P142">
            <v>6295998996</v>
          </cell>
          <cell r="Q142">
            <v>4568726414</v>
          </cell>
          <cell r="R142">
            <v>4516968343</v>
          </cell>
          <cell r="S142">
            <v>1676971554</v>
          </cell>
          <cell r="T142">
            <v>11850740516</v>
          </cell>
          <cell r="U142">
            <v>0</v>
          </cell>
          <cell r="V142">
            <v>31676185262</v>
          </cell>
          <cell r="W142">
            <v>8049727019</v>
          </cell>
          <cell r="X142">
            <v>9213620149</v>
          </cell>
          <cell r="Y142">
            <v>3497429896</v>
          </cell>
          <cell r="Z142">
            <v>6763009962</v>
          </cell>
          <cell r="AA142">
            <v>3608532518</v>
          </cell>
          <cell r="AB142">
            <v>21087932396</v>
          </cell>
          <cell r="AC142">
            <v>2614099693</v>
          </cell>
          <cell r="AD142">
            <v>9037151579</v>
          </cell>
          <cell r="AE142">
            <v>57439650188</v>
          </cell>
          <cell r="AF142">
            <v>4143190946</v>
          </cell>
          <cell r="AG142">
            <v>8676695964</v>
          </cell>
          <cell r="AH142">
            <v>6320369084</v>
          </cell>
          <cell r="AI142">
            <v>7119462479</v>
          </cell>
        </row>
        <row r="143">
          <cell r="A143">
            <v>102010000</v>
          </cell>
          <cell r="C143">
            <v>11717532245</v>
          </cell>
          <cell r="D143">
            <v>10325070590</v>
          </cell>
          <cell r="E143">
            <v>5441270724</v>
          </cell>
          <cell r="F143">
            <v>3800942508</v>
          </cell>
          <cell r="G143">
            <v>11650850974</v>
          </cell>
          <cell r="H143">
            <v>29691067128</v>
          </cell>
          <cell r="I143">
            <v>8464883329</v>
          </cell>
          <cell r="J143">
            <v>3048306882</v>
          </cell>
          <cell r="K143">
            <v>888940999</v>
          </cell>
          <cell r="L143">
            <v>1515209025</v>
          </cell>
          <cell r="M143">
            <v>2881646483</v>
          </cell>
          <cell r="N143">
            <v>12383404307</v>
          </cell>
          <cell r="O143">
            <v>6502154111</v>
          </cell>
          <cell r="P143">
            <v>5455813569</v>
          </cell>
          <cell r="Q143">
            <v>3697816307</v>
          </cell>
          <cell r="R143">
            <v>3103972926</v>
          </cell>
          <cell r="S143">
            <v>886646987</v>
          </cell>
          <cell r="T143">
            <v>11250047070</v>
          </cell>
          <cell r="U143">
            <v>0</v>
          </cell>
          <cell r="V143">
            <v>20601316946</v>
          </cell>
          <cell r="W143">
            <v>6946805822</v>
          </cell>
          <cell r="X143">
            <v>7993145002</v>
          </cell>
          <cell r="Y143">
            <v>1431922771</v>
          </cell>
          <cell r="Z143">
            <v>5738901865</v>
          </cell>
          <cell r="AA143">
            <v>2596170001</v>
          </cell>
          <cell r="AB143">
            <v>19468911546</v>
          </cell>
          <cell r="AC143">
            <v>2227886810</v>
          </cell>
          <cell r="AD143">
            <v>8025940877</v>
          </cell>
          <cell r="AE143">
            <v>57380509570</v>
          </cell>
          <cell r="AF143">
            <v>3382435708</v>
          </cell>
          <cell r="AG143">
            <v>7808729238</v>
          </cell>
          <cell r="AH143">
            <v>6033630152</v>
          </cell>
          <cell r="AI143">
            <v>6944193600</v>
          </cell>
        </row>
        <row r="144">
          <cell r="A144">
            <v>102010100</v>
          </cell>
          <cell r="C144">
            <v>11468009507</v>
          </cell>
          <cell r="D144">
            <v>10289342918</v>
          </cell>
          <cell r="E144">
            <v>5365521089</v>
          </cell>
          <cell r="F144">
            <v>3779751992</v>
          </cell>
          <cell r="G144">
            <v>11050413945</v>
          </cell>
          <cell r="H144">
            <v>29308646879</v>
          </cell>
          <cell r="I144">
            <v>8407006453</v>
          </cell>
          <cell r="J144">
            <v>3048306882</v>
          </cell>
          <cell r="K144">
            <v>886192446</v>
          </cell>
          <cell r="L144">
            <v>972528011</v>
          </cell>
          <cell r="M144">
            <v>2864336483</v>
          </cell>
          <cell r="N144">
            <v>12109315346</v>
          </cell>
          <cell r="O144">
            <v>6361366205</v>
          </cell>
          <cell r="P144">
            <v>5397882518</v>
          </cell>
          <cell r="Q144">
            <v>3697816307</v>
          </cell>
          <cell r="R144">
            <v>3029056661</v>
          </cell>
          <cell r="S144">
            <v>871214589</v>
          </cell>
          <cell r="T144">
            <v>10290170879</v>
          </cell>
          <cell r="U144">
            <v>0</v>
          </cell>
          <cell r="V144">
            <v>20031418523</v>
          </cell>
          <cell r="W144">
            <v>6894708256</v>
          </cell>
          <cell r="X144">
            <v>7933129995</v>
          </cell>
          <cell r="Y144">
            <v>1381727671</v>
          </cell>
          <cell r="Z144">
            <v>5721907424</v>
          </cell>
          <cell r="AA144">
            <v>2573346624</v>
          </cell>
          <cell r="AB144">
            <v>19263888965</v>
          </cell>
          <cell r="AC144">
            <v>2219287373</v>
          </cell>
          <cell r="AD144">
            <v>7755391962</v>
          </cell>
          <cell r="AE144">
            <v>56641297194</v>
          </cell>
          <cell r="AF144">
            <v>3271297323</v>
          </cell>
          <cell r="AG144">
            <v>7804795089</v>
          </cell>
          <cell r="AH144">
            <v>5769819519</v>
          </cell>
          <cell r="AI144">
            <v>6601338373</v>
          </cell>
        </row>
        <row r="145">
          <cell r="A145">
            <v>102010101</v>
          </cell>
          <cell r="C145">
            <v>479927924</v>
          </cell>
          <cell r="D145">
            <v>1489454981</v>
          </cell>
          <cell r="E145">
            <v>1961389862</v>
          </cell>
          <cell r="F145">
            <v>403090366</v>
          </cell>
          <cell r="G145">
            <v>386159609</v>
          </cell>
          <cell r="H145">
            <v>1318207678</v>
          </cell>
          <cell r="I145">
            <v>637837739</v>
          </cell>
          <cell r="J145">
            <v>182770412</v>
          </cell>
          <cell r="K145">
            <v>48723200</v>
          </cell>
          <cell r="L145">
            <v>170704280</v>
          </cell>
          <cell r="M145">
            <v>38233376</v>
          </cell>
          <cell r="N145">
            <v>1046278478</v>
          </cell>
          <cell r="O145">
            <v>1203544442</v>
          </cell>
          <cell r="P145">
            <v>271587075</v>
          </cell>
          <cell r="Q145">
            <v>379659997</v>
          </cell>
          <cell r="R145">
            <v>229565277</v>
          </cell>
          <cell r="S145">
            <v>31494748</v>
          </cell>
          <cell r="T145">
            <v>823576881</v>
          </cell>
          <cell r="U145">
            <v>0</v>
          </cell>
          <cell r="V145">
            <v>4054920612</v>
          </cell>
          <cell r="W145">
            <v>284670101</v>
          </cell>
          <cell r="X145">
            <v>662191179</v>
          </cell>
          <cell r="Y145">
            <v>139377850</v>
          </cell>
          <cell r="Z145">
            <v>190301499</v>
          </cell>
          <cell r="AA145">
            <v>343289382</v>
          </cell>
          <cell r="AB145">
            <v>990404208</v>
          </cell>
          <cell r="AC145">
            <v>126066975</v>
          </cell>
          <cell r="AD145">
            <v>749084581</v>
          </cell>
          <cell r="AE145">
            <v>7621411009</v>
          </cell>
          <cell r="AF145">
            <v>240953075</v>
          </cell>
          <cell r="AG145">
            <v>255960020</v>
          </cell>
          <cell r="AH145">
            <v>204852623</v>
          </cell>
          <cell r="AI145">
            <v>24968465</v>
          </cell>
        </row>
        <row r="146">
          <cell r="A146">
            <v>102010102</v>
          </cell>
          <cell r="C146">
            <v>271502465</v>
          </cell>
          <cell r="D146">
            <v>279976102</v>
          </cell>
          <cell r="E146">
            <v>91949719</v>
          </cell>
          <cell r="F146">
            <v>56709876</v>
          </cell>
          <cell r="G146">
            <v>334940848</v>
          </cell>
          <cell r="H146">
            <v>408136742</v>
          </cell>
          <cell r="I146">
            <v>158636676</v>
          </cell>
          <cell r="J146">
            <v>23703046</v>
          </cell>
          <cell r="K146">
            <v>5030000</v>
          </cell>
          <cell r="L146">
            <v>38433129</v>
          </cell>
          <cell r="M146">
            <v>17145517</v>
          </cell>
          <cell r="N146">
            <v>323871412</v>
          </cell>
          <cell r="O146">
            <v>151419899</v>
          </cell>
          <cell r="P146">
            <v>356147021</v>
          </cell>
          <cell r="Q146">
            <v>228411615</v>
          </cell>
          <cell r="R146">
            <v>201625806</v>
          </cell>
          <cell r="S146">
            <v>3552157</v>
          </cell>
          <cell r="T146">
            <v>683780264</v>
          </cell>
          <cell r="U146">
            <v>0</v>
          </cell>
          <cell r="V146">
            <v>621073229</v>
          </cell>
          <cell r="W146">
            <v>54125428</v>
          </cell>
          <cell r="X146">
            <v>126444504</v>
          </cell>
          <cell r="Y146">
            <v>4591000</v>
          </cell>
          <cell r="Z146">
            <v>25784905</v>
          </cell>
          <cell r="AA146">
            <v>119475634</v>
          </cell>
          <cell r="AB146">
            <v>309539743</v>
          </cell>
          <cell r="AC146">
            <v>3931990</v>
          </cell>
          <cell r="AD146">
            <v>145123140</v>
          </cell>
          <cell r="AE146">
            <v>1192191790</v>
          </cell>
          <cell r="AF146">
            <v>45008668</v>
          </cell>
          <cell r="AG146">
            <v>389300776</v>
          </cell>
          <cell r="AH146">
            <v>17482840</v>
          </cell>
          <cell r="AI146">
            <v>36884270</v>
          </cell>
        </row>
        <row r="147">
          <cell r="A147">
            <v>102010103</v>
          </cell>
          <cell r="C147">
            <v>24870312</v>
          </cell>
          <cell r="D147">
            <v>72233145</v>
          </cell>
          <cell r="E147">
            <v>134620768</v>
          </cell>
          <cell r="F147">
            <v>21893000</v>
          </cell>
          <cell r="G147">
            <v>34338148</v>
          </cell>
          <cell r="H147">
            <v>60044226</v>
          </cell>
          <cell r="I147">
            <v>7984971</v>
          </cell>
          <cell r="J147">
            <v>18946633</v>
          </cell>
          <cell r="K147">
            <v>0</v>
          </cell>
          <cell r="L147">
            <v>50706627</v>
          </cell>
          <cell r="M147">
            <v>364000</v>
          </cell>
          <cell r="N147">
            <v>42441278</v>
          </cell>
          <cell r="O147">
            <v>133668779</v>
          </cell>
          <cell r="P147">
            <v>36700502</v>
          </cell>
          <cell r="Q147">
            <v>110150663</v>
          </cell>
          <cell r="R147">
            <v>95774184</v>
          </cell>
          <cell r="S147">
            <v>6478323</v>
          </cell>
          <cell r="T147">
            <v>79580730</v>
          </cell>
          <cell r="U147">
            <v>0</v>
          </cell>
          <cell r="V147">
            <v>996084713</v>
          </cell>
          <cell r="W147">
            <v>14111251</v>
          </cell>
          <cell r="X147">
            <v>51981140</v>
          </cell>
          <cell r="Y147">
            <v>2207696</v>
          </cell>
          <cell r="Z147">
            <v>15088564</v>
          </cell>
          <cell r="AA147">
            <v>24001741</v>
          </cell>
          <cell r="AB147">
            <v>1717914332</v>
          </cell>
          <cell r="AC147">
            <v>7000820</v>
          </cell>
          <cell r="AD147">
            <v>23695826</v>
          </cell>
          <cell r="AE147">
            <v>309199192</v>
          </cell>
          <cell r="AF147">
            <v>66800112</v>
          </cell>
          <cell r="AG147">
            <v>12298726</v>
          </cell>
          <cell r="AH147">
            <v>83273645</v>
          </cell>
          <cell r="AI147">
            <v>46844182</v>
          </cell>
        </row>
        <row r="148">
          <cell r="A148">
            <v>102010104</v>
          </cell>
          <cell r="C148">
            <v>9227117201</v>
          </cell>
          <cell r="D148">
            <v>7411304539</v>
          </cell>
          <cell r="E148">
            <v>2290630962</v>
          </cell>
          <cell r="F148">
            <v>2535677872</v>
          </cell>
          <cell r="G148">
            <v>9573153702</v>
          </cell>
          <cell r="H148">
            <v>25282896156</v>
          </cell>
          <cell r="I148">
            <v>7177351065</v>
          </cell>
          <cell r="J148">
            <v>2775855429</v>
          </cell>
          <cell r="K148">
            <v>818893143</v>
          </cell>
          <cell r="L148">
            <v>594819251</v>
          </cell>
          <cell r="M148">
            <v>820679764</v>
          </cell>
          <cell r="N148">
            <v>4950220007</v>
          </cell>
          <cell r="O148">
            <v>2867294132</v>
          </cell>
          <cell r="P148">
            <v>4464855331</v>
          </cell>
          <cell r="Q148">
            <v>2689655932</v>
          </cell>
          <cell r="R148">
            <v>1896419193</v>
          </cell>
          <cell r="S148">
            <v>787348590</v>
          </cell>
          <cell r="T148">
            <v>8043056592</v>
          </cell>
          <cell r="U148">
            <v>0</v>
          </cell>
          <cell r="V148">
            <v>9409363317</v>
          </cell>
          <cell r="W148">
            <v>5845910662</v>
          </cell>
          <cell r="X148">
            <v>6078159326</v>
          </cell>
          <cell r="Y148">
            <v>1180618243</v>
          </cell>
          <cell r="Z148">
            <v>5342374918</v>
          </cell>
          <cell r="AA148">
            <v>1428806892</v>
          </cell>
          <cell r="AB148">
            <v>15079238578</v>
          </cell>
          <cell r="AC148">
            <v>1950597588</v>
          </cell>
          <cell r="AD148">
            <v>6384914123</v>
          </cell>
          <cell r="AE148">
            <v>43595524106</v>
          </cell>
          <cell r="AF148">
            <v>2634357392</v>
          </cell>
          <cell r="AG148">
            <v>6725972333</v>
          </cell>
          <cell r="AH148">
            <v>5028779143</v>
          </cell>
          <cell r="AI148">
            <v>133925261</v>
          </cell>
        </row>
        <row r="149">
          <cell r="A149">
            <v>102010105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395206431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17845675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A150">
            <v>102010106</v>
          </cell>
          <cell r="C150">
            <v>37065411</v>
          </cell>
          <cell r="D150">
            <v>490670326</v>
          </cell>
          <cell r="E150">
            <v>290965560</v>
          </cell>
          <cell r="F150">
            <v>90573891</v>
          </cell>
          <cell r="G150">
            <v>218459208</v>
          </cell>
          <cell r="H150">
            <v>351653903</v>
          </cell>
          <cell r="I150">
            <v>270875083</v>
          </cell>
          <cell r="J150">
            <v>22621264</v>
          </cell>
          <cell r="K150">
            <v>6636000</v>
          </cell>
          <cell r="L150">
            <v>42331254</v>
          </cell>
          <cell r="M150">
            <v>77488041</v>
          </cell>
          <cell r="N150">
            <v>569822439</v>
          </cell>
          <cell r="O150">
            <v>343823264</v>
          </cell>
          <cell r="P150">
            <v>227545172</v>
          </cell>
          <cell r="Q150">
            <v>114415208</v>
          </cell>
          <cell r="R150">
            <v>145696913</v>
          </cell>
          <cell r="S150">
            <v>18330841</v>
          </cell>
          <cell r="T150">
            <v>175325234</v>
          </cell>
          <cell r="U150">
            <v>0</v>
          </cell>
          <cell r="V150">
            <v>546202563</v>
          </cell>
          <cell r="W150">
            <v>202609642</v>
          </cell>
          <cell r="X150">
            <v>599177560</v>
          </cell>
          <cell r="Y150">
            <v>12392073</v>
          </cell>
          <cell r="Z150">
            <v>90888630</v>
          </cell>
          <cell r="AA150">
            <v>122761634</v>
          </cell>
          <cell r="AB150">
            <v>355719534</v>
          </cell>
          <cell r="AC150">
            <v>47299100</v>
          </cell>
          <cell r="AD150">
            <v>159790495</v>
          </cell>
          <cell r="AE150">
            <v>1769236772</v>
          </cell>
          <cell r="AF150">
            <v>140126686</v>
          </cell>
          <cell r="AG150">
            <v>286488730</v>
          </cell>
          <cell r="AH150">
            <v>254061848</v>
          </cell>
          <cell r="AI150">
            <v>1959824</v>
          </cell>
        </row>
        <row r="151">
          <cell r="A151">
            <v>102010107</v>
          </cell>
          <cell r="C151">
            <v>4749000</v>
          </cell>
          <cell r="D151">
            <v>48621291</v>
          </cell>
          <cell r="E151">
            <v>0</v>
          </cell>
          <cell r="F151">
            <v>8825612</v>
          </cell>
          <cell r="G151">
            <v>5851980</v>
          </cell>
          <cell r="H151">
            <v>27730244</v>
          </cell>
          <cell r="I151">
            <v>11427914</v>
          </cell>
          <cell r="J151">
            <v>1041300</v>
          </cell>
          <cell r="K151">
            <v>0</v>
          </cell>
          <cell r="L151">
            <v>2065100</v>
          </cell>
          <cell r="M151">
            <v>272985</v>
          </cell>
          <cell r="N151">
            <v>20939444</v>
          </cell>
          <cell r="O151">
            <v>10462115</v>
          </cell>
          <cell r="P151">
            <v>2800900</v>
          </cell>
          <cell r="Q151">
            <v>7255932</v>
          </cell>
          <cell r="R151">
            <v>8253865</v>
          </cell>
          <cell r="S151">
            <v>609562</v>
          </cell>
          <cell r="T151">
            <v>4014000</v>
          </cell>
          <cell r="U151">
            <v>0</v>
          </cell>
          <cell r="V151">
            <v>6385632</v>
          </cell>
          <cell r="W151">
            <v>3742800</v>
          </cell>
          <cell r="X151">
            <v>26022602</v>
          </cell>
          <cell r="Y151">
            <v>0</v>
          </cell>
          <cell r="Z151">
            <v>16529320</v>
          </cell>
          <cell r="AA151">
            <v>6010862</v>
          </cell>
          <cell r="AB151">
            <v>20772000</v>
          </cell>
          <cell r="AC151">
            <v>11177994</v>
          </cell>
          <cell r="AD151">
            <v>8701742</v>
          </cell>
          <cell r="AE151">
            <v>83010643</v>
          </cell>
          <cell r="AF151">
            <v>1574550</v>
          </cell>
          <cell r="AG151">
            <v>13060500</v>
          </cell>
          <cell r="AH151">
            <v>15864030</v>
          </cell>
          <cell r="AI151">
            <v>0</v>
          </cell>
        </row>
        <row r="152">
          <cell r="A152">
            <v>102010108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1891879881</v>
          </cell>
          <cell r="N152">
            <v>2016211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39193340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5758818707</v>
          </cell>
        </row>
        <row r="153">
          <cell r="A153">
            <v>102010109</v>
          </cell>
          <cell r="C153">
            <v>45582943</v>
          </cell>
          <cell r="D153">
            <v>31669000</v>
          </cell>
          <cell r="E153">
            <v>43515984</v>
          </cell>
          <cell r="F153">
            <v>0</v>
          </cell>
          <cell r="G153">
            <v>8975000</v>
          </cell>
          <cell r="H153">
            <v>62755556</v>
          </cell>
          <cell r="I153">
            <v>5052800</v>
          </cell>
          <cell r="J153">
            <v>9352378</v>
          </cell>
          <cell r="K153">
            <v>6671103</v>
          </cell>
          <cell r="L153">
            <v>12664664</v>
          </cell>
          <cell r="M153">
            <v>0</v>
          </cell>
          <cell r="N153">
            <v>4701768464</v>
          </cell>
          <cell r="O153">
            <v>337828562</v>
          </cell>
          <cell r="P153">
            <v>0</v>
          </cell>
          <cell r="Q153">
            <v>670000</v>
          </cell>
          <cell r="R153">
            <v>49000839</v>
          </cell>
          <cell r="S153">
            <v>980000</v>
          </cell>
          <cell r="T153">
            <v>40994870</v>
          </cell>
          <cell r="U153">
            <v>0</v>
          </cell>
          <cell r="V153">
            <v>3696844546</v>
          </cell>
          <cell r="W153">
            <v>366686690</v>
          </cell>
          <cell r="X153">
            <v>48705121</v>
          </cell>
          <cell r="Y153">
            <v>805000</v>
          </cell>
          <cell r="Z153">
            <v>24140200</v>
          </cell>
          <cell r="AA153">
            <v>508913196</v>
          </cell>
          <cell r="AB153">
            <v>294469013</v>
          </cell>
          <cell r="AC153">
            <v>6208600</v>
          </cell>
          <cell r="AD153">
            <v>64534213</v>
          </cell>
          <cell r="AE153">
            <v>988604355</v>
          </cell>
          <cell r="AF153">
            <v>37714138</v>
          </cell>
          <cell r="AG153">
            <v>20688082</v>
          </cell>
          <cell r="AH153">
            <v>116515481</v>
          </cell>
          <cell r="AI153">
            <v>342183240</v>
          </cell>
        </row>
        <row r="154">
          <cell r="A154">
            <v>102010110</v>
          </cell>
          <cell r="C154">
            <v>721679119</v>
          </cell>
          <cell r="D154">
            <v>78720697</v>
          </cell>
          <cell r="E154">
            <v>450878636</v>
          </cell>
          <cell r="F154">
            <v>10784472</v>
          </cell>
          <cell r="G154">
            <v>43334881</v>
          </cell>
          <cell r="H154">
            <v>185787635</v>
          </cell>
          <cell r="I154">
            <v>93325177</v>
          </cell>
          <cell r="J154">
            <v>9388265</v>
          </cell>
          <cell r="K154">
            <v>214000</v>
          </cell>
          <cell r="L154">
            <v>935000</v>
          </cell>
          <cell r="M154">
            <v>5026919</v>
          </cell>
          <cell r="N154">
            <v>89846170</v>
          </cell>
          <cell r="O154">
            <v>146372231</v>
          </cell>
          <cell r="P154">
            <v>18606500</v>
          </cell>
          <cell r="Q154">
            <v>30069548</v>
          </cell>
          <cell r="R154">
            <v>53134304</v>
          </cell>
          <cell r="S154">
            <v>5681738</v>
          </cell>
          <cell r="T154">
            <v>118547906</v>
          </cell>
          <cell r="U154">
            <v>0</v>
          </cell>
          <cell r="V154">
            <v>381611187</v>
          </cell>
          <cell r="W154">
            <v>45068898</v>
          </cell>
          <cell r="X154">
            <v>76362194</v>
          </cell>
          <cell r="Y154">
            <v>13469000</v>
          </cell>
          <cell r="Z154">
            <v>15594524</v>
          </cell>
          <cell r="AA154">
            <v>4294873</v>
          </cell>
          <cell r="AB154">
            <v>99817754</v>
          </cell>
          <cell r="AC154">
            <v>14608704</v>
          </cell>
          <cell r="AD154">
            <v>38609356</v>
          </cell>
          <cell r="AE154">
            <v>644216356</v>
          </cell>
          <cell r="AF154">
            <v>18271440</v>
          </cell>
          <cell r="AG154">
            <v>32913900</v>
          </cell>
          <cell r="AH154">
            <v>12942800</v>
          </cell>
          <cell r="AI154">
            <v>1963182</v>
          </cell>
        </row>
        <row r="155">
          <cell r="A155">
            <v>102010111</v>
          </cell>
          <cell r="C155">
            <v>18952000</v>
          </cell>
          <cell r="D155">
            <v>144357480</v>
          </cell>
          <cell r="E155">
            <v>0</v>
          </cell>
          <cell r="F155">
            <v>0</v>
          </cell>
          <cell r="G155">
            <v>500000</v>
          </cell>
          <cell r="H155">
            <v>22846895</v>
          </cell>
          <cell r="I155">
            <v>0</v>
          </cell>
          <cell r="J155">
            <v>3043514</v>
          </cell>
          <cell r="K155">
            <v>0</v>
          </cell>
          <cell r="L155">
            <v>8917706</v>
          </cell>
          <cell r="M155">
            <v>0</v>
          </cell>
          <cell r="N155">
            <v>11032778</v>
          </cell>
          <cell r="O155">
            <v>4209000</v>
          </cell>
          <cell r="P155">
            <v>3634059</v>
          </cell>
          <cell r="Q155">
            <v>13403200</v>
          </cell>
          <cell r="R155">
            <v>3008000</v>
          </cell>
          <cell r="S155">
            <v>0</v>
          </cell>
          <cell r="T155">
            <v>0</v>
          </cell>
          <cell r="U155">
            <v>0</v>
          </cell>
          <cell r="V155">
            <v>22800000</v>
          </cell>
          <cell r="W155">
            <v>1437050</v>
          </cell>
          <cell r="X155">
            <v>91399720</v>
          </cell>
          <cell r="Y155">
            <v>0</v>
          </cell>
          <cell r="Z155">
            <v>0</v>
          </cell>
          <cell r="AA155">
            <v>0</v>
          </cell>
          <cell r="AB155">
            <v>37096800</v>
          </cell>
          <cell r="AC155">
            <v>0</v>
          </cell>
          <cell r="AD155">
            <v>0</v>
          </cell>
          <cell r="AE155">
            <v>12008139</v>
          </cell>
          <cell r="AF155">
            <v>0</v>
          </cell>
          <cell r="AG155">
            <v>0</v>
          </cell>
          <cell r="AH155">
            <v>0</v>
          </cell>
          <cell r="AI155">
            <v>18261661</v>
          </cell>
        </row>
        <row r="156">
          <cell r="A156">
            <v>102010112</v>
          </cell>
          <cell r="C156">
            <v>112672906</v>
          </cell>
          <cell r="D156">
            <v>106678931</v>
          </cell>
          <cell r="E156">
            <v>59792394</v>
          </cell>
          <cell r="F156">
            <v>650686903</v>
          </cell>
          <cell r="G156">
            <v>7040448</v>
          </cell>
          <cell r="H156">
            <v>279255266</v>
          </cell>
          <cell r="I156">
            <v>10972928</v>
          </cell>
          <cell r="J156">
            <v>0</v>
          </cell>
          <cell r="K156">
            <v>25000</v>
          </cell>
          <cell r="L156">
            <v>2160000</v>
          </cell>
          <cell r="M156">
            <v>0</v>
          </cell>
          <cell r="N156">
            <v>96431204</v>
          </cell>
          <cell r="O156">
            <v>726344938</v>
          </cell>
          <cell r="P156">
            <v>8575958</v>
          </cell>
          <cell r="Q156">
            <v>20035217</v>
          </cell>
          <cell r="R156">
            <v>138496842</v>
          </cell>
          <cell r="S156">
            <v>3613630</v>
          </cell>
          <cell r="T156">
            <v>210870587</v>
          </cell>
          <cell r="U156">
            <v>0</v>
          </cell>
          <cell r="V156">
            <v>219817068</v>
          </cell>
          <cell r="W156">
            <v>64904416</v>
          </cell>
          <cell r="X156">
            <v>56307809</v>
          </cell>
          <cell r="Y156">
            <v>3150000</v>
          </cell>
          <cell r="Z156">
            <v>984864</v>
          </cell>
          <cell r="AA156">
            <v>2298510</v>
          </cell>
          <cell r="AB156">
            <v>198016401</v>
          </cell>
          <cell r="AC156">
            <v>1050001</v>
          </cell>
          <cell r="AD156">
            <v>163179678</v>
          </cell>
          <cell r="AE156">
            <v>410722320</v>
          </cell>
          <cell r="AF156">
            <v>46979725</v>
          </cell>
          <cell r="AG156">
            <v>3657600</v>
          </cell>
          <cell r="AH156">
            <v>24032109</v>
          </cell>
          <cell r="AI156">
            <v>235529581</v>
          </cell>
        </row>
        <row r="157">
          <cell r="A157">
            <v>102010113</v>
          </cell>
          <cell r="C157">
            <v>523890226</v>
          </cell>
          <cell r="D157">
            <v>135656426</v>
          </cell>
          <cell r="E157">
            <v>41777204</v>
          </cell>
          <cell r="F157">
            <v>1510000</v>
          </cell>
          <cell r="G157">
            <v>42453690</v>
          </cell>
          <cell r="H157">
            <v>1309332578</v>
          </cell>
          <cell r="I157">
            <v>33542100</v>
          </cell>
          <cell r="J157">
            <v>1584641</v>
          </cell>
          <cell r="K157">
            <v>0</v>
          </cell>
          <cell r="L157">
            <v>48791000</v>
          </cell>
          <cell r="M157">
            <v>13246000</v>
          </cell>
          <cell r="N157">
            <v>254647461</v>
          </cell>
          <cell r="O157">
            <v>436398843</v>
          </cell>
          <cell r="P157">
            <v>7430000</v>
          </cell>
          <cell r="Q157">
            <v>104088995</v>
          </cell>
          <cell r="R157">
            <v>208081438</v>
          </cell>
          <cell r="S157">
            <v>13125000</v>
          </cell>
          <cell r="T157">
            <v>71230475</v>
          </cell>
          <cell r="U157">
            <v>0</v>
          </cell>
          <cell r="V157">
            <v>76315656</v>
          </cell>
          <cell r="W157">
            <v>11441318</v>
          </cell>
          <cell r="X157">
            <v>116378840</v>
          </cell>
          <cell r="Y157">
            <v>7271134</v>
          </cell>
          <cell r="Z157">
            <v>220000</v>
          </cell>
          <cell r="AA157">
            <v>13493900</v>
          </cell>
          <cell r="AB157">
            <v>160900602</v>
          </cell>
          <cell r="AC157">
            <v>51345601</v>
          </cell>
          <cell r="AD157">
            <v>17758808</v>
          </cell>
          <cell r="AE157">
            <v>15172512</v>
          </cell>
          <cell r="AF157">
            <v>39511537</v>
          </cell>
          <cell r="AG157">
            <v>64454422</v>
          </cell>
          <cell r="AH157">
            <v>12015000</v>
          </cell>
          <cell r="AI157">
            <v>0</v>
          </cell>
        </row>
        <row r="158">
          <cell r="A158">
            <v>102010200</v>
          </cell>
          <cell r="C158">
            <v>202338391</v>
          </cell>
          <cell r="D158">
            <v>0</v>
          </cell>
          <cell r="E158">
            <v>74606542</v>
          </cell>
          <cell r="F158">
            <v>16506000</v>
          </cell>
          <cell r="G158">
            <v>266029339</v>
          </cell>
          <cell r="H158">
            <v>319135177</v>
          </cell>
          <cell r="I158">
            <v>57072307</v>
          </cell>
          <cell r="J158">
            <v>0</v>
          </cell>
          <cell r="K158">
            <v>0</v>
          </cell>
          <cell r="L158">
            <v>0</v>
          </cell>
          <cell r="M158">
            <v>17310000</v>
          </cell>
          <cell r="N158">
            <v>170924930</v>
          </cell>
          <cell r="O158">
            <v>140787906</v>
          </cell>
          <cell r="P158">
            <v>57931051</v>
          </cell>
          <cell r="Q158">
            <v>0</v>
          </cell>
          <cell r="R158">
            <v>74150515</v>
          </cell>
          <cell r="S158">
            <v>15432398</v>
          </cell>
          <cell r="T158">
            <v>192297959</v>
          </cell>
          <cell r="U158">
            <v>0</v>
          </cell>
          <cell r="V158">
            <v>0</v>
          </cell>
          <cell r="W158">
            <v>43076953</v>
          </cell>
          <cell r="X158">
            <v>35437200</v>
          </cell>
          <cell r="Y158">
            <v>50195100</v>
          </cell>
          <cell r="Z158">
            <v>16994441</v>
          </cell>
          <cell r="AA158">
            <v>22823377</v>
          </cell>
          <cell r="AB158">
            <v>0</v>
          </cell>
          <cell r="AC158">
            <v>0</v>
          </cell>
          <cell r="AD158">
            <v>266759014</v>
          </cell>
          <cell r="AE158">
            <v>0</v>
          </cell>
          <cell r="AF158">
            <v>0</v>
          </cell>
          <cell r="AG158">
            <v>0</v>
          </cell>
          <cell r="AH158">
            <v>253000</v>
          </cell>
          <cell r="AI158">
            <v>322696943</v>
          </cell>
        </row>
        <row r="159">
          <cell r="A159">
            <v>102010201</v>
          </cell>
          <cell r="C159">
            <v>0</v>
          </cell>
          <cell r="D159">
            <v>0</v>
          </cell>
          <cell r="E159">
            <v>53075755</v>
          </cell>
          <cell r="F159">
            <v>0</v>
          </cell>
          <cell r="G159">
            <v>13230300</v>
          </cell>
          <cell r="H159">
            <v>6807000</v>
          </cell>
          <cell r="I159">
            <v>135000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19932440</v>
          </cell>
          <cell r="O159">
            <v>38673427</v>
          </cell>
          <cell r="P159">
            <v>352000</v>
          </cell>
          <cell r="Q159">
            <v>0</v>
          </cell>
          <cell r="R159">
            <v>6077648</v>
          </cell>
          <cell r="S159">
            <v>0</v>
          </cell>
          <cell r="T159">
            <v>5751600</v>
          </cell>
          <cell r="U159">
            <v>0</v>
          </cell>
          <cell r="V159">
            <v>0</v>
          </cell>
          <cell r="W159">
            <v>1925370</v>
          </cell>
          <cell r="X159">
            <v>4842727</v>
          </cell>
          <cell r="Y159">
            <v>7829100</v>
          </cell>
          <cell r="Z159">
            <v>1997775</v>
          </cell>
          <cell r="AA159">
            <v>10718367</v>
          </cell>
          <cell r="AB159">
            <v>0</v>
          </cell>
          <cell r="AC159">
            <v>0</v>
          </cell>
          <cell r="AD159">
            <v>72698881</v>
          </cell>
          <cell r="AE159">
            <v>0</v>
          </cell>
          <cell r="AF159">
            <v>0</v>
          </cell>
          <cell r="AG159">
            <v>0</v>
          </cell>
          <cell r="AH159">
            <v>65000</v>
          </cell>
          <cell r="AI159">
            <v>0</v>
          </cell>
        </row>
        <row r="160">
          <cell r="A160">
            <v>102010202</v>
          </cell>
          <cell r="C160">
            <v>942021</v>
          </cell>
          <cell r="D160">
            <v>0</v>
          </cell>
          <cell r="E160">
            <v>0</v>
          </cell>
          <cell r="F160">
            <v>0</v>
          </cell>
          <cell r="G160">
            <v>6655100</v>
          </cell>
          <cell r="H160">
            <v>2080200</v>
          </cell>
          <cell r="I160">
            <v>2989776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26340411</v>
          </cell>
          <cell r="O160">
            <v>2759082</v>
          </cell>
          <cell r="P160">
            <v>80000</v>
          </cell>
          <cell r="Q160">
            <v>0</v>
          </cell>
          <cell r="R160">
            <v>5017581</v>
          </cell>
          <cell r="S160">
            <v>0</v>
          </cell>
          <cell r="T160">
            <v>2620753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4300000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A161">
            <v>102010203</v>
          </cell>
          <cell r="C161">
            <v>8020000</v>
          </cell>
          <cell r="D161">
            <v>0</v>
          </cell>
          <cell r="E161">
            <v>0</v>
          </cell>
          <cell r="F161">
            <v>0</v>
          </cell>
          <cell r="G161">
            <v>140000</v>
          </cell>
          <cell r="H161">
            <v>858000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2504602</v>
          </cell>
          <cell r="S161">
            <v>1254760</v>
          </cell>
          <cell r="T161">
            <v>3071236</v>
          </cell>
          <cell r="U161">
            <v>0</v>
          </cell>
          <cell r="V161">
            <v>0</v>
          </cell>
          <cell r="W161">
            <v>600000</v>
          </cell>
          <cell r="X161">
            <v>635273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4900000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</row>
        <row r="162">
          <cell r="A162">
            <v>102010204</v>
          </cell>
          <cell r="C162">
            <v>56519140</v>
          </cell>
          <cell r="D162">
            <v>0</v>
          </cell>
          <cell r="E162">
            <v>0</v>
          </cell>
          <cell r="F162">
            <v>16506000</v>
          </cell>
          <cell r="G162">
            <v>236099740</v>
          </cell>
          <cell r="H162">
            <v>224398645</v>
          </cell>
          <cell r="I162">
            <v>53842531</v>
          </cell>
          <cell r="J162">
            <v>0</v>
          </cell>
          <cell r="K162">
            <v>0</v>
          </cell>
          <cell r="L162">
            <v>0</v>
          </cell>
          <cell r="M162">
            <v>15000000</v>
          </cell>
          <cell r="N162">
            <v>67885143</v>
          </cell>
          <cell r="O162">
            <v>83095112</v>
          </cell>
          <cell r="P162">
            <v>56776001</v>
          </cell>
          <cell r="Q162">
            <v>0</v>
          </cell>
          <cell r="R162">
            <v>39569576</v>
          </cell>
          <cell r="S162">
            <v>9662638</v>
          </cell>
          <cell r="T162">
            <v>42196239</v>
          </cell>
          <cell r="U162">
            <v>0</v>
          </cell>
          <cell r="V162">
            <v>0</v>
          </cell>
          <cell r="W162">
            <v>40551583</v>
          </cell>
          <cell r="X162">
            <v>28037200</v>
          </cell>
          <cell r="Y162">
            <v>40966000</v>
          </cell>
          <cell r="Z162">
            <v>14375854</v>
          </cell>
          <cell r="AA162">
            <v>9109507</v>
          </cell>
          <cell r="AB162">
            <v>0</v>
          </cell>
          <cell r="AC162">
            <v>0</v>
          </cell>
          <cell r="AD162">
            <v>173843333</v>
          </cell>
          <cell r="AE162">
            <v>0</v>
          </cell>
          <cell r="AF162">
            <v>0</v>
          </cell>
          <cell r="AG162">
            <v>0</v>
          </cell>
          <cell r="AH162">
            <v>188000</v>
          </cell>
          <cell r="AI162">
            <v>0</v>
          </cell>
        </row>
        <row r="163">
          <cell r="A163">
            <v>102010205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6200000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</row>
        <row r="164">
          <cell r="A164">
            <v>102010206</v>
          </cell>
          <cell r="C164">
            <v>0</v>
          </cell>
          <cell r="D164">
            <v>0</v>
          </cell>
          <cell r="E164">
            <v>21530787</v>
          </cell>
          <cell r="F164">
            <v>0</v>
          </cell>
          <cell r="G164">
            <v>1912200</v>
          </cell>
          <cell r="H164">
            <v>3330000</v>
          </cell>
          <cell r="I164">
            <v>90000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1394650</v>
          </cell>
          <cell r="O164">
            <v>5998377</v>
          </cell>
          <cell r="P164">
            <v>574600</v>
          </cell>
          <cell r="Q164">
            <v>0</v>
          </cell>
          <cell r="R164">
            <v>744740</v>
          </cell>
          <cell r="S164">
            <v>0</v>
          </cell>
          <cell r="T164">
            <v>2185000</v>
          </cell>
          <cell r="U164">
            <v>0</v>
          </cell>
          <cell r="V164">
            <v>0</v>
          </cell>
          <cell r="W164">
            <v>0</v>
          </cell>
          <cell r="X164">
            <v>1060000</v>
          </cell>
          <cell r="Y164">
            <v>0</v>
          </cell>
          <cell r="Z164">
            <v>231000</v>
          </cell>
          <cell r="AA164">
            <v>1994576</v>
          </cell>
          <cell r="AB164">
            <v>0</v>
          </cell>
          <cell r="AC164">
            <v>0</v>
          </cell>
          <cell r="AD164">
            <v>1350000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</row>
        <row r="165">
          <cell r="A165">
            <v>102010207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204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155300</v>
          </cell>
          <cell r="O165">
            <v>0</v>
          </cell>
          <cell r="P165">
            <v>96450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60000</v>
          </cell>
          <cell r="Y165">
            <v>0</v>
          </cell>
          <cell r="Z165">
            <v>0</v>
          </cell>
          <cell r="AA165">
            <v>78030</v>
          </cell>
          <cell r="AB165">
            <v>0</v>
          </cell>
          <cell r="AC165">
            <v>0</v>
          </cell>
          <cell r="AD165">
            <v>932800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</row>
        <row r="166">
          <cell r="A166">
            <v>102010208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33657738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6500000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322696943</v>
          </cell>
        </row>
        <row r="167">
          <cell r="A167">
            <v>102010209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998561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124332081</v>
          </cell>
          <cell r="U167">
            <v>0</v>
          </cell>
          <cell r="V167">
            <v>0</v>
          </cell>
          <cell r="W167">
            <v>0</v>
          </cell>
          <cell r="X167">
            <v>682000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</row>
        <row r="168">
          <cell r="A168">
            <v>102010210</v>
          </cell>
          <cell r="C168">
            <v>379860</v>
          </cell>
          <cell r="D168">
            <v>0</v>
          </cell>
          <cell r="E168">
            <v>0</v>
          </cell>
          <cell r="F168">
            <v>0</v>
          </cell>
          <cell r="G168">
            <v>721999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871085</v>
          </cell>
          <cell r="O168">
            <v>5000000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330000</v>
          </cell>
          <cell r="U168">
            <v>0</v>
          </cell>
          <cell r="V168">
            <v>0</v>
          </cell>
          <cell r="W168">
            <v>0</v>
          </cell>
          <cell r="X168">
            <v>120000</v>
          </cell>
          <cell r="Y168">
            <v>1400000</v>
          </cell>
          <cell r="Z168">
            <v>389812</v>
          </cell>
          <cell r="AA168">
            <v>922897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A169">
            <v>102010211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1615000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A170">
            <v>102010212</v>
          </cell>
          <cell r="C170">
            <v>14040730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2772750</v>
          </cell>
          <cell r="I170">
            <v>15000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160800</v>
          </cell>
          <cell r="O170">
            <v>77200</v>
          </cell>
          <cell r="P170">
            <v>52000</v>
          </cell>
          <cell r="Q170">
            <v>0</v>
          </cell>
          <cell r="R170">
            <v>14590000</v>
          </cell>
          <cell r="S170">
            <v>0</v>
          </cell>
          <cell r="T170">
            <v>1551054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8734000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A171">
            <v>102010213</v>
          </cell>
          <cell r="C171">
            <v>122436640</v>
          </cell>
          <cell r="D171">
            <v>0</v>
          </cell>
          <cell r="E171">
            <v>0</v>
          </cell>
          <cell r="F171">
            <v>0</v>
          </cell>
          <cell r="G171">
            <v>1070000</v>
          </cell>
          <cell r="H171">
            <v>44232079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2310000</v>
          </cell>
          <cell r="N171">
            <v>47685101</v>
          </cell>
          <cell r="O171">
            <v>3569708</v>
          </cell>
          <cell r="P171">
            <v>0</v>
          </cell>
          <cell r="Q171">
            <v>0</v>
          </cell>
          <cell r="R171">
            <v>5646368</v>
          </cell>
          <cell r="S171">
            <v>4515000</v>
          </cell>
          <cell r="T171">
            <v>10259996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</row>
        <row r="172">
          <cell r="A172">
            <v>102010300</v>
          </cell>
          <cell r="C172">
            <v>47184347</v>
          </cell>
          <cell r="D172">
            <v>35727672</v>
          </cell>
          <cell r="E172">
            <v>1143093</v>
          </cell>
          <cell r="F172">
            <v>4684516</v>
          </cell>
          <cell r="G172">
            <v>334407690</v>
          </cell>
          <cell r="H172">
            <v>63285072</v>
          </cell>
          <cell r="I172">
            <v>804569</v>
          </cell>
          <cell r="J172">
            <v>0</v>
          </cell>
          <cell r="K172">
            <v>2748553</v>
          </cell>
          <cell r="L172">
            <v>542681014</v>
          </cell>
          <cell r="M172">
            <v>0</v>
          </cell>
          <cell r="N172">
            <v>103164031</v>
          </cell>
          <cell r="O172">
            <v>0</v>
          </cell>
          <cell r="P172">
            <v>0</v>
          </cell>
          <cell r="Q172">
            <v>0</v>
          </cell>
          <cell r="R172">
            <v>765750</v>
          </cell>
          <cell r="S172">
            <v>0</v>
          </cell>
          <cell r="T172">
            <v>765849337</v>
          </cell>
          <cell r="U172">
            <v>0</v>
          </cell>
          <cell r="V172">
            <v>569898423</v>
          </cell>
          <cell r="W172">
            <v>9020613</v>
          </cell>
          <cell r="X172">
            <v>24577807</v>
          </cell>
          <cell r="Y172">
            <v>0</v>
          </cell>
          <cell r="Z172">
            <v>0</v>
          </cell>
          <cell r="AA172">
            <v>0</v>
          </cell>
          <cell r="AB172">
            <v>205022581</v>
          </cell>
          <cell r="AC172">
            <v>8599437</v>
          </cell>
          <cell r="AD172">
            <v>114901</v>
          </cell>
          <cell r="AE172">
            <v>739212376</v>
          </cell>
          <cell r="AF172">
            <v>111138385</v>
          </cell>
          <cell r="AG172">
            <v>3934149</v>
          </cell>
          <cell r="AH172">
            <v>263287633</v>
          </cell>
          <cell r="AI172">
            <v>20158284</v>
          </cell>
        </row>
        <row r="173">
          <cell r="A173">
            <v>102010301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765849337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</row>
        <row r="174">
          <cell r="A174">
            <v>102010302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</row>
        <row r="175">
          <cell r="A175">
            <v>102010303</v>
          </cell>
          <cell r="C175">
            <v>47184347</v>
          </cell>
          <cell r="D175">
            <v>35727672</v>
          </cell>
          <cell r="E175">
            <v>1143093</v>
          </cell>
          <cell r="F175">
            <v>4684516</v>
          </cell>
          <cell r="G175">
            <v>334407690</v>
          </cell>
          <cell r="H175">
            <v>63285072</v>
          </cell>
          <cell r="I175">
            <v>804569</v>
          </cell>
          <cell r="J175">
            <v>0</v>
          </cell>
          <cell r="K175">
            <v>2748553</v>
          </cell>
          <cell r="L175">
            <v>542681014</v>
          </cell>
          <cell r="M175">
            <v>0</v>
          </cell>
          <cell r="N175">
            <v>103164031</v>
          </cell>
          <cell r="O175">
            <v>0</v>
          </cell>
          <cell r="P175">
            <v>0</v>
          </cell>
          <cell r="Q175">
            <v>0</v>
          </cell>
          <cell r="R175">
            <v>765750</v>
          </cell>
          <cell r="S175">
            <v>0</v>
          </cell>
          <cell r="T175">
            <v>0</v>
          </cell>
          <cell r="U175">
            <v>0</v>
          </cell>
          <cell r="V175">
            <v>569898423</v>
          </cell>
          <cell r="W175">
            <v>9020613</v>
          </cell>
          <cell r="X175">
            <v>24577807</v>
          </cell>
          <cell r="Y175">
            <v>0</v>
          </cell>
          <cell r="Z175">
            <v>0</v>
          </cell>
          <cell r="AA175">
            <v>0</v>
          </cell>
          <cell r="AB175">
            <v>205022581</v>
          </cell>
          <cell r="AC175">
            <v>8485000</v>
          </cell>
          <cell r="AD175">
            <v>114901</v>
          </cell>
          <cell r="AE175">
            <v>739212376</v>
          </cell>
          <cell r="AF175">
            <v>111138385</v>
          </cell>
          <cell r="AG175">
            <v>3934149</v>
          </cell>
          <cell r="AH175">
            <v>263287633</v>
          </cell>
          <cell r="AI175">
            <v>20158284</v>
          </cell>
        </row>
        <row r="176">
          <cell r="A176">
            <v>102010304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A177">
            <v>102010305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A178">
            <v>102010306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114437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A179">
            <v>102010307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A180">
            <v>102010308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A181">
            <v>102010309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A182">
            <v>102010400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1728895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3675000</v>
          </cell>
          <cell r="AE182">
            <v>0</v>
          </cell>
          <cell r="AF182">
            <v>0</v>
          </cell>
          <cell r="AG182">
            <v>0</v>
          </cell>
          <cell r="AH182">
            <v>270000</v>
          </cell>
          <cell r="AI182">
            <v>0</v>
          </cell>
        </row>
        <row r="183">
          <cell r="A183">
            <v>102010401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1728895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270000</v>
          </cell>
          <cell r="AI183">
            <v>0</v>
          </cell>
        </row>
        <row r="184">
          <cell r="A184">
            <v>102010402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A185">
            <v>102010403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3675000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A186">
            <v>102010404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A187">
            <v>102010405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</row>
        <row r="188">
          <cell r="A188">
            <v>102010406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A189">
            <v>102010407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A190">
            <v>102010408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A191">
            <v>102010409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A192">
            <v>102020000</v>
          </cell>
          <cell r="C192">
            <v>512143191</v>
          </cell>
          <cell r="D192">
            <v>1020912544</v>
          </cell>
          <cell r="E192">
            <v>575442002</v>
          </cell>
          <cell r="F192">
            <v>1172815665</v>
          </cell>
          <cell r="G192">
            <v>2523401970</v>
          </cell>
          <cell r="H192">
            <v>1408458571</v>
          </cell>
          <cell r="I192">
            <v>840069638</v>
          </cell>
          <cell r="J192">
            <v>812152608</v>
          </cell>
          <cell r="K192">
            <v>698504173</v>
          </cell>
          <cell r="L192">
            <v>793926027</v>
          </cell>
          <cell r="M192">
            <v>384169222</v>
          </cell>
          <cell r="N192">
            <v>7225962593</v>
          </cell>
          <cell r="O192">
            <v>576811907</v>
          </cell>
          <cell r="P192">
            <v>828301210</v>
          </cell>
          <cell r="Q192">
            <v>628992198</v>
          </cell>
          <cell r="R192">
            <v>1181417974</v>
          </cell>
          <cell r="S192">
            <v>790324567</v>
          </cell>
          <cell r="T192">
            <v>266437884</v>
          </cell>
          <cell r="U192">
            <v>0</v>
          </cell>
          <cell r="V192">
            <v>10539805289</v>
          </cell>
          <cell r="W192">
            <v>825363107</v>
          </cell>
          <cell r="X192">
            <v>862798677</v>
          </cell>
          <cell r="Y192">
            <v>2019327116</v>
          </cell>
          <cell r="Z192">
            <v>899419412</v>
          </cell>
          <cell r="AA192">
            <v>790215156</v>
          </cell>
          <cell r="AB192">
            <v>756776015</v>
          </cell>
          <cell r="AC192">
            <v>384169222</v>
          </cell>
          <cell r="AD192">
            <v>955365143</v>
          </cell>
          <cell r="AE192">
            <v>57940618</v>
          </cell>
          <cell r="AF192">
            <v>562544768</v>
          </cell>
          <cell r="AG192">
            <v>820581792</v>
          </cell>
          <cell r="AH192">
            <v>30465950</v>
          </cell>
          <cell r="AI192">
            <v>0</v>
          </cell>
        </row>
        <row r="193">
          <cell r="A193">
            <v>102020100</v>
          </cell>
          <cell r="C193">
            <v>227779799</v>
          </cell>
          <cell r="D193">
            <v>562544768</v>
          </cell>
          <cell r="E193">
            <v>562544768</v>
          </cell>
          <cell r="F193">
            <v>790324567</v>
          </cell>
          <cell r="G193">
            <v>2057339757</v>
          </cell>
          <cell r="H193">
            <v>854640477</v>
          </cell>
          <cell r="I193">
            <v>790324567</v>
          </cell>
          <cell r="J193">
            <v>791824638</v>
          </cell>
          <cell r="K193">
            <v>698504173</v>
          </cell>
          <cell r="L193">
            <v>755457292</v>
          </cell>
          <cell r="M193">
            <v>384169222</v>
          </cell>
          <cell r="N193">
            <v>0</v>
          </cell>
          <cell r="O193">
            <v>562544768</v>
          </cell>
          <cell r="P193">
            <v>790324661</v>
          </cell>
          <cell r="Q193">
            <v>562544768</v>
          </cell>
          <cell r="R193">
            <v>793621522</v>
          </cell>
          <cell r="S193">
            <v>790324567</v>
          </cell>
          <cell r="T193">
            <v>237688808</v>
          </cell>
          <cell r="U193">
            <v>0</v>
          </cell>
          <cell r="V193">
            <v>0</v>
          </cell>
          <cell r="W193">
            <v>790324567</v>
          </cell>
          <cell r="X193">
            <v>790324567</v>
          </cell>
          <cell r="Y193">
            <v>2014838719</v>
          </cell>
          <cell r="Z193">
            <v>790324567</v>
          </cell>
          <cell r="AA193">
            <v>790215156</v>
          </cell>
          <cell r="AB193">
            <v>756776015</v>
          </cell>
          <cell r="AC193">
            <v>384169222</v>
          </cell>
          <cell r="AD193">
            <v>828622662</v>
          </cell>
          <cell r="AE193">
            <v>0</v>
          </cell>
          <cell r="AF193">
            <v>562544768</v>
          </cell>
          <cell r="AG193">
            <v>820581792</v>
          </cell>
          <cell r="AH193">
            <v>0</v>
          </cell>
          <cell r="AI193">
            <v>0</v>
          </cell>
        </row>
        <row r="194">
          <cell r="A194">
            <v>102020101</v>
          </cell>
          <cell r="C194">
            <v>227779799</v>
          </cell>
          <cell r="D194">
            <v>0</v>
          </cell>
          <cell r="E194">
            <v>0</v>
          </cell>
          <cell r="F194">
            <v>227779799</v>
          </cell>
          <cell r="G194">
            <v>0</v>
          </cell>
          <cell r="H194">
            <v>271182394</v>
          </cell>
          <cell r="I194">
            <v>227779799</v>
          </cell>
          <cell r="J194">
            <v>0</v>
          </cell>
          <cell r="K194">
            <v>178075108</v>
          </cell>
          <cell r="L194">
            <v>206048851</v>
          </cell>
          <cell r="M194">
            <v>146480414</v>
          </cell>
          <cell r="N194">
            <v>0</v>
          </cell>
          <cell r="O194">
            <v>0</v>
          </cell>
          <cell r="P194">
            <v>227779799</v>
          </cell>
          <cell r="Q194">
            <v>0</v>
          </cell>
          <cell r="R194">
            <v>227779862</v>
          </cell>
          <cell r="S194">
            <v>227779799</v>
          </cell>
          <cell r="T194">
            <v>0</v>
          </cell>
          <cell r="U194">
            <v>0</v>
          </cell>
          <cell r="V194">
            <v>0</v>
          </cell>
          <cell r="W194">
            <v>227779799</v>
          </cell>
          <cell r="X194">
            <v>227779799</v>
          </cell>
          <cell r="Y194">
            <v>0</v>
          </cell>
          <cell r="Z194">
            <v>227779799</v>
          </cell>
          <cell r="AA194">
            <v>227779813</v>
          </cell>
          <cell r="AB194">
            <v>206341948</v>
          </cell>
          <cell r="AC194">
            <v>146480414</v>
          </cell>
          <cell r="AD194">
            <v>0</v>
          </cell>
          <cell r="AE194">
            <v>0</v>
          </cell>
          <cell r="AF194">
            <v>0</v>
          </cell>
          <cell r="AG194">
            <v>227779799</v>
          </cell>
          <cell r="AH194">
            <v>0</v>
          </cell>
          <cell r="AI194">
            <v>0</v>
          </cell>
        </row>
        <row r="195">
          <cell r="A195">
            <v>102020102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237098518</v>
          </cell>
          <cell r="AE195">
            <v>0</v>
          </cell>
          <cell r="AF195">
            <v>0</v>
          </cell>
          <cell r="AG195">
            <v>30257225</v>
          </cell>
          <cell r="AH195">
            <v>0</v>
          </cell>
          <cell r="AI195">
            <v>0</v>
          </cell>
        </row>
        <row r="196">
          <cell r="A196">
            <v>102020103</v>
          </cell>
          <cell r="C196">
            <v>0</v>
          </cell>
          <cell r="D196">
            <v>562544768</v>
          </cell>
          <cell r="E196">
            <v>562544768</v>
          </cell>
          <cell r="F196">
            <v>562544768</v>
          </cell>
          <cell r="G196">
            <v>562544768</v>
          </cell>
          <cell r="H196">
            <v>583458083</v>
          </cell>
          <cell r="I196">
            <v>562544768</v>
          </cell>
          <cell r="J196">
            <v>562544768</v>
          </cell>
          <cell r="K196">
            <v>520429065</v>
          </cell>
          <cell r="L196">
            <v>549408441</v>
          </cell>
          <cell r="M196">
            <v>237688808</v>
          </cell>
          <cell r="N196">
            <v>0</v>
          </cell>
          <cell r="O196">
            <v>562544768</v>
          </cell>
          <cell r="P196">
            <v>562544862</v>
          </cell>
          <cell r="Q196">
            <v>562544768</v>
          </cell>
          <cell r="R196">
            <v>562544768</v>
          </cell>
          <cell r="S196">
            <v>562544768</v>
          </cell>
          <cell r="T196">
            <v>237688808</v>
          </cell>
          <cell r="U196">
            <v>0</v>
          </cell>
          <cell r="V196">
            <v>0</v>
          </cell>
          <cell r="W196">
            <v>562544768</v>
          </cell>
          <cell r="X196">
            <v>562544768</v>
          </cell>
          <cell r="Y196">
            <v>562544768</v>
          </cell>
          <cell r="Z196">
            <v>562544768</v>
          </cell>
          <cell r="AA196">
            <v>562435343</v>
          </cell>
          <cell r="AB196">
            <v>550434067</v>
          </cell>
          <cell r="AC196">
            <v>237688808</v>
          </cell>
          <cell r="AD196">
            <v>591524144</v>
          </cell>
          <cell r="AE196">
            <v>0</v>
          </cell>
          <cell r="AF196">
            <v>562544768</v>
          </cell>
          <cell r="AG196">
            <v>562544768</v>
          </cell>
          <cell r="AH196">
            <v>0</v>
          </cell>
          <cell r="AI196">
            <v>0</v>
          </cell>
        </row>
        <row r="197">
          <cell r="A197">
            <v>102020104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1494794989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3296892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1223014081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</row>
        <row r="198">
          <cell r="A198">
            <v>102020105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229279870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229279870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</row>
        <row r="199">
          <cell r="A199">
            <v>102020200</v>
          </cell>
          <cell r="C199">
            <v>0</v>
          </cell>
          <cell r="D199">
            <v>2939840</v>
          </cell>
          <cell r="E199">
            <v>0</v>
          </cell>
          <cell r="F199">
            <v>46105320</v>
          </cell>
          <cell r="G199">
            <v>0</v>
          </cell>
          <cell r="H199">
            <v>534298174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333333</v>
          </cell>
          <cell r="O199">
            <v>14267139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2866751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A200">
            <v>102020201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333333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A201">
            <v>102020202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3271200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A202">
            <v>102020203</v>
          </cell>
          <cell r="C202">
            <v>0</v>
          </cell>
          <cell r="D202">
            <v>0</v>
          </cell>
          <cell r="E202">
            <v>0</v>
          </cell>
          <cell r="F202">
            <v>136364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A203">
            <v>102020204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A204">
            <v>102020205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A205">
            <v>102020206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A206">
            <v>102020207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A207">
            <v>102020210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333740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A208">
            <v>102020211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A209">
            <v>102020212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A210">
            <v>102020213</v>
          </cell>
          <cell r="C210">
            <v>0</v>
          </cell>
          <cell r="D210">
            <v>0</v>
          </cell>
          <cell r="E210">
            <v>0</v>
          </cell>
          <cell r="F210">
            <v>4295557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A211">
            <v>102020214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A212">
            <v>102020215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</row>
        <row r="213">
          <cell r="A213">
            <v>102020216</v>
          </cell>
          <cell r="C213">
            <v>0</v>
          </cell>
          <cell r="D213">
            <v>0</v>
          </cell>
          <cell r="E213">
            <v>0</v>
          </cell>
          <cell r="F213">
            <v>649200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A214">
            <v>102020218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26779168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833637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A215">
            <v>102020219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A216">
            <v>102020220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</row>
        <row r="217">
          <cell r="A217">
            <v>102020222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A218">
            <v>102020223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2866751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</row>
        <row r="219">
          <cell r="A219">
            <v>102020224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A220">
            <v>102020225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</row>
        <row r="221">
          <cell r="A221">
            <v>102020226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A222">
            <v>102020228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503914066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9452752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</row>
        <row r="223">
          <cell r="A223">
            <v>102020230</v>
          </cell>
          <cell r="C223">
            <v>0</v>
          </cell>
          <cell r="D223">
            <v>1700635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A224">
            <v>102020231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A225">
            <v>102020234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A226">
            <v>102020236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A227">
            <v>102020238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A228">
            <v>102020243</v>
          </cell>
          <cell r="C228">
            <v>0</v>
          </cell>
          <cell r="D228">
            <v>1239205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A229">
            <v>102020245</v>
          </cell>
          <cell r="C229">
            <v>0</v>
          </cell>
          <cell r="D229">
            <v>0</v>
          </cell>
          <cell r="E229">
            <v>0</v>
          </cell>
          <cell r="F229">
            <v>41024199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A230">
            <v>102020247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A231">
            <v>102020249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A232">
            <v>102020250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3980750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</row>
        <row r="233">
          <cell r="A233">
            <v>102020254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</row>
        <row r="234">
          <cell r="A234">
            <v>102020255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A235">
            <v>102020256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</row>
        <row r="236">
          <cell r="A236">
            <v>102020257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</row>
        <row r="237">
          <cell r="A237">
            <v>102020258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A238">
            <v>102020259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A239">
            <v>102020300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A240">
            <v>102020301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A241">
            <v>102020302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A242">
            <v>102020303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A243">
            <v>102020304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A244">
            <v>102020305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A245">
            <v>102020306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A246">
            <v>102020307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A247">
            <v>102020310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A248">
            <v>102020311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A249">
            <v>102020312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A250">
            <v>102020313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</row>
        <row r="251">
          <cell r="A251">
            <v>102020314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</row>
        <row r="252">
          <cell r="A252">
            <v>102020315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A253">
            <v>102020316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A254">
            <v>102020318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A255">
            <v>102020319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</row>
        <row r="256">
          <cell r="A256">
            <v>102020320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A257">
            <v>102020322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A258">
            <v>102020323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A259">
            <v>102020324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A260">
            <v>102020325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A261">
            <v>102020326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A262">
            <v>102020328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</row>
        <row r="263">
          <cell r="A263">
            <v>102020330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A264">
            <v>102020331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</row>
        <row r="265">
          <cell r="A265">
            <v>102020334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A266">
            <v>102020336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</row>
        <row r="267">
          <cell r="A267">
            <v>102020338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A268">
            <v>102020343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A269">
            <v>102020345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A270">
            <v>102020347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</row>
        <row r="271">
          <cell r="A271">
            <v>102020349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A272">
            <v>102020350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A273">
            <v>102020354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A274">
            <v>102020355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A275">
            <v>102020356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A276">
            <v>102020357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A277">
            <v>102020358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A278">
            <v>102020359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A279">
            <v>102020400</v>
          </cell>
          <cell r="C279">
            <v>284363392</v>
          </cell>
          <cell r="D279">
            <v>455427936</v>
          </cell>
          <cell r="E279">
            <v>12133394</v>
          </cell>
          <cell r="F279">
            <v>336385778</v>
          </cell>
          <cell r="G279">
            <v>5042114</v>
          </cell>
          <cell r="H279">
            <v>19519920</v>
          </cell>
          <cell r="I279">
            <v>49745071</v>
          </cell>
          <cell r="J279">
            <v>20327970</v>
          </cell>
          <cell r="K279">
            <v>0</v>
          </cell>
          <cell r="L279">
            <v>38468735</v>
          </cell>
          <cell r="M279">
            <v>0</v>
          </cell>
          <cell r="N279">
            <v>5644588719</v>
          </cell>
          <cell r="O279">
            <v>0</v>
          </cell>
          <cell r="P279">
            <v>37976549</v>
          </cell>
          <cell r="Q279">
            <v>56555428</v>
          </cell>
          <cell r="R279">
            <v>383391952</v>
          </cell>
          <cell r="S279">
            <v>0</v>
          </cell>
          <cell r="T279">
            <v>28749076</v>
          </cell>
          <cell r="U279">
            <v>0</v>
          </cell>
          <cell r="V279">
            <v>10414105520</v>
          </cell>
          <cell r="W279">
            <v>35038540</v>
          </cell>
          <cell r="X279">
            <v>71459110</v>
          </cell>
          <cell r="Y279">
            <v>4488397</v>
          </cell>
          <cell r="Z279">
            <v>106228094</v>
          </cell>
          <cell r="AA279">
            <v>0</v>
          </cell>
          <cell r="AB279">
            <v>0</v>
          </cell>
          <cell r="AC279">
            <v>0</v>
          </cell>
          <cell r="AD279">
            <v>126742481</v>
          </cell>
          <cell r="AE279">
            <v>54654695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</row>
        <row r="280">
          <cell r="A280">
            <v>102020401</v>
          </cell>
          <cell r="C280">
            <v>284363392</v>
          </cell>
          <cell r="D280">
            <v>308348960</v>
          </cell>
          <cell r="E280">
            <v>3811793</v>
          </cell>
          <cell r="F280">
            <v>238509750</v>
          </cell>
          <cell r="G280">
            <v>3482112</v>
          </cell>
          <cell r="H280">
            <v>19519920</v>
          </cell>
          <cell r="I280">
            <v>8742256</v>
          </cell>
          <cell r="J280">
            <v>0</v>
          </cell>
          <cell r="K280">
            <v>0</v>
          </cell>
          <cell r="L280">
            <v>38468735</v>
          </cell>
          <cell r="M280">
            <v>0</v>
          </cell>
          <cell r="N280">
            <v>144138196</v>
          </cell>
          <cell r="O280">
            <v>0</v>
          </cell>
          <cell r="P280">
            <v>12601170</v>
          </cell>
          <cell r="Q280">
            <v>44866997</v>
          </cell>
          <cell r="R280">
            <v>122938521</v>
          </cell>
          <cell r="S280">
            <v>0</v>
          </cell>
          <cell r="T280">
            <v>14499917</v>
          </cell>
          <cell r="U280">
            <v>0</v>
          </cell>
          <cell r="V280">
            <v>3073260734</v>
          </cell>
          <cell r="W280">
            <v>15579192</v>
          </cell>
          <cell r="X280">
            <v>39520000</v>
          </cell>
          <cell r="Y280">
            <v>2826022</v>
          </cell>
          <cell r="Z280">
            <v>24068235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A281">
            <v>102020402</v>
          </cell>
          <cell r="C281">
            <v>0</v>
          </cell>
          <cell r="D281">
            <v>15961034</v>
          </cell>
          <cell r="E281">
            <v>0</v>
          </cell>
          <cell r="F281">
            <v>16896528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24802872</v>
          </cell>
          <cell r="O281">
            <v>0</v>
          </cell>
          <cell r="P281">
            <v>11810383</v>
          </cell>
          <cell r="Q281">
            <v>0</v>
          </cell>
          <cell r="R281">
            <v>0</v>
          </cell>
          <cell r="S281">
            <v>0</v>
          </cell>
          <cell r="T281">
            <v>14249159</v>
          </cell>
          <cell r="U281">
            <v>0</v>
          </cell>
          <cell r="V281">
            <v>690803117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A282">
            <v>102020403</v>
          </cell>
          <cell r="C282">
            <v>0</v>
          </cell>
          <cell r="D282">
            <v>401272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61814</v>
          </cell>
          <cell r="S282">
            <v>0</v>
          </cell>
          <cell r="T282">
            <v>0</v>
          </cell>
          <cell r="U282">
            <v>0</v>
          </cell>
          <cell r="V282">
            <v>174534564</v>
          </cell>
          <cell r="W282">
            <v>0</v>
          </cell>
          <cell r="X282">
            <v>0</v>
          </cell>
          <cell r="Y282">
            <v>0</v>
          </cell>
          <cell r="Z282">
            <v>4253037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A283">
            <v>102020404</v>
          </cell>
          <cell r="C283">
            <v>0</v>
          </cell>
          <cell r="D283">
            <v>48968339</v>
          </cell>
          <cell r="E283">
            <v>8321601</v>
          </cell>
          <cell r="F283">
            <v>61983548</v>
          </cell>
          <cell r="G283">
            <v>1560002</v>
          </cell>
          <cell r="H283">
            <v>0</v>
          </cell>
          <cell r="I283">
            <v>0</v>
          </cell>
          <cell r="J283">
            <v>20327970</v>
          </cell>
          <cell r="K283">
            <v>0</v>
          </cell>
          <cell r="L283">
            <v>0</v>
          </cell>
          <cell r="M283">
            <v>0</v>
          </cell>
          <cell r="N283">
            <v>115127476</v>
          </cell>
          <cell r="O283">
            <v>0</v>
          </cell>
          <cell r="P283">
            <v>0</v>
          </cell>
          <cell r="Q283">
            <v>0</v>
          </cell>
          <cell r="R283">
            <v>71488676</v>
          </cell>
          <cell r="S283">
            <v>0</v>
          </cell>
          <cell r="T283">
            <v>0</v>
          </cell>
          <cell r="U283">
            <v>0</v>
          </cell>
          <cell r="V283">
            <v>920701869</v>
          </cell>
          <cell r="W283">
            <v>17196780</v>
          </cell>
          <cell r="X283">
            <v>0</v>
          </cell>
          <cell r="Y283">
            <v>0</v>
          </cell>
          <cell r="Z283">
            <v>76849998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28211877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</row>
        <row r="284">
          <cell r="A284">
            <v>102020405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A285">
            <v>102020406</v>
          </cell>
          <cell r="C285">
            <v>0</v>
          </cell>
          <cell r="D285">
            <v>22550040</v>
          </cell>
          <cell r="E285">
            <v>0</v>
          </cell>
          <cell r="F285">
            <v>12898900</v>
          </cell>
          <cell r="G285">
            <v>0</v>
          </cell>
          <cell r="H285">
            <v>0</v>
          </cell>
          <cell r="I285">
            <v>41002815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266224887</v>
          </cell>
          <cell r="O285">
            <v>0</v>
          </cell>
          <cell r="P285">
            <v>13564996</v>
          </cell>
          <cell r="Q285">
            <v>4866647</v>
          </cell>
          <cell r="R285">
            <v>92951259</v>
          </cell>
          <cell r="S285">
            <v>0</v>
          </cell>
          <cell r="T285">
            <v>0</v>
          </cell>
          <cell r="U285">
            <v>0</v>
          </cell>
          <cell r="V285">
            <v>381682990</v>
          </cell>
          <cell r="W285">
            <v>90000</v>
          </cell>
          <cell r="X285">
            <v>31939110</v>
          </cell>
          <cell r="Y285">
            <v>1662375</v>
          </cell>
          <cell r="Z285">
            <v>277199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A286">
            <v>102020407</v>
          </cell>
          <cell r="C286">
            <v>0</v>
          </cell>
          <cell r="D286">
            <v>570150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4059289</v>
          </cell>
          <cell r="O286">
            <v>0</v>
          </cell>
          <cell r="P286">
            <v>0</v>
          </cell>
          <cell r="Q286">
            <v>3997866</v>
          </cell>
          <cell r="R286">
            <v>7928798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195200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599788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A287">
            <v>102020408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227046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288">
          <cell r="A288">
            <v>102020409</v>
          </cell>
          <cell r="C288">
            <v>0</v>
          </cell>
          <cell r="D288">
            <v>24969000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4817512750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4587459808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126742481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A289">
            <v>102020410</v>
          </cell>
          <cell r="C289">
            <v>0</v>
          </cell>
          <cell r="D289">
            <v>19360204</v>
          </cell>
          <cell r="E289">
            <v>0</v>
          </cell>
          <cell r="F289">
            <v>3655802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41988255</v>
          </cell>
          <cell r="O289">
            <v>0</v>
          </cell>
          <cell r="P289">
            <v>0</v>
          </cell>
          <cell r="Q289">
            <v>2823918</v>
          </cell>
          <cell r="R289">
            <v>27688857</v>
          </cell>
          <cell r="S289">
            <v>0</v>
          </cell>
          <cell r="T289">
            <v>0</v>
          </cell>
          <cell r="U289">
            <v>0</v>
          </cell>
          <cell r="V289">
            <v>336373000</v>
          </cell>
          <cell r="W289">
            <v>1977368</v>
          </cell>
          <cell r="X289">
            <v>0</v>
          </cell>
          <cell r="Y289">
            <v>0</v>
          </cell>
          <cell r="Z289">
            <v>779625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25615984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A290">
            <v>102020411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4429773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101218509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</row>
        <row r="291">
          <cell r="A291">
            <v>102020412</v>
          </cell>
          <cell r="C291">
            <v>0</v>
          </cell>
          <cell r="D291">
            <v>14298937</v>
          </cell>
          <cell r="E291">
            <v>0</v>
          </cell>
          <cell r="F291">
            <v>2103750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172548764</v>
          </cell>
          <cell r="O291">
            <v>0</v>
          </cell>
          <cell r="P291">
            <v>0</v>
          </cell>
          <cell r="Q291">
            <v>0</v>
          </cell>
          <cell r="R291">
            <v>33850098</v>
          </cell>
          <cell r="S291">
            <v>0</v>
          </cell>
          <cell r="T291">
            <v>0</v>
          </cell>
          <cell r="U291">
            <v>0</v>
          </cell>
          <cell r="V291">
            <v>148070929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</row>
        <row r="292">
          <cell r="A292">
            <v>102020413</v>
          </cell>
          <cell r="C292">
            <v>0</v>
          </cell>
          <cell r="D292">
            <v>0</v>
          </cell>
          <cell r="E292">
            <v>0</v>
          </cell>
          <cell r="F292">
            <v>337500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53756457</v>
          </cell>
          <cell r="O292">
            <v>0</v>
          </cell>
          <cell r="P292">
            <v>0</v>
          </cell>
          <cell r="Q292">
            <v>0</v>
          </cell>
          <cell r="R292">
            <v>26483929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A293">
            <v>102020500</v>
          </cell>
          <cell r="C293">
            <v>0</v>
          </cell>
          <cell r="D293">
            <v>0</v>
          </cell>
          <cell r="E293">
            <v>763840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631769581</v>
          </cell>
          <cell r="O293">
            <v>0</v>
          </cell>
          <cell r="P293">
            <v>0</v>
          </cell>
          <cell r="Q293">
            <v>9892002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1015000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30465950</v>
          </cell>
          <cell r="AI293">
            <v>0</v>
          </cell>
        </row>
        <row r="294">
          <cell r="A294">
            <v>102020501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A295">
            <v>102020502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175899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A296">
            <v>102020503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33209848</v>
          </cell>
          <cell r="O296">
            <v>0</v>
          </cell>
          <cell r="P296">
            <v>0</v>
          </cell>
          <cell r="Q296">
            <v>9892002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</row>
        <row r="297">
          <cell r="A297">
            <v>102020504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716364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A298">
            <v>102020505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A299">
            <v>102020506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444324465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A300">
            <v>102020507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29317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</row>
        <row r="301">
          <cell r="A301">
            <v>102020510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A302">
            <v>102020511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303">
            <v>102020512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41606703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A304">
            <v>102020513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A305">
            <v>102020514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</row>
        <row r="306">
          <cell r="A306">
            <v>102020515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</row>
        <row r="307">
          <cell r="A307">
            <v>102020516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60509802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</row>
        <row r="308">
          <cell r="A308">
            <v>102020518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</row>
        <row r="309">
          <cell r="A309">
            <v>102020519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</row>
        <row r="310">
          <cell r="A310">
            <v>102020520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1015000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</row>
        <row r="311">
          <cell r="A311">
            <v>102020522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34750644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A312">
            <v>102020523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A313">
            <v>102020524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</row>
        <row r="314">
          <cell r="A314">
            <v>102020525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185454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30465950</v>
          </cell>
          <cell r="AI314">
            <v>0</v>
          </cell>
        </row>
        <row r="315">
          <cell r="A315">
            <v>102020526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</row>
        <row r="316">
          <cell r="A316">
            <v>102020528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A317">
            <v>102020530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A318">
            <v>102020531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8551084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</row>
        <row r="319">
          <cell r="A319">
            <v>102020534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</row>
        <row r="320">
          <cell r="A320">
            <v>102020536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</row>
        <row r="321">
          <cell r="A321">
            <v>102020538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</row>
        <row r="322">
          <cell r="A322">
            <v>102020543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</row>
        <row r="323">
          <cell r="A323">
            <v>102020545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278182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</row>
        <row r="324">
          <cell r="A324">
            <v>102020547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</row>
        <row r="325">
          <cell r="A325">
            <v>102020549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7431819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</row>
        <row r="326">
          <cell r="A326">
            <v>102020550</v>
          </cell>
          <cell r="C326">
            <v>0</v>
          </cell>
          <cell r="D326">
            <v>0</v>
          </cell>
          <cell r="E326">
            <v>763840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</row>
        <row r="327">
          <cell r="A327">
            <v>102020554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</row>
        <row r="328">
          <cell r="A328">
            <v>102020555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</row>
        <row r="329">
          <cell r="A329">
            <v>102020556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</row>
        <row r="330">
          <cell r="A330">
            <v>102020557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</row>
        <row r="331">
          <cell r="A331">
            <v>102020558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</row>
        <row r="332">
          <cell r="A332">
            <v>102020559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</row>
        <row r="333">
          <cell r="A333">
            <v>102020600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949270960</v>
          </cell>
          <cell r="O333">
            <v>0</v>
          </cell>
          <cell r="P333">
            <v>0</v>
          </cell>
          <cell r="Q333">
            <v>0</v>
          </cell>
          <cell r="R333">
            <v>4404500</v>
          </cell>
          <cell r="S333">
            <v>0</v>
          </cell>
          <cell r="T333">
            <v>0</v>
          </cell>
          <cell r="U333">
            <v>0</v>
          </cell>
          <cell r="V333">
            <v>125699769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3285923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</row>
        <row r="334">
          <cell r="A334">
            <v>102020601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</row>
        <row r="335">
          <cell r="A335">
            <v>102020602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</row>
        <row r="336">
          <cell r="A336">
            <v>102020603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949270960</v>
          </cell>
          <cell r="O336">
            <v>0</v>
          </cell>
          <cell r="P336">
            <v>0</v>
          </cell>
          <cell r="Q336">
            <v>0</v>
          </cell>
          <cell r="R336">
            <v>4404500</v>
          </cell>
          <cell r="S336">
            <v>0</v>
          </cell>
          <cell r="T336">
            <v>0</v>
          </cell>
          <cell r="U336">
            <v>0</v>
          </cell>
          <cell r="V336">
            <v>125699769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3285923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</row>
        <row r="337">
          <cell r="A337">
            <v>102020604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</row>
        <row r="338">
          <cell r="A338">
            <v>102020605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</row>
        <row r="339">
          <cell r="A339">
            <v>102020606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</row>
        <row r="340">
          <cell r="A340">
            <v>102020607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</row>
        <row r="341">
          <cell r="A341">
            <v>102020608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A342">
            <v>102020609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</row>
        <row r="343">
          <cell r="A343">
            <v>102020700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461020099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A344">
            <v>102020701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A345">
            <v>102020702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A346">
            <v>102020703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A347">
            <v>102020704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A348">
            <v>102020705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</row>
        <row r="349">
          <cell r="A349">
            <v>102020706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A350">
            <v>102020707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1">
          <cell r="A351">
            <v>102020710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</row>
        <row r="352">
          <cell r="A352">
            <v>102020711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</row>
        <row r="353">
          <cell r="A353">
            <v>102020712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</row>
        <row r="354">
          <cell r="A354">
            <v>102020713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</row>
        <row r="355">
          <cell r="A355">
            <v>102020714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</row>
        <row r="356">
          <cell r="A356">
            <v>102020715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</row>
        <row r="357">
          <cell r="A357">
            <v>102020716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</row>
        <row r="358">
          <cell r="A358">
            <v>102020718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211300879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</row>
        <row r="359">
          <cell r="A359">
            <v>102020719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</row>
        <row r="360">
          <cell r="A360">
            <v>102020720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</row>
        <row r="361">
          <cell r="A361">
            <v>102020722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</row>
        <row r="362">
          <cell r="A362">
            <v>102020723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</row>
        <row r="363">
          <cell r="A363">
            <v>102020724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</row>
        <row r="364">
          <cell r="A364">
            <v>102020725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</row>
        <row r="365">
          <cell r="A365">
            <v>102020726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</row>
        <row r="366">
          <cell r="A366">
            <v>102020728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249719220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</row>
        <row r="367">
          <cell r="A367">
            <v>102020730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</row>
        <row r="368">
          <cell r="A368">
            <v>102020731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</row>
        <row r="369">
          <cell r="A369">
            <v>102020734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</row>
        <row r="370">
          <cell r="A370">
            <v>102020736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</row>
        <row r="371">
          <cell r="A371">
            <v>102020738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</row>
        <row r="372">
          <cell r="A372">
            <v>102020743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</row>
        <row r="373">
          <cell r="A373">
            <v>102020745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A374">
            <v>102020747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</row>
        <row r="375">
          <cell r="A375">
            <v>102020749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</row>
        <row r="376">
          <cell r="A376">
            <v>102020750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</row>
        <row r="377">
          <cell r="A377">
            <v>102020754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</row>
        <row r="378">
          <cell r="A378">
            <v>102020755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</row>
        <row r="379">
          <cell r="A379">
            <v>102020756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</row>
        <row r="380">
          <cell r="A380">
            <v>102020757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</row>
        <row r="381">
          <cell r="A381">
            <v>102020758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</row>
        <row r="382">
          <cell r="A382">
            <v>102020759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A383">
            <v>102030000</v>
          </cell>
          <cell r="C383">
            <v>51057272</v>
          </cell>
          <cell r="D383">
            <v>34688195</v>
          </cell>
          <cell r="E383">
            <v>125663946</v>
          </cell>
          <cell r="F383">
            <v>47059626</v>
          </cell>
          <cell r="G383">
            <v>396202621</v>
          </cell>
          <cell r="H383">
            <v>718606415</v>
          </cell>
          <cell r="I383">
            <v>501392895</v>
          </cell>
          <cell r="J383">
            <v>72794728</v>
          </cell>
          <cell r="K383">
            <v>37672621</v>
          </cell>
          <cell r="L383">
            <v>83138109</v>
          </cell>
          <cell r="M383">
            <v>3604161</v>
          </cell>
          <cell r="N383">
            <v>220100797</v>
          </cell>
          <cell r="O383">
            <v>107402809</v>
          </cell>
          <cell r="P383">
            <v>9293568</v>
          </cell>
          <cell r="Q383">
            <v>241917909</v>
          </cell>
          <cell r="R383">
            <v>229748996</v>
          </cell>
          <cell r="S383">
            <v>0</v>
          </cell>
          <cell r="T383">
            <v>1861200</v>
          </cell>
          <cell r="U383">
            <v>0</v>
          </cell>
          <cell r="V383">
            <v>38417567</v>
          </cell>
          <cell r="W383">
            <v>277117960</v>
          </cell>
          <cell r="X383">
            <v>113643312</v>
          </cell>
          <cell r="Y383">
            <v>44234126</v>
          </cell>
          <cell r="Z383">
            <v>0</v>
          </cell>
          <cell r="AA383">
            <v>59954462</v>
          </cell>
          <cell r="AB383">
            <v>384070733</v>
          </cell>
          <cell r="AC383">
            <v>0</v>
          </cell>
          <cell r="AD383">
            <v>53808364</v>
          </cell>
          <cell r="AE383">
            <v>0</v>
          </cell>
          <cell r="AF383">
            <v>4598637</v>
          </cell>
          <cell r="AG383">
            <v>36944907</v>
          </cell>
          <cell r="AH383">
            <v>21585718</v>
          </cell>
          <cell r="AI383">
            <v>0</v>
          </cell>
        </row>
        <row r="384">
          <cell r="A384">
            <v>102030100</v>
          </cell>
          <cell r="C384">
            <v>51057272</v>
          </cell>
          <cell r="D384">
            <v>34688195</v>
          </cell>
          <cell r="E384">
            <v>124322943</v>
          </cell>
          <cell r="F384">
            <v>1796455</v>
          </cell>
          <cell r="G384">
            <v>277593213</v>
          </cell>
          <cell r="H384">
            <v>92735057</v>
          </cell>
          <cell r="I384">
            <v>244663916</v>
          </cell>
          <cell r="J384">
            <v>72794728</v>
          </cell>
          <cell r="K384">
            <v>0</v>
          </cell>
          <cell r="L384">
            <v>83138109</v>
          </cell>
          <cell r="M384">
            <v>3604161</v>
          </cell>
          <cell r="N384">
            <v>129206939</v>
          </cell>
          <cell r="O384">
            <v>78622589</v>
          </cell>
          <cell r="P384">
            <v>9293568</v>
          </cell>
          <cell r="Q384">
            <v>241917909</v>
          </cell>
          <cell r="R384">
            <v>179824012</v>
          </cell>
          <cell r="S384">
            <v>0</v>
          </cell>
          <cell r="T384">
            <v>1861200</v>
          </cell>
          <cell r="U384">
            <v>0</v>
          </cell>
          <cell r="V384">
            <v>10853358</v>
          </cell>
          <cell r="W384">
            <v>32828298</v>
          </cell>
          <cell r="X384">
            <v>107487532</v>
          </cell>
          <cell r="Y384">
            <v>0</v>
          </cell>
          <cell r="Z384">
            <v>0</v>
          </cell>
          <cell r="AA384">
            <v>19892263</v>
          </cell>
          <cell r="AB384">
            <v>253833273</v>
          </cell>
          <cell r="AC384">
            <v>0</v>
          </cell>
          <cell r="AD384">
            <v>53808364</v>
          </cell>
          <cell r="AE384">
            <v>0</v>
          </cell>
          <cell r="AF384">
            <v>4598637</v>
          </cell>
          <cell r="AG384">
            <v>36944907</v>
          </cell>
          <cell r="AH384">
            <v>21585718</v>
          </cell>
          <cell r="AI384">
            <v>0</v>
          </cell>
        </row>
        <row r="385">
          <cell r="A385">
            <v>102030101</v>
          </cell>
          <cell r="C385">
            <v>5416875</v>
          </cell>
          <cell r="D385">
            <v>16381472</v>
          </cell>
          <cell r="E385">
            <v>74052048</v>
          </cell>
          <cell r="F385">
            <v>0</v>
          </cell>
          <cell r="G385">
            <v>51690284</v>
          </cell>
          <cell r="H385">
            <v>22321209</v>
          </cell>
          <cell r="I385">
            <v>52019114</v>
          </cell>
          <cell r="J385">
            <v>2372485</v>
          </cell>
          <cell r="K385">
            <v>0</v>
          </cell>
          <cell r="L385">
            <v>30751036</v>
          </cell>
          <cell r="M385">
            <v>0</v>
          </cell>
          <cell r="N385">
            <v>27590649</v>
          </cell>
          <cell r="O385">
            <v>10273201</v>
          </cell>
          <cell r="P385">
            <v>96636</v>
          </cell>
          <cell r="Q385">
            <v>120915688</v>
          </cell>
          <cell r="R385">
            <v>34921285</v>
          </cell>
          <cell r="S385">
            <v>0</v>
          </cell>
          <cell r="T385">
            <v>0</v>
          </cell>
          <cell r="U385">
            <v>0</v>
          </cell>
          <cell r="V385">
            <v>8244247</v>
          </cell>
          <cell r="W385">
            <v>2657962</v>
          </cell>
          <cell r="X385">
            <v>24654921</v>
          </cell>
          <cell r="Y385">
            <v>0</v>
          </cell>
          <cell r="Z385">
            <v>0</v>
          </cell>
          <cell r="AA385">
            <v>2887500</v>
          </cell>
          <cell r="AB385">
            <v>52264935</v>
          </cell>
          <cell r="AC385">
            <v>0</v>
          </cell>
          <cell r="AD385">
            <v>6044974</v>
          </cell>
          <cell r="AE385">
            <v>0</v>
          </cell>
          <cell r="AF385">
            <v>4598637</v>
          </cell>
          <cell r="AG385">
            <v>2835409</v>
          </cell>
          <cell r="AH385">
            <v>7261652</v>
          </cell>
          <cell r="AI385">
            <v>0</v>
          </cell>
        </row>
        <row r="386">
          <cell r="A386">
            <v>102030102</v>
          </cell>
          <cell r="C386">
            <v>14583657</v>
          </cell>
          <cell r="D386">
            <v>9312882</v>
          </cell>
          <cell r="E386">
            <v>3209449</v>
          </cell>
          <cell r="F386">
            <v>0</v>
          </cell>
          <cell r="G386">
            <v>5030095</v>
          </cell>
          <cell r="H386">
            <v>1964890</v>
          </cell>
          <cell r="I386">
            <v>4946448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3199254</v>
          </cell>
          <cell r="O386">
            <v>9160505</v>
          </cell>
          <cell r="P386">
            <v>2290062</v>
          </cell>
          <cell r="Q386">
            <v>19558991</v>
          </cell>
          <cell r="R386">
            <v>29866419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1832059</v>
          </cell>
          <cell r="X386">
            <v>2447061</v>
          </cell>
          <cell r="Y386">
            <v>0</v>
          </cell>
          <cell r="Z386">
            <v>0</v>
          </cell>
          <cell r="AA386">
            <v>2977066</v>
          </cell>
          <cell r="AB386">
            <v>11850958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</row>
        <row r="387">
          <cell r="A387">
            <v>102030103</v>
          </cell>
          <cell r="C387">
            <v>0</v>
          </cell>
          <cell r="D387">
            <v>148500</v>
          </cell>
          <cell r="E387">
            <v>226875</v>
          </cell>
          <cell r="F387">
            <v>0</v>
          </cell>
          <cell r="G387">
            <v>0</v>
          </cell>
          <cell r="H387">
            <v>120560</v>
          </cell>
          <cell r="I387">
            <v>43474104</v>
          </cell>
          <cell r="J387">
            <v>189381</v>
          </cell>
          <cell r="K387">
            <v>0</v>
          </cell>
          <cell r="L387">
            <v>1302177</v>
          </cell>
          <cell r="M387">
            <v>0</v>
          </cell>
          <cell r="N387">
            <v>1964001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-32441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</row>
        <row r="388">
          <cell r="A388">
            <v>102030104</v>
          </cell>
          <cell r="C388">
            <v>0</v>
          </cell>
          <cell r="D388">
            <v>1189631</v>
          </cell>
          <cell r="E388">
            <v>23958678</v>
          </cell>
          <cell r="F388">
            <v>0</v>
          </cell>
          <cell r="G388">
            <v>174022321</v>
          </cell>
          <cell r="H388">
            <v>49720627</v>
          </cell>
          <cell r="I388">
            <v>90418840</v>
          </cell>
          <cell r="J388">
            <v>68884726</v>
          </cell>
          <cell r="K388">
            <v>0</v>
          </cell>
          <cell r="L388">
            <v>13774000</v>
          </cell>
          <cell r="M388">
            <v>3517414</v>
          </cell>
          <cell r="N388">
            <v>78215387</v>
          </cell>
          <cell r="O388">
            <v>0</v>
          </cell>
          <cell r="P388">
            <v>6906870</v>
          </cell>
          <cell r="Q388">
            <v>15571428</v>
          </cell>
          <cell r="R388">
            <v>26014133</v>
          </cell>
          <cell r="S388">
            <v>0</v>
          </cell>
          <cell r="T388">
            <v>0</v>
          </cell>
          <cell r="U388">
            <v>0</v>
          </cell>
          <cell r="V388">
            <v>2609111</v>
          </cell>
          <cell r="W388">
            <v>25908144</v>
          </cell>
          <cell r="X388">
            <v>51516808</v>
          </cell>
          <cell r="Y388">
            <v>0</v>
          </cell>
          <cell r="Z388">
            <v>0</v>
          </cell>
          <cell r="AA388">
            <v>1609718</v>
          </cell>
          <cell r="AB388">
            <v>76973361</v>
          </cell>
          <cell r="AC388">
            <v>0</v>
          </cell>
          <cell r="AD388">
            <v>14238730</v>
          </cell>
          <cell r="AE388">
            <v>0</v>
          </cell>
          <cell r="AF388">
            <v>0</v>
          </cell>
          <cell r="AG388">
            <v>0</v>
          </cell>
          <cell r="AH388">
            <v>5992003</v>
          </cell>
          <cell r="AI388">
            <v>0</v>
          </cell>
        </row>
        <row r="389">
          <cell r="A389">
            <v>102030105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</row>
        <row r="390">
          <cell r="A390">
            <v>102030106</v>
          </cell>
          <cell r="C390">
            <v>0</v>
          </cell>
          <cell r="D390">
            <v>3960000</v>
          </cell>
          <cell r="E390">
            <v>387200</v>
          </cell>
          <cell r="F390">
            <v>0</v>
          </cell>
          <cell r="G390">
            <v>11325717</v>
          </cell>
          <cell r="H390">
            <v>2497580</v>
          </cell>
          <cell r="I390">
            <v>6399028</v>
          </cell>
          <cell r="J390">
            <v>107406</v>
          </cell>
          <cell r="K390">
            <v>0</v>
          </cell>
          <cell r="L390">
            <v>14681256</v>
          </cell>
          <cell r="M390">
            <v>0</v>
          </cell>
          <cell r="N390">
            <v>7870084</v>
          </cell>
          <cell r="O390">
            <v>0</v>
          </cell>
          <cell r="P390">
            <v>0</v>
          </cell>
          <cell r="Q390">
            <v>16512170</v>
          </cell>
          <cell r="R390">
            <v>27736267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918759</v>
          </cell>
          <cell r="Y390">
            <v>0</v>
          </cell>
          <cell r="Z390">
            <v>0</v>
          </cell>
          <cell r="AA390">
            <v>0</v>
          </cell>
          <cell r="AB390">
            <v>48612884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</row>
        <row r="391">
          <cell r="A391">
            <v>102030107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1135072</v>
          </cell>
          <cell r="H391">
            <v>0</v>
          </cell>
          <cell r="I391">
            <v>2499472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3563220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1135072</v>
          </cell>
          <cell r="Y391">
            <v>0</v>
          </cell>
          <cell r="Z391">
            <v>0</v>
          </cell>
          <cell r="AA391">
            <v>0</v>
          </cell>
          <cell r="AB391">
            <v>1175072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</row>
        <row r="392">
          <cell r="A392">
            <v>102030108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</row>
        <row r="393">
          <cell r="A393">
            <v>102030109</v>
          </cell>
          <cell r="C393">
            <v>0</v>
          </cell>
          <cell r="D393">
            <v>0</v>
          </cell>
          <cell r="E393">
            <v>0</v>
          </cell>
          <cell r="F393">
            <v>54379</v>
          </cell>
          <cell r="G393">
            <v>6581957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54379</v>
          </cell>
          <cell r="N393">
            <v>218000</v>
          </cell>
          <cell r="O393">
            <v>0</v>
          </cell>
          <cell r="P393">
            <v>0</v>
          </cell>
          <cell r="Q393">
            <v>0</v>
          </cell>
          <cell r="R393">
            <v>21614009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9925315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</row>
        <row r="394">
          <cell r="A394">
            <v>102030110</v>
          </cell>
          <cell r="C394">
            <v>0</v>
          </cell>
          <cell r="D394">
            <v>0</v>
          </cell>
          <cell r="E394">
            <v>7324240</v>
          </cell>
          <cell r="F394">
            <v>0</v>
          </cell>
          <cell r="G394">
            <v>2196986</v>
          </cell>
          <cell r="H394">
            <v>0</v>
          </cell>
          <cell r="I394">
            <v>27267066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5654405</v>
          </cell>
          <cell r="O394">
            <v>0</v>
          </cell>
          <cell r="P394">
            <v>0</v>
          </cell>
          <cell r="Q394">
            <v>14375340</v>
          </cell>
          <cell r="R394">
            <v>18364833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1438690</v>
          </cell>
          <cell r="X394">
            <v>2144833</v>
          </cell>
          <cell r="Y394">
            <v>0</v>
          </cell>
          <cell r="Z394">
            <v>0</v>
          </cell>
          <cell r="AA394">
            <v>2877380</v>
          </cell>
          <cell r="AB394">
            <v>7617385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4314805</v>
          </cell>
          <cell r="AH394">
            <v>0</v>
          </cell>
          <cell r="AI394">
            <v>0</v>
          </cell>
        </row>
        <row r="395">
          <cell r="A395">
            <v>102030111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3348573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12017590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5744255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</row>
        <row r="396">
          <cell r="A396">
            <v>102030112</v>
          </cell>
          <cell r="C396">
            <v>0</v>
          </cell>
          <cell r="D396">
            <v>1768268</v>
          </cell>
          <cell r="E396">
            <v>2934360</v>
          </cell>
          <cell r="F396">
            <v>0</v>
          </cell>
          <cell r="G396">
            <v>17639844</v>
          </cell>
          <cell r="H396">
            <v>0</v>
          </cell>
          <cell r="I396">
            <v>17639844</v>
          </cell>
          <cell r="J396">
            <v>407562</v>
          </cell>
          <cell r="K396">
            <v>0</v>
          </cell>
          <cell r="L396">
            <v>0</v>
          </cell>
          <cell r="M396">
            <v>0</v>
          </cell>
          <cell r="N396">
            <v>650705</v>
          </cell>
          <cell r="O396">
            <v>28769584</v>
          </cell>
          <cell r="P396">
            <v>0</v>
          </cell>
          <cell r="Q396">
            <v>0</v>
          </cell>
          <cell r="R396">
            <v>2562560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14173994</v>
          </cell>
          <cell r="Y396">
            <v>0</v>
          </cell>
          <cell r="Z396">
            <v>0</v>
          </cell>
          <cell r="AA396">
            <v>0</v>
          </cell>
          <cell r="AB396">
            <v>18091679</v>
          </cell>
          <cell r="AC396">
            <v>0</v>
          </cell>
          <cell r="AD396">
            <v>5179284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</row>
        <row r="397">
          <cell r="A397">
            <v>102030113</v>
          </cell>
          <cell r="C397">
            <v>31056740</v>
          </cell>
          <cell r="D397">
            <v>1927442</v>
          </cell>
          <cell r="E397">
            <v>12230093</v>
          </cell>
          <cell r="F397">
            <v>1742076</v>
          </cell>
          <cell r="G397">
            <v>4622364</v>
          </cell>
          <cell r="H397">
            <v>16110191</v>
          </cell>
          <cell r="I397">
            <v>0</v>
          </cell>
          <cell r="J397">
            <v>833168</v>
          </cell>
          <cell r="K397">
            <v>0</v>
          </cell>
          <cell r="L397">
            <v>22629640</v>
          </cell>
          <cell r="M397">
            <v>32368</v>
          </cell>
          <cell r="N397">
            <v>3844454</v>
          </cell>
          <cell r="O397">
            <v>30419299</v>
          </cell>
          <cell r="P397">
            <v>0</v>
          </cell>
          <cell r="Q397">
            <v>51421072</v>
          </cell>
          <cell r="R397">
            <v>6726916</v>
          </cell>
          <cell r="S397">
            <v>0</v>
          </cell>
          <cell r="T397">
            <v>1861200</v>
          </cell>
          <cell r="U397">
            <v>0</v>
          </cell>
          <cell r="V397">
            <v>0</v>
          </cell>
          <cell r="W397">
            <v>991443</v>
          </cell>
          <cell r="X397">
            <v>10496084</v>
          </cell>
          <cell r="Y397">
            <v>0</v>
          </cell>
          <cell r="Z397">
            <v>0</v>
          </cell>
          <cell r="AA397">
            <v>9573040</v>
          </cell>
          <cell r="AB397">
            <v>21577429</v>
          </cell>
          <cell r="AC397">
            <v>0</v>
          </cell>
          <cell r="AD397">
            <v>28345376</v>
          </cell>
          <cell r="AE397">
            <v>0</v>
          </cell>
          <cell r="AF397">
            <v>0</v>
          </cell>
          <cell r="AG397">
            <v>29794693</v>
          </cell>
          <cell r="AH397">
            <v>8332063</v>
          </cell>
          <cell r="AI397">
            <v>0</v>
          </cell>
        </row>
        <row r="398">
          <cell r="A398">
            <v>102030200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118609408</v>
          </cell>
          <cell r="H398">
            <v>0</v>
          </cell>
          <cell r="I398">
            <v>680000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14136429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65416446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</row>
        <row r="399">
          <cell r="A399">
            <v>102030201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</row>
        <row r="400">
          <cell r="A400">
            <v>102030202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</row>
        <row r="401">
          <cell r="A401">
            <v>102030203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118609408</v>
          </cell>
          <cell r="H401">
            <v>0</v>
          </cell>
          <cell r="I401">
            <v>680000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14136429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65416446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</row>
        <row r="402">
          <cell r="A402">
            <v>102030204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</row>
        <row r="403">
          <cell r="A403">
            <v>102030205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</row>
        <row r="404">
          <cell r="A404">
            <v>102030206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</row>
        <row r="405">
          <cell r="A405">
            <v>102030207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</row>
        <row r="406">
          <cell r="A406">
            <v>102030208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</row>
        <row r="407">
          <cell r="A407">
            <v>102030209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</row>
        <row r="408">
          <cell r="A408">
            <v>102030300</v>
          </cell>
          <cell r="C408">
            <v>0</v>
          </cell>
          <cell r="D408">
            <v>0</v>
          </cell>
          <cell r="E408">
            <v>0</v>
          </cell>
          <cell r="F408">
            <v>37446394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37672621</v>
          </cell>
          <cell r="L408">
            <v>0</v>
          </cell>
          <cell r="M408">
            <v>0</v>
          </cell>
          <cell r="N408">
            <v>0</v>
          </cell>
          <cell r="O408">
            <v>21328019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2488928</v>
          </cell>
          <cell r="X408">
            <v>0</v>
          </cell>
          <cell r="Y408">
            <v>44234126</v>
          </cell>
          <cell r="Z408">
            <v>0</v>
          </cell>
          <cell r="AA408">
            <v>36499757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</row>
        <row r="409">
          <cell r="A409">
            <v>102030301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2488928</v>
          </cell>
          <cell r="X409">
            <v>0</v>
          </cell>
          <cell r="Y409">
            <v>4166910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</row>
        <row r="410">
          <cell r="A410">
            <v>102030302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2210029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</row>
        <row r="411">
          <cell r="A411">
            <v>102030303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32441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A412">
            <v>102030304</v>
          </cell>
          <cell r="C412">
            <v>0</v>
          </cell>
          <cell r="D412">
            <v>0</v>
          </cell>
          <cell r="E412">
            <v>0</v>
          </cell>
          <cell r="F412">
            <v>37446394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37585874</v>
          </cell>
          <cell r="L412">
            <v>0</v>
          </cell>
          <cell r="M412">
            <v>0</v>
          </cell>
          <cell r="N412">
            <v>0</v>
          </cell>
          <cell r="O412">
            <v>21328019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37770440</v>
          </cell>
          <cell r="Z412">
            <v>0</v>
          </cell>
          <cell r="AA412">
            <v>36380569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</row>
        <row r="413">
          <cell r="A413">
            <v>102030305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</row>
        <row r="414">
          <cell r="A414">
            <v>102030306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</row>
        <row r="415">
          <cell r="A415">
            <v>102030307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</row>
        <row r="416">
          <cell r="A416">
            <v>102030308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A417">
            <v>102030309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54379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54379</v>
          </cell>
          <cell r="Z417">
            <v>0</v>
          </cell>
          <cell r="AA417">
            <v>54379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A418">
            <v>102030310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</row>
        <row r="419">
          <cell r="A419">
            <v>102030311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A420">
            <v>102030312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A421">
            <v>102030313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32368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32368</v>
          </cell>
          <cell r="Z421">
            <v>0</v>
          </cell>
          <cell r="AA421">
            <v>32368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</row>
        <row r="422">
          <cell r="A422">
            <v>102030400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</row>
        <row r="423">
          <cell r="A423">
            <v>102030401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</row>
        <row r="424">
          <cell r="A424">
            <v>102030402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</row>
        <row r="425">
          <cell r="A425">
            <v>102030403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</row>
        <row r="426">
          <cell r="A426">
            <v>102030404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</row>
        <row r="427">
          <cell r="A427">
            <v>102030405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A428">
            <v>102030406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  <row r="429">
          <cell r="A429">
            <v>102030407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</row>
        <row r="430">
          <cell r="A430">
            <v>102030408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</row>
        <row r="431">
          <cell r="A431">
            <v>102030409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</row>
        <row r="432">
          <cell r="A432">
            <v>102030500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</row>
        <row r="433">
          <cell r="A433">
            <v>102030501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</row>
        <row r="434">
          <cell r="A434">
            <v>102030502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</row>
        <row r="435">
          <cell r="A435">
            <v>102030503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</row>
        <row r="436">
          <cell r="A436">
            <v>102030504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</row>
        <row r="437">
          <cell r="A437">
            <v>102030505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</row>
        <row r="438">
          <cell r="A438">
            <v>102030506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</row>
        <row r="439">
          <cell r="A439">
            <v>102030507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</row>
        <row r="440">
          <cell r="A440">
            <v>102030508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</row>
        <row r="441">
          <cell r="A441">
            <v>102030509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</row>
        <row r="442">
          <cell r="A442">
            <v>102030510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</row>
        <row r="443">
          <cell r="A443">
            <v>102030511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</row>
        <row r="444">
          <cell r="A444">
            <v>102030512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</row>
        <row r="445">
          <cell r="A445">
            <v>102030513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</row>
        <row r="446">
          <cell r="A446">
            <v>102030600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</row>
        <row r="447">
          <cell r="A447">
            <v>102030601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</row>
        <row r="448">
          <cell r="A448">
            <v>102030602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</row>
        <row r="449">
          <cell r="A449">
            <v>102030603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</row>
        <row r="450">
          <cell r="A450">
            <v>102030604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</row>
        <row r="451">
          <cell r="A451">
            <v>102030605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</row>
        <row r="452">
          <cell r="A452">
            <v>102030606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</row>
        <row r="453">
          <cell r="A453">
            <v>102030607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</row>
        <row r="454">
          <cell r="A454">
            <v>102030608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</row>
        <row r="455">
          <cell r="A455">
            <v>102030609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</row>
        <row r="456">
          <cell r="A456">
            <v>102030700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</row>
        <row r="457">
          <cell r="A457">
            <v>102030701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</row>
        <row r="458">
          <cell r="A458">
            <v>102030702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</row>
        <row r="459">
          <cell r="A459">
            <v>102030703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</row>
        <row r="460">
          <cell r="A460">
            <v>102030704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</row>
        <row r="461">
          <cell r="A461">
            <v>102030705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</row>
        <row r="462">
          <cell r="A462">
            <v>102030706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</row>
        <row r="463">
          <cell r="A463">
            <v>102030707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</row>
        <row r="464">
          <cell r="A464">
            <v>102030708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</row>
        <row r="465">
          <cell r="A465">
            <v>102030709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</row>
        <row r="466">
          <cell r="A466">
            <v>102030710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</row>
        <row r="467">
          <cell r="A467">
            <v>102030711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</row>
        <row r="468">
          <cell r="A468">
            <v>102030712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</row>
        <row r="469">
          <cell r="A469">
            <v>102030713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</row>
        <row r="470">
          <cell r="A470">
            <v>102030800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</row>
        <row r="471">
          <cell r="A471">
            <v>102030801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</row>
        <row r="472">
          <cell r="A472">
            <v>102030802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</row>
        <row r="473">
          <cell r="A473">
            <v>102030803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</row>
        <row r="474">
          <cell r="A474">
            <v>102030804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</row>
        <row r="475">
          <cell r="A475">
            <v>102030805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</row>
        <row r="476">
          <cell r="A476">
            <v>102030806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</row>
        <row r="477">
          <cell r="A477">
            <v>102030807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</row>
        <row r="478">
          <cell r="A478">
            <v>102030808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</row>
        <row r="479">
          <cell r="A479">
            <v>102030809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</row>
        <row r="480">
          <cell r="A480">
            <v>102030810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</row>
        <row r="481">
          <cell r="A481">
            <v>102030811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</row>
        <row r="482">
          <cell r="A482">
            <v>102030812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</row>
        <row r="483">
          <cell r="A483">
            <v>102030813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</row>
        <row r="484">
          <cell r="A484">
            <v>102030900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</row>
        <row r="485">
          <cell r="A485">
            <v>102030901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</row>
        <row r="486">
          <cell r="A486">
            <v>102030902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</row>
        <row r="487">
          <cell r="A487">
            <v>102030903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</row>
        <row r="488">
          <cell r="A488">
            <v>102030904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</row>
        <row r="489">
          <cell r="A489">
            <v>102030905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</row>
        <row r="490">
          <cell r="A490">
            <v>102030906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</row>
        <row r="491">
          <cell r="A491">
            <v>102030907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</row>
        <row r="492">
          <cell r="A492">
            <v>102030908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</row>
        <row r="493">
          <cell r="A493">
            <v>102030909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</row>
        <row r="494">
          <cell r="A494">
            <v>102031000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</row>
        <row r="495">
          <cell r="A495">
            <v>102031001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</row>
        <row r="496">
          <cell r="A496">
            <v>102031002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</row>
        <row r="497">
          <cell r="A497">
            <v>102031003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</row>
        <row r="498">
          <cell r="A498">
            <v>102031004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</row>
        <row r="499">
          <cell r="A499">
            <v>102031005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</row>
        <row r="500">
          <cell r="A500">
            <v>102031006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</row>
        <row r="501">
          <cell r="A501">
            <v>102031007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</row>
        <row r="502">
          <cell r="A502">
            <v>102031008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</row>
        <row r="503">
          <cell r="A503">
            <v>102031009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</row>
        <row r="504">
          <cell r="A504">
            <v>102031100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</row>
        <row r="505">
          <cell r="A505">
            <v>102031102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</row>
        <row r="506">
          <cell r="A506">
            <v>102031104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</row>
        <row r="507">
          <cell r="A507">
            <v>102031105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</row>
        <row r="508">
          <cell r="A508">
            <v>102031107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</row>
        <row r="509">
          <cell r="A509">
            <v>102031200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</row>
        <row r="510">
          <cell r="A510">
            <v>102031202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</row>
        <row r="511">
          <cell r="A511">
            <v>102031204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</row>
        <row r="512">
          <cell r="A512">
            <v>102031205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</row>
        <row r="513">
          <cell r="A513">
            <v>102031207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</row>
        <row r="514">
          <cell r="A514">
            <v>102031300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</row>
        <row r="515">
          <cell r="A515">
            <v>102031302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</row>
        <row r="516">
          <cell r="A516">
            <v>102031304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</row>
        <row r="517">
          <cell r="A517">
            <v>102031305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</row>
        <row r="518">
          <cell r="A518">
            <v>102031307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</row>
        <row r="519">
          <cell r="A519">
            <v>102032000</v>
          </cell>
          <cell r="C519">
            <v>0</v>
          </cell>
          <cell r="D519">
            <v>0</v>
          </cell>
          <cell r="E519">
            <v>1341003</v>
          </cell>
          <cell r="F519">
            <v>7816777</v>
          </cell>
          <cell r="G519">
            <v>0</v>
          </cell>
          <cell r="H519">
            <v>625871358</v>
          </cell>
          <cell r="I519">
            <v>256048979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90893858</v>
          </cell>
          <cell r="O519">
            <v>7452201</v>
          </cell>
          <cell r="P519">
            <v>0</v>
          </cell>
          <cell r="Q519">
            <v>0</v>
          </cell>
          <cell r="R519">
            <v>35788555</v>
          </cell>
          <cell r="S519">
            <v>0</v>
          </cell>
          <cell r="T519">
            <v>0</v>
          </cell>
          <cell r="U519">
            <v>0</v>
          </cell>
          <cell r="V519">
            <v>27564209</v>
          </cell>
          <cell r="W519">
            <v>241800734</v>
          </cell>
          <cell r="X519">
            <v>6155780</v>
          </cell>
          <cell r="Y519">
            <v>0</v>
          </cell>
          <cell r="Z519">
            <v>0</v>
          </cell>
          <cell r="AA519">
            <v>3562442</v>
          </cell>
          <cell r="AB519">
            <v>184640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</row>
        <row r="520">
          <cell r="A520">
            <v>102032001</v>
          </cell>
          <cell r="C520">
            <v>0</v>
          </cell>
          <cell r="D520">
            <v>0</v>
          </cell>
          <cell r="E520">
            <v>1341003</v>
          </cell>
          <cell r="F520">
            <v>7816777</v>
          </cell>
          <cell r="G520">
            <v>0</v>
          </cell>
          <cell r="H520">
            <v>625871358</v>
          </cell>
          <cell r="I520">
            <v>256048979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90893858</v>
          </cell>
          <cell r="O520">
            <v>7452201</v>
          </cell>
          <cell r="P520">
            <v>0</v>
          </cell>
          <cell r="Q520">
            <v>0</v>
          </cell>
          <cell r="R520">
            <v>35788555</v>
          </cell>
          <cell r="S520">
            <v>0</v>
          </cell>
          <cell r="T520">
            <v>0</v>
          </cell>
          <cell r="U520">
            <v>0</v>
          </cell>
          <cell r="V520">
            <v>27564209</v>
          </cell>
          <cell r="W520">
            <v>241800734</v>
          </cell>
          <cell r="X520">
            <v>6155780</v>
          </cell>
          <cell r="Y520">
            <v>0</v>
          </cell>
          <cell r="Z520">
            <v>0</v>
          </cell>
          <cell r="AA520">
            <v>3562442</v>
          </cell>
          <cell r="AB520">
            <v>184640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</row>
        <row r="521">
          <cell r="A521">
            <v>102032100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64636374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</row>
        <row r="522">
          <cell r="A522">
            <v>102032101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64636374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</row>
        <row r="523">
          <cell r="A523">
            <v>102040000</v>
          </cell>
          <cell r="C523">
            <v>4186891752</v>
          </cell>
          <cell r="D523">
            <v>542623917</v>
          </cell>
          <cell r="E523">
            <v>417422002</v>
          </cell>
          <cell r="F523">
            <v>86688177</v>
          </cell>
          <cell r="G523">
            <v>3818692941</v>
          </cell>
          <cell r="H523">
            <v>242960573</v>
          </cell>
          <cell r="I523">
            <v>598709887</v>
          </cell>
          <cell r="J523">
            <v>0</v>
          </cell>
          <cell r="K523">
            <v>26693748</v>
          </cell>
          <cell r="L523">
            <v>576765692</v>
          </cell>
          <cell r="M523">
            <v>187672669</v>
          </cell>
          <cell r="N523">
            <v>3929866386</v>
          </cell>
          <cell r="O523">
            <v>160258078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332394362</v>
          </cell>
          <cell r="U523">
            <v>0</v>
          </cell>
          <cell r="V523">
            <v>491126539</v>
          </cell>
          <cell r="W523">
            <v>0</v>
          </cell>
          <cell r="X523">
            <v>242171845</v>
          </cell>
          <cell r="Y523">
            <v>0</v>
          </cell>
          <cell r="Z523">
            <v>119828976</v>
          </cell>
          <cell r="AA523">
            <v>162192899</v>
          </cell>
          <cell r="AB523">
            <v>478174102</v>
          </cell>
          <cell r="AC523">
            <v>0</v>
          </cell>
          <cell r="AD523">
            <v>0</v>
          </cell>
          <cell r="AE523">
            <v>0</v>
          </cell>
          <cell r="AF523">
            <v>189721500</v>
          </cell>
          <cell r="AG523">
            <v>0</v>
          </cell>
          <cell r="AH523">
            <v>234687264</v>
          </cell>
          <cell r="AI523">
            <v>175268879</v>
          </cell>
        </row>
        <row r="524">
          <cell r="A524">
            <v>102040100</v>
          </cell>
          <cell r="C524">
            <v>82422617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43219045</v>
          </cell>
          <cell r="I524">
            <v>401785531</v>
          </cell>
          <cell r="J524">
            <v>0</v>
          </cell>
          <cell r="K524">
            <v>0</v>
          </cell>
          <cell r="L524">
            <v>0</v>
          </cell>
          <cell r="M524">
            <v>15766118</v>
          </cell>
          <cell r="N524">
            <v>468932786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161094390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</row>
        <row r="525">
          <cell r="A525">
            <v>102040101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401785531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134505052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73008368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</row>
        <row r="526">
          <cell r="A526">
            <v>102040102</v>
          </cell>
          <cell r="C526">
            <v>14715828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57201031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51027990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</row>
        <row r="527">
          <cell r="A527">
            <v>102040103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3867856</v>
          </cell>
          <cell r="N527">
            <v>11212890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5916755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</row>
        <row r="528">
          <cell r="A528">
            <v>102040104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</row>
        <row r="529">
          <cell r="A529">
            <v>102040105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</row>
        <row r="530">
          <cell r="A530">
            <v>102040106</v>
          </cell>
          <cell r="C530">
            <v>19597926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49254700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10122074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</row>
        <row r="531">
          <cell r="A531">
            <v>102040107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325835</v>
          </cell>
          <cell r="N531">
            <v>5501527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</row>
        <row r="532">
          <cell r="A532">
            <v>102040108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</row>
        <row r="533">
          <cell r="A533">
            <v>102040109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5551568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</row>
        <row r="534">
          <cell r="A534">
            <v>102040110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3899547</v>
          </cell>
          <cell r="N534">
            <v>23695066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</row>
        <row r="535">
          <cell r="A535">
            <v>102040111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7570567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</row>
        <row r="536">
          <cell r="A536">
            <v>102040112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7672880</v>
          </cell>
          <cell r="N536">
            <v>9323046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414264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</row>
        <row r="537">
          <cell r="A537">
            <v>102040113</v>
          </cell>
          <cell r="C537">
            <v>48108863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43219045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170668907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15053371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</row>
        <row r="538">
          <cell r="A538">
            <v>102040200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107247405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1098509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</row>
        <row r="539">
          <cell r="A539">
            <v>102040201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107247405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</row>
        <row r="540">
          <cell r="A540">
            <v>102040202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</row>
        <row r="541">
          <cell r="A541">
            <v>102040203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1098509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</row>
        <row r="542">
          <cell r="A542">
            <v>102040204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</row>
        <row r="543">
          <cell r="A543">
            <v>102040205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</row>
        <row r="544">
          <cell r="A544">
            <v>102040206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</row>
        <row r="545">
          <cell r="A545">
            <v>102040207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</row>
        <row r="546">
          <cell r="A546">
            <v>102040208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</row>
        <row r="547">
          <cell r="A547">
            <v>102040209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</row>
        <row r="548">
          <cell r="A548">
            <v>102040300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120049289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</row>
        <row r="549">
          <cell r="A549">
            <v>102040301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66452076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</row>
        <row r="550">
          <cell r="A550">
            <v>102040302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</row>
        <row r="551">
          <cell r="A551">
            <v>102040303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7050420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</row>
        <row r="552">
          <cell r="A552">
            <v>102040304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</row>
        <row r="553">
          <cell r="A553">
            <v>102040305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</row>
        <row r="554">
          <cell r="A554">
            <v>102040306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</row>
        <row r="555">
          <cell r="A555">
            <v>102040307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</row>
        <row r="556">
          <cell r="A556">
            <v>102040308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</row>
        <row r="557">
          <cell r="A557">
            <v>102040309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</row>
        <row r="558">
          <cell r="A558">
            <v>102040310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</row>
        <row r="559">
          <cell r="A559">
            <v>102040311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</row>
        <row r="560">
          <cell r="A560">
            <v>102040312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</row>
        <row r="561">
          <cell r="A561">
            <v>102040313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46546793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</row>
        <row r="562">
          <cell r="A562">
            <v>102040400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</row>
        <row r="563">
          <cell r="A563">
            <v>102040401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</row>
        <row r="564">
          <cell r="A564">
            <v>102040402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</row>
        <row r="565">
          <cell r="A565">
            <v>102040403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</row>
        <row r="566">
          <cell r="A566">
            <v>102040404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</row>
        <row r="567">
          <cell r="A567">
            <v>102040405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</row>
        <row r="568">
          <cell r="A568">
            <v>102040406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</row>
        <row r="569">
          <cell r="A569">
            <v>102040407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</row>
        <row r="570">
          <cell r="A570">
            <v>102040408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</row>
        <row r="571">
          <cell r="A571">
            <v>102040409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</row>
        <row r="572">
          <cell r="A572">
            <v>102040500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</row>
        <row r="573">
          <cell r="A573">
            <v>102040501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</row>
        <row r="574">
          <cell r="A574">
            <v>102040502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</row>
        <row r="575">
          <cell r="A575">
            <v>102040503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</row>
        <row r="576">
          <cell r="A576">
            <v>102040504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</row>
        <row r="577">
          <cell r="A577">
            <v>102040505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</row>
        <row r="578">
          <cell r="A578">
            <v>102040506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</row>
        <row r="579">
          <cell r="A579">
            <v>102040507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</row>
        <row r="580">
          <cell r="A580">
            <v>102040508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</row>
        <row r="581">
          <cell r="A581">
            <v>102040509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</row>
        <row r="582">
          <cell r="A582">
            <v>102040510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</row>
        <row r="583">
          <cell r="A583">
            <v>102040511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</row>
        <row r="584">
          <cell r="A584">
            <v>102040512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</row>
        <row r="585">
          <cell r="A585">
            <v>102040513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</row>
        <row r="586">
          <cell r="A586">
            <v>102040600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</row>
        <row r="587">
          <cell r="A587">
            <v>102040601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</row>
        <row r="588">
          <cell r="A588">
            <v>102040602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</row>
        <row r="589">
          <cell r="A589">
            <v>102040603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</row>
        <row r="590">
          <cell r="A590">
            <v>102040604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</row>
        <row r="591">
          <cell r="A591">
            <v>102040605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</row>
        <row r="592">
          <cell r="A592">
            <v>102040606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</row>
        <row r="593">
          <cell r="A593">
            <v>102040607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</row>
        <row r="594">
          <cell r="A594">
            <v>102040608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</row>
        <row r="595">
          <cell r="A595">
            <v>102040609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</row>
        <row r="596">
          <cell r="A596">
            <v>102040700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</row>
        <row r="597">
          <cell r="A597">
            <v>102040701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</row>
        <row r="598">
          <cell r="A598">
            <v>102040702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</row>
        <row r="599">
          <cell r="A599">
            <v>102040703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</row>
        <row r="600">
          <cell r="A600">
            <v>102040704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</row>
        <row r="601">
          <cell r="A601">
            <v>102040705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</row>
        <row r="602">
          <cell r="A602">
            <v>102040706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</row>
        <row r="603">
          <cell r="A603">
            <v>102040707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</row>
        <row r="604">
          <cell r="A604">
            <v>102040708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</row>
        <row r="605">
          <cell r="A605">
            <v>102040709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</row>
        <row r="606">
          <cell r="A606">
            <v>102040710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</row>
        <row r="607">
          <cell r="A607">
            <v>102040711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</row>
        <row r="608">
          <cell r="A608">
            <v>102040712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</row>
        <row r="609">
          <cell r="A609">
            <v>102040713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</row>
        <row r="610">
          <cell r="A610">
            <v>102040800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</row>
        <row r="611">
          <cell r="A611">
            <v>102040801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</row>
        <row r="612">
          <cell r="A612">
            <v>102040802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</row>
        <row r="613">
          <cell r="A613">
            <v>102040803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</row>
        <row r="614">
          <cell r="A614">
            <v>102040804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</row>
        <row r="615">
          <cell r="A615">
            <v>102040805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</row>
        <row r="616">
          <cell r="A616">
            <v>102040806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</row>
        <row r="617">
          <cell r="A617">
            <v>102040807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</row>
        <row r="618">
          <cell r="A618">
            <v>102040808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</row>
        <row r="619">
          <cell r="A619">
            <v>102040809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</row>
        <row r="620">
          <cell r="A620">
            <v>102040810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</row>
        <row r="621">
          <cell r="A621">
            <v>102040811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</row>
        <row r="622">
          <cell r="A622">
            <v>102040812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</row>
        <row r="623">
          <cell r="A623">
            <v>102040813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</row>
        <row r="624">
          <cell r="A624">
            <v>102040900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</row>
        <row r="625">
          <cell r="A625">
            <v>102040901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</row>
        <row r="626">
          <cell r="A626">
            <v>102040902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</row>
        <row r="627">
          <cell r="A627">
            <v>102040903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</row>
        <row r="628">
          <cell r="A628">
            <v>102040904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</row>
        <row r="629">
          <cell r="A629">
            <v>102040905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</row>
        <row r="630">
          <cell r="A630">
            <v>102040906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</row>
        <row r="631">
          <cell r="A631">
            <v>102040907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</row>
        <row r="632">
          <cell r="A632">
            <v>102040908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</row>
        <row r="633">
          <cell r="A633">
            <v>102040909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</row>
        <row r="634">
          <cell r="A634">
            <v>102041000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</row>
        <row r="635">
          <cell r="A635">
            <v>102041001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</row>
        <row r="636">
          <cell r="A636">
            <v>102041002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</row>
        <row r="637">
          <cell r="A637">
            <v>102041003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</row>
        <row r="638">
          <cell r="A638">
            <v>102041004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</row>
        <row r="639">
          <cell r="A639">
            <v>102041005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</row>
        <row r="640">
          <cell r="A640">
            <v>102041006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</row>
        <row r="641">
          <cell r="A641">
            <v>102041007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</row>
        <row r="642">
          <cell r="A642">
            <v>102041008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</row>
        <row r="643">
          <cell r="A643">
            <v>102041009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</row>
        <row r="644">
          <cell r="A644">
            <v>102041100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</row>
        <row r="645">
          <cell r="A645">
            <v>102041102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</row>
        <row r="646">
          <cell r="A646">
            <v>102041104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</row>
        <row r="647">
          <cell r="A647">
            <v>102041105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</row>
        <row r="648">
          <cell r="A648">
            <v>102041107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</row>
        <row r="649">
          <cell r="A649">
            <v>102041200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</row>
        <row r="650">
          <cell r="A650">
            <v>102041202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</row>
        <row r="651">
          <cell r="A651">
            <v>102041204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</row>
        <row r="652">
          <cell r="A652">
            <v>102041205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</row>
        <row r="653">
          <cell r="A653">
            <v>102041207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</row>
        <row r="654">
          <cell r="A654">
            <v>102041300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</row>
        <row r="655">
          <cell r="A655">
            <v>102041302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</row>
        <row r="656">
          <cell r="A656">
            <v>102041304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</row>
        <row r="657">
          <cell r="A657">
            <v>102041305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</row>
        <row r="658">
          <cell r="A658">
            <v>102041307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</row>
        <row r="659">
          <cell r="A659">
            <v>102042000</v>
          </cell>
          <cell r="C659">
            <v>3993185041</v>
          </cell>
          <cell r="D659">
            <v>391721712</v>
          </cell>
          <cell r="E659">
            <v>412301850</v>
          </cell>
          <cell r="F659">
            <v>80289309</v>
          </cell>
          <cell r="G659">
            <v>144986746</v>
          </cell>
          <cell r="H659">
            <v>199741528</v>
          </cell>
          <cell r="I659">
            <v>150515629</v>
          </cell>
          <cell r="J659">
            <v>0</v>
          </cell>
          <cell r="K659">
            <v>0</v>
          </cell>
          <cell r="L659">
            <v>576765692</v>
          </cell>
          <cell r="M659">
            <v>171906551</v>
          </cell>
          <cell r="N659">
            <v>2651995614</v>
          </cell>
          <cell r="O659">
            <v>160258078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173693137</v>
          </cell>
          <cell r="U659">
            <v>0</v>
          </cell>
          <cell r="V659">
            <v>291540366</v>
          </cell>
          <cell r="W659">
            <v>0</v>
          </cell>
          <cell r="X659">
            <v>242171845</v>
          </cell>
          <cell r="Y659">
            <v>0</v>
          </cell>
          <cell r="Z659">
            <v>119828976</v>
          </cell>
          <cell r="AA659">
            <v>0</v>
          </cell>
          <cell r="AB659">
            <v>65491405</v>
          </cell>
          <cell r="AC659">
            <v>0</v>
          </cell>
          <cell r="AD659">
            <v>0</v>
          </cell>
          <cell r="AE659">
            <v>0</v>
          </cell>
          <cell r="AF659">
            <v>189721500</v>
          </cell>
          <cell r="AG659">
            <v>0</v>
          </cell>
          <cell r="AH659">
            <v>0</v>
          </cell>
          <cell r="AI659">
            <v>175268879</v>
          </cell>
        </row>
        <row r="660">
          <cell r="A660">
            <v>102042001</v>
          </cell>
          <cell r="C660">
            <v>3993185041</v>
          </cell>
          <cell r="D660">
            <v>391721712</v>
          </cell>
          <cell r="E660">
            <v>412301850</v>
          </cell>
          <cell r="F660">
            <v>80289309</v>
          </cell>
          <cell r="G660">
            <v>144986746</v>
          </cell>
          <cell r="H660">
            <v>199741528</v>
          </cell>
          <cell r="I660">
            <v>150515629</v>
          </cell>
          <cell r="J660">
            <v>0</v>
          </cell>
          <cell r="K660">
            <v>0</v>
          </cell>
          <cell r="L660">
            <v>576765692</v>
          </cell>
          <cell r="M660">
            <v>171906551</v>
          </cell>
          <cell r="N660">
            <v>2651995614</v>
          </cell>
          <cell r="O660">
            <v>160258078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173693137</v>
          </cell>
          <cell r="U660">
            <v>0</v>
          </cell>
          <cell r="V660">
            <v>291540366</v>
          </cell>
          <cell r="W660">
            <v>0</v>
          </cell>
          <cell r="X660">
            <v>242171845</v>
          </cell>
          <cell r="Y660">
            <v>0</v>
          </cell>
          <cell r="Z660">
            <v>119828976</v>
          </cell>
          <cell r="AA660">
            <v>0</v>
          </cell>
          <cell r="AB660">
            <v>65491405</v>
          </cell>
          <cell r="AC660">
            <v>0</v>
          </cell>
          <cell r="AD660">
            <v>0</v>
          </cell>
          <cell r="AE660">
            <v>0</v>
          </cell>
          <cell r="AF660">
            <v>189721500</v>
          </cell>
          <cell r="AG660">
            <v>0</v>
          </cell>
          <cell r="AH660">
            <v>0</v>
          </cell>
          <cell r="AI660">
            <v>175268879</v>
          </cell>
        </row>
        <row r="661">
          <cell r="A661">
            <v>102042100</v>
          </cell>
          <cell r="C661">
            <v>111284094</v>
          </cell>
          <cell r="D661">
            <v>150902205</v>
          </cell>
          <cell r="E661">
            <v>5120152</v>
          </cell>
          <cell r="F661">
            <v>6398868</v>
          </cell>
          <cell r="G661">
            <v>3673706195</v>
          </cell>
          <cell r="H661">
            <v>0</v>
          </cell>
          <cell r="I661">
            <v>46408727</v>
          </cell>
          <cell r="J661">
            <v>0</v>
          </cell>
          <cell r="K661">
            <v>26693748</v>
          </cell>
          <cell r="L661">
            <v>0</v>
          </cell>
          <cell r="M661">
            <v>0</v>
          </cell>
          <cell r="N661">
            <v>581641292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158701225</v>
          </cell>
          <cell r="U661">
            <v>0</v>
          </cell>
          <cell r="V661">
            <v>199586173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412682697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234687264</v>
          </cell>
          <cell r="AI661">
            <v>0</v>
          </cell>
        </row>
        <row r="662">
          <cell r="A662">
            <v>102042101</v>
          </cell>
          <cell r="C662">
            <v>111284094</v>
          </cell>
          <cell r="D662">
            <v>150902205</v>
          </cell>
          <cell r="E662">
            <v>5120152</v>
          </cell>
          <cell r="F662">
            <v>6398868</v>
          </cell>
          <cell r="G662">
            <v>3673706195</v>
          </cell>
          <cell r="H662">
            <v>0</v>
          </cell>
          <cell r="I662">
            <v>46408727</v>
          </cell>
          <cell r="J662">
            <v>0</v>
          </cell>
          <cell r="K662">
            <v>26693748</v>
          </cell>
          <cell r="L662">
            <v>0</v>
          </cell>
          <cell r="M662">
            <v>0</v>
          </cell>
          <cell r="N662">
            <v>581641292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158701225</v>
          </cell>
          <cell r="U662">
            <v>0</v>
          </cell>
          <cell r="V662">
            <v>199586173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412682697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234687264</v>
          </cell>
          <cell r="AI662">
            <v>0</v>
          </cell>
        </row>
        <row r="663">
          <cell r="A663">
            <v>102050000</v>
          </cell>
          <cell r="C663">
            <v>0</v>
          </cell>
          <cell r="D663">
            <v>0</v>
          </cell>
          <cell r="E663">
            <v>0</v>
          </cell>
          <cell r="F663">
            <v>1160051</v>
          </cell>
          <cell r="G663">
            <v>0</v>
          </cell>
          <cell r="H663">
            <v>485159331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1200000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</row>
        <row r="664">
          <cell r="A664">
            <v>102050100</v>
          </cell>
          <cell r="C664">
            <v>0</v>
          </cell>
          <cell r="D664">
            <v>0</v>
          </cell>
          <cell r="E664">
            <v>0</v>
          </cell>
          <cell r="F664">
            <v>1160051</v>
          </cell>
          <cell r="G664">
            <v>0</v>
          </cell>
          <cell r="H664">
            <v>485159331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1200000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</row>
        <row r="665">
          <cell r="A665">
            <v>102050101</v>
          </cell>
          <cell r="C665">
            <v>0</v>
          </cell>
          <cell r="D665">
            <v>0</v>
          </cell>
          <cell r="E665">
            <v>0</v>
          </cell>
          <cell r="F665">
            <v>1160051</v>
          </cell>
          <cell r="G665">
            <v>0</v>
          </cell>
          <cell r="H665">
            <v>485159331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1200000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</row>
        <row r="666">
          <cell r="A666">
            <v>102050200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</row>
        <row r="667">
          <cell r="A667">
            <v>102050201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</row>
        <row r="668">
          <cell r="A668">
            <v>102060000</v>
          </cell>
          <cell r="C668">
            <v>904003</v>
          </cell>
          <cell r="D668">
            <v>1121333</v>
          </cell>
          <cell r="E668">
            <v>0</v>
          </cell>
          <cell r="F668">
            <v>779150</v>
          </cell>
          <cell r="G668">
            <v>1456987</v>
          </cell>
          <cell r="H668">
            <v>0</v>
          </cell>
          <cell r="I668">
            <v>0</v>
          </cell>
          <cell r="J668">
            <v>0</v>
          </cell>
          <cell r="K668">
            <v>15405</v>
          </cell>
          <cell r="L668">
            <v>115937</v>
          </cell>
          <cell r="M668">
            <v>8219</v>
          </cell>
          <cell r="N668">
            <v>0</v>
          </cell>
          <cell r="O668">
            <v>963637</v>
          </cell>
          <cell r="P668">
            <v>2590649</v>
          </cell>
          <cell r="Q668">
            <v>0</v>
          </cell>
          <cell r="R668">
            <v>1828447</v>
          </cell>
          <cell r="S668">
            <v>0</v>
          </cell>
          <cell r="T668">
            <v>0</v>
          </cell>
          <cell r="U668">
            <v>0</v>
          </cell>
          <cell r="V668">
            <v>5518921</v>
          </cell>
          <cell r="W668">
            <v>440130</v>
          </cell>
          <cell r="X668">
            <v>1861313</v>
          </cell>
          <cell r="Y668">
            <v>1945883</v>
          </cell>
          <cell r="Z668">
            <v>4859709</v>
          </cell>
          <cell r="AA668">
            <v>0</v>
          </cell>
          <cell r="AB668">
            <v>0</v>
          </cell>
          <cell r="AC668">
            <v>2043661</v>
          </cell>
          <cell r="AD668">
            <v>2037195</v>
          </cell>
          <cell r="AE668">
            <v>0</v>
          </cell>
          <cell r="AF668">
            <v>3890333</v>
          </cell>
          <cell r="AG668">
            <v>10440027</v>
          </cell>
          <cell r="AH668">
            <v>0</v>
          </cell>
          <cell r="AI668">
            <v>0</v>
          </cell>
        </row>
        <row r="669">
          <cell r="A669">
            <v>102060100</v>
          </cell>
          <cell r="C669">
            <v>904003</v>
          </cell>
          <cell r="D669">
            <v>1121333</v>
          </cell>
          <cell r="E669">
            <v>0</v>
          </cell>
          <cell r="F669">
            <v>779150</v>
          </cell>
          <cell r="G669">
            <v>1456987</v>
          </cell>
          <cell r="H669">
            <v>0</v>
          </cell>
          <cell r="I669">
            <v>0</v>
          </cell>
          <cell r="J669">
            <v>0</v>
          </cell>
          <cell r="K669">
            <v>15405</v>
          </cell>
          <cell r="L669">
            <v>115937</v>
          </cell>
          <cell r="M669">
            <v>8219</v>
          </cell>
          <cell r="N669">
            <v>0</v>
          </cell>
          <cell r="O669">
            <v>963637</v>
          </cell>
          <cell r="P669">
            <v>2590649</v>
          </cell>
          <cell r="Q669">
            <v>0</v>
          </cell>
          <cell r="R669">
            <v>1828447</v>
          </cell>
          <cell r="S669">
            <v>0</v>
          </cell>
          <cell r="T669">
            <v>0</v>
          </cell>
          <cell r="U669">
            <v>0</v>
          </cell>
          <cell r="V669">
            <v>5518921</v>
          </cell>
          <cell r="W669">
            <v>440130</v>
          </cell>
          <cell r="X669">
            <v>1861313</v>
          </cell>
          <cell r="Y669">
            <v>1945883</v>
          </cell>
          <cell r="Z669">
            <v>4859709</v>
          </cell>
          <cell r="AA669">
            <v>0</v>
          </cell>
          <cell r="AB669">
            <v>0</v>
          </cell>
          <cell r="AC669">
            <v>2043661</v>
          </cell>
          <cell r="AD669">
            <v>2037195</v>
          </cell>
          <cell r="AE669">
            <v>0</v>
          </cell>
          <cell r="AF669">
            <v>3890333</v>
          </cell>
          <cell r="AG669">
            <v>10440027</v>
          </cell>
          <cell r="AH669">
            <v>0</v>
          </cell>
          <cell r="AI669">
            <v>0</v>
          </cell>
        </row>
        <row r="670">
          <cell r="A670">
            <v>102060101</v>
          </cell>
          <cell r="C670">
            <v>904003</v>
          </cell>
          <cell r="D670">
            <v>1121333</v>
          </cell>
          <cell r="E670">
            <v>0</v>
          </cell>
          <cell r="F670">
            <v>779150</v>
          </cell>
          <cell r="G670">
            <v>1456987</v>
          </cell>
          <cell r="H670">
            <v>0</v>
          </cell>
          <cell r="I670">
            <v>0</v>
          </cell>
          <cell r="J670">
            <v>0</v>
          </cell>
          <cell r="K670">
            <v>15405</v>
          </cell>
          <cell r="L670">
            <v>115937</v>
          </cell>
          <cell r="M670">
            <v>8219</v>
          </cell>
          <cell r="N670">
            <v>0</v>
          </cell>
          <cell r="O670">
            <v>963637</v>
          </cell>
          <cell r="P670">
            <v>2590649</v>
          </cell>
          <cell r="Q670">
            <v>0</v>
          </cell>
          <cell r="R670">
            <v>1828447</v>
          </cell>
          <cell r="S670">
            <v>0</v>
          </cell>
          <cell r="T670">
            <v>0</v>
          </cell>
          <cell r="U670">
            <v>0</v>
          </cell>
          <cell r="V670">
            <v>5518921</v>
          </cell>
          <cell r="W670">
            <v>440130</v>
          </cell>
          <cell r="X670">
            <v>1861313</v>
          </cell>
          <cell r="Y670">
            <v>1945883</v>
          </cell>
          <cell r="Z670">
            <v>4859709</v>
          </cell>
          <cell r="AA670">
            <v>0</v>
          </cell>
          <cell r="AB670">
            <v>0</v>
          </cell>
          <cell r="AC670">
            <v>2043661</v>
          </cell>
          <cell r="AD670">
            <v>2037195</v>
          </cell>
          <cell r="AE670">
            <v>0</v>
          </cell>
          <cell r="AF670">
            <v>3890333</v>
          </cell>
          <cell r="AG670">
            <v>10440027</v>
          </cell>
          <cell r="AH670">
            <v>0</v>
          </cell>
          <cell r="AI670">
            <v>0</v>
          </cell>
        </row>
        <row r="671">
          <cell r="A671">
            <v>103000000</v>
          </cell>
          <cell r="C671">
            <v>989469988</v>
          </cell>
          <cell r="D671">
            <v>1513992741</v>
          </cell>
          <cell r="E671">
            <v>1152795348</v>
          </cell>
          <cell r="F671">
            <v>143203631</v>
          </cell>
          <cell r="G671">
            <v>899269112</v>
          </cell>
          <cell r="H671">
            <v>1839563810</v>
          </cell>
          <cell r="I671">
            <v>100812020</v>
          </cell>
          <cell r="J671">
            <v>314514783</v>
          </cell>
          <cell r="K671">
            <v>526538932</v>
          </cell>
          <cell r="L671">
            <v>134299125</v>
          </cell>
          <cell r="M671">
            <v>538469632</v>
          </cell>
          <cell r="N671">
            <v>4248562396</v>
          </cell>
          <cell r="O671">
            <v>393413703</v>
          </cell>
          <cell r="P671">
            <v>763354446</v>
          </cell>
          <cell r="Q671">
            <v>435016268</v>
          </cell>
          <cell r="R671">
            <v>225206636</v>
          </cell>
          <cell r="S671">
            <v>230776005</v>
          </cell>
          <cell r="T671">
            <v>1072187557</v>
          </cell>
          <cell r="U671">
            <v>0</v>
          </cell>
          <cell r="V671">
            <v>1457852165</v>
          </cell>
          <cell r="W671">
            <v>486222586</v>
          </cell>
          <cell r="X671">
            <v>976696621</v>
          </cell>
          <cell r="Y671">
            <v>248109929</v>
          </cell>
          <cell r="Z671">
            <v>183596417</v>
          </cell>
          <cell r="AA671">
            <v>516024327</v>
          </cell>
          <cell r="AB671">
            <v>1579870447</v>
          </cell>
          <cell r="AC671">
            <v>1078070161</v>
          </cell>
          <cell r="AD671">
            <v>452785615</v>
          </cell>
          <cell r="AE671">
            <v>2078988470</v>
          </cell>
          <cell r="AF671">
            <v>115195924</v>
          </cell>
          <cell r="AG671">
            <v>747397050</v>
          </cell>
          <cell r="AH671">
            <v>65435699</v>
          </cell>
          <cell r="AI671">
            <v>745651832</v>
          </cell>
        </row>
        <row r="672">
          <cell r="A672">
            <v>103010000</v>
          </cell>
          <cell r="C672">
            <v>4813931310</v>
          </cell>
          <cell r="D672">
            <v>2651083675</v>
          </cell>
          <cell r="E672">
            <v>1245529826</v>
          </cell>
          <cell r="F672">
            <v>308007368</v>
          </cell>
          <cell r="G672">
            <v>1832796330</v>
          </cell>
          <cell r="H672">
            <v>2770250831</v>
          </cell>
          <cell r="I672">
            <v>800167593</v>
          </cell>
          <cell r="J672">
            <v>533380161</v>
          </cell>
          <cell r="K672">
            <v>744194353</v>
          </cell>
          <cell r="L672">
            <v>103602151</v>
          </cell>
          <cell r="M672">
            <v>430800692</v>
          </cell>
          <cell r="N672">
            <v>3362249513</v>
          </cell>
          <cell r="O672">
            <v>692389592</v>
          </cell>
          <cell r="P672">
            <v>1777840104</v>
          </cell>
          <cell r="Q672">
            <v>638388171</v>
          </cell>
          <cell r="R672">
            <v>549395894</v>
          </cell>
          <cell r="S672">
            <v>403565639</v>
          </cell>
          <cell r="T672">
            <v>2131751496</v>
          </cell>
          <cell r="U672">
            <v>0</v>
          </cell>
          <cell r="V672">
            <v>1768087422</v>
          </cell>
          <cell r="W672">
            <v>773181388</v>
          </cell>
          <cell r="X672">
            <v>1543998043</v>
          </cell>
          <cell r="Y672">
            <v>736638146</v>
          </cell>
          <cell r="Z672">
            <v>540662117</v>
          </cell>
          <cell r="AA672">
            <v>574891606</v>
          </cell>
          <cell r="AB672">
            <v>3239188004</v>
          </cell>
          <cell r="AC672">
            <v>1759756321</v>
          </cell>
          <cell r="AD672">
            <v>766171518</v>
          </cell>
          <cell r="AE672">
            <v>1339164029</v>
          </cell>
          <cell r="AF672">
            <v>194191602</v>
          </cell>
          <cell r="AG672">
            <v>1669241848</v>
          </cell>
          <cell r="AH672">
            <v>5943018</v>
          </cell>
          <cell r="AI672">
            <v>2331618941</v>
          </cell>
        </row>
        <row r="673">
          <cell r="A673">
            <v>103010100</v>
          </cell>
          <cell r="C673">
            <v>4800610491</v>
          </cell>
          <cell r="D673">
            <v>2646288490</v>
          </cell>
          <cell r="E673">
            <v>1245529826</v>
          </cell>
          <cell r="F673">
            <v>305617333</v>
          </cell>
          <cell r="G673">
            <v>1832116329</v>
          </cell>
          <cell r="H673">
            <v>2562938808</v>
          </cell>
          <cell r="I673">
            <v>800167593</v>
          </cell>
          <cell r="J673">
            <v>533380161</v>
          </cell>
          <cell r="K673">
            <v>515127695</v>
          </cell>
          <cell r="L673">
            <v>103602151</v>
          </cell>
          <cell r="M673">
            <v>430800692</v>
          </cell>
          <cell r="N673">
            <v>3294324563</v>
          </cell>
          <cell r="O673">
            <v>692389592</v>
          </cell>
          <cell r="P673">
            <v>1777840104</v>
          </cell>
          <cell r="Q673">
            <v>638388171</v>
          </cell>
          <cell r="R673">
            <v>549380460</v>
          </cell>
          <cell r="S673">
            <v>403565639</v>
          </cell>
          <cell r="T673">
            <v>1990491205</v>
          </cell>
          <cell r="U673">
            <v>0</v>
          </cell>
          <cell r="V673">
            <v>1752563926</v>
          </cell>
          <cell r="W673">
            <v>772403134</v>
          </cell>
          <cell r="X673">
            <v>1452162634</v>
          </cell>
          <cell r="Y673">
            <v>736638146</v>
          </cell>
          <cell r="Z673">
            <v>540662117</v>
          </cell>
          <cell r="AA673">
            <v>573159106</v>
          </cell>
          <cell r="AB673">
            <v>3076248864</v>
          </cell>
          <cell r="AC673">
            <v>1746812264</v>
          </cell>
          <cell r="AD673">
            <v>761564210</v>
          </cell>
          <cell r="AE673">
            <v>1254897213</v>
          </cell>
          <cell r="AF673">
            <v>185912746</v>
          </cell>
          <cell r="AG673">
            <v>1663726197</v>
          </cell>
          <cell r="AH673">
            <v>4661018</v>
          </cell>
          <cell r="AI673">
            <v>2315308483</v>
          </cell>
        </row>
        <row r="674">
          <cell r="A674">
            <v>103010101</v>
          </cell>
          <cell r="C674">
            <v>70466136</v>
          </cell>
          <cell r="D674">
            <v>348705773</v>
          </cell>
          <cell r="E674">
            <v>1180335282</v>
          </cell>
          <cell r="F674">
            <v>39000115</v>
          </cell>
          <cell r="G674">
            <v>61361651</v>
          </cell>
          <cell r="H674">
            <v>162221111</v>
          </cell>
          <cell r="I674">
            <v>5444843</v>
          </cell>
          <cell r="J674">
            <v>190076524</v>
          </cell>
          <cell r="K674">
            <v>37394504</v>
          </cell>
          <cell r="L674">
            <v>83666679</v>
          </cell>
          <cell r="M674">
            <v>0</v>
          </cell>
          <cell r="N674">
            <v>525436415</v>
          </cell>
          <cell r="O674">
            <v>89671360</v>
          </cell>
          <cell r="P674">
            <v>62981535</v>
          </cell>
          <cell r="Q674">
            <v>68657022</v>
          </cell>
          <cell r="R674">
            <v>26737260</v>
          </cell>
          <cell r="S674">
            <v>5080700</v>
          </cell>
          <cell r="T674">
            <v>27627241</v>
          </cell>
          <cell r="U674">
            <v>0</v>
          </cell>
          <cell r="V674">
            <v>270590582</v>
          </cell>
          <cell r="W674">
            <v>128639750</v>
          </cell>
          <cell r="X674">
            <v>105821758</v>
          </cell>
          <cell r="Y674">
            <v>106779261</v>
          </cell>
          <cell r="Z674">
            <v>25999703</v>
          </cell>
          <cell r="AA674">
            <v>143918511</v>
          </cell>
          <cell r="AB674">
            <v>151504447</v>
          </cell>
          <cell r="AC674">
            <v>139768102</v>
          </cell>
          <cell r="AD674">
            <v>24292130</v>
          </cell>
          <cell r="AE674">
            <v>210142274</v>
          </cell>
          <cell r="AF674">
            <v>6221917</v>
          </cell>
          <cell r="AG674">
            <v>62951658</v>
          </cell>
          <cell r="AH674">
            <v>2644418</v>
          </cell>
          <cell r="AI674">
            <v>1163932</v>
          </cell>
        </row>
        <row r="675">
          <cell r="A675">
            <v>103010102</v>
          </cell>
          <cell r="C675">
            <v>52233547</v>
          </cell>
          <cell r="D675">
            <v>152895806</v>
          </cell>
          <cell r="E675">
            <v>0</v>
          </cell>
          <cell r="F675">
            <v>1740762</v>
          </cell>
          <cell r="G675">
            <v>21117864</v>
          </cell>
          <cell r="H675">
            <v>26775737</v>
          </cell>
          <cell r="I675">
            <v>12057684</v>
          </cell>
          <cell r="J675">
            <v>9666140</v>
          </cell>
          <cell r="K675">
            <v>8252155</v>
          </cell>
          <cell r="L675">
            <v>0</v>
          </cell>
          <cell r="M675">
            <v>14713284</v>
          </cell>
          <cell r="N675">
            <v>194065127</v>
          </cell>
          <cell r="O675">
            <v>59734416</v>
          </cell>
          <cell r="P675">
            <v>45618027</v>
          </cell>
          <cell r="Q675">
            <v>29313545</v>
          </cell>
          <cell r="R675">
            <v>3878074</v>
          </cell>
          <cell r="S675">
            <v>610000</v>
          </cell>
          <cell r="T675">
            <v>170331917</v>
          </cell>
          <cell r="U675">
            <v>0</v>
          </cell>
          <cell r="V675">
            <v>87788947</v>
          </cell>
          <cell r="W675">
            <v>17523100</v>
          </cell>
          <cell r="X675">
            <v>322666250</v>
          </cell>
          <cell r="Y675">
            <v>39176084</v>
          </cell>
          <cell r="Z675">
            <v>8207061</v>
          </cell>
          <cell r="AA675">
            <v>44957434</v>
          </cell>
          <cell r="AB675">
            <v>107593424</v>
          </cell>
          <cell r="AC675">
            <v>10078609</v>
          </cell>
          <cell r="AD675">
            <v>34097246</v>
          </cell>
          <cell r="AE675">
            <v>355604979</v>
          </cell>
          <cell r="AF675">
            <v>0</v>
          </cell>
          <cell r="AG675">
            <v>83526222</v>
          </cell>
          <cell r="AH675">
            <v>0</v>
          </cell>
          <cell r="AI675">
            <v>18567684</v>
          </cell>
        </row>
        <row r="676">
          <cell r="A676">
            <v>103010103</v>
          </cell>
          <cell r="C676">
            <v>34802147</v>
          </cell>
          <cell r="D676">
            <v>25569476</v>
          </cell>
          <cell r="E676">
            <v>2452503</v>
          </cell>
          <cell r="F676">
            <v>35054</v>
          </cell>
          <cell r="G676">
            <v>0</v>
          </cell>
          <cell r="H676">
            <v>13659500</v>
          </cell>
          <cell r="I676">
            <v>500000</v>
          </cell>
          <cell r="J676">
            <v>4820576</v>
          </cell>
          <cell r="K676">
            <v>1608474</v>
          </cell>
          <cell r="L676">
            <v>996060</v>
          </cell>
          <cell r="M676">
            <v>1491600</v>
          </cell>
          <cell r="N676">
            <v>6532019</v>
          </cell>
          <cell r="O676">
            <v>7588805</v>
          </cell>
          <cell r="P676">
            <v>8039089</v>
          </cell>
          <cell r="Q676">
            <v>16961221</v>
          </cell>
          <cell r="R676">
            <v>38067460</v>
          </cell>
          <cell r="S676">
            <v>5924100</v>
          </cell>
          <cell r="T676">
            <v>19736764</v>
          </cell>
          <cell r="U676">
            <v>0</v>
          </cell>
          <cell r="V676">
            <v>66746155</v>
          </cell>
          <cell r="W676">
            <v>3024156</v>
          </cell>
          <cell r="X676">
            <v>33529481</v>
          </cell>
          <cell r="Y676">
            <v>2728664</v>
          </cell>
          <cell r="Z676">
            <v>4438727</v>
          </cell>
          <cell r="AA676">
            <v>7385363</v>
          </cell>
          <cell r="AB676">
            <v>169194327</v>
          </cell>
          <cell r="AC676">
            <v>2774384</v>
          </cell>
          <cell r="AD676">
            <v>1094682</v>
          </cell>
          <cell r="AE676">
            <v>20672079</v>
          </cell>
          <cell r="AF676">
            <v>6762666</v>
          </cell>
          <cell r="AG676">
            <v>10289638</v>
          </cell>
          <cell r="AH676">
            <v>322000</v>
          </cell>
          <cell r="AI676">
            <v>21236309</v>
          </cell>
        </row>
        <row r="677">
          <cell r="A677">
            <v>103010104</v>
          </cell>
          <cell r="C677">
            <v>2941977315</v>
          </cell>
          <cell r="D677">
            <v>1986454604</v>
          </cell>
          <cell r="E677">
            <v>51465249</v>
          </cell>
          <cell r="F677">
            <v>255310640</v>
          </cell>
          <cell r="G677">
            <v>1695527721</v>
          </cell>
          <cell r="H677">
            <v>1874419493</v>
          </cell>
          <cell r="I677">
            <v>643995942</v>
          </cell>
          <cell r="J677">
            <v>299211512</v>
          </cell>
          <cell r="K677">
            <v>454733030</v>
          </cell>
          <cell r="L677">
            <v>12089789</v>
          </cell>
          <cell r="M677">
            <v>406143774</v>
          </cell>
          <cell r="N677">
            <v>1936659691</v>
          </cell>
          <cell r="O677">
            <v>461643675</v>
          </cell>
          <cell r="P677">
            <v>1550790932</v>
          </cell>
          <cell r="Q677">
            <v>472232250</v>
          </cell>
          <cell r="R677">
            <v>246037063</v>
          </cell>
          <cell r="S677">
            <v>373421016</v>
          </cell>
          <cell r="T677">
            <v>1388153446</v>
          </cell>
          <cell r="U677">
            <v>0</v>
          </cell>
          <cell r="V677">
            <v>1053768300</v>
          </cell>
          <cell r="W677">
            <v>579707341</v>
          </cell>
          <cell r="X677">
            <v>819613543</v>
          </cell>
          <cell r="Y677">
            <v>528109203</v>
          </cell>
          <cell r="Z677">
            <v>471760034</v>
          </cell>
          <cell r="AA677">
            <v>324199247</v>
          </cell>
          <cell r="AB677">
            <v>2131808263</v>
          </cell>
          <cell r="AC677">
            <v>1477691304</v>
          </cell>
          <cell r="AD677">
            <v>583626688</v>
          </cell>
          <cell r="AE677">
            <v>603818390</v>
          </cell>
          <cell r="AF677">
            <v>138885592</v>
          </cell>
          <cell r="AG677">
            <v>1392813217</v>
          </cell>
          <cell r="AH677">
            <v>1694600</v>
          </cell>
          <cell r="AI677">
            <v>41528559</v>
          </cell>
        </row>
        <row r="678">
          <cell r="A678">
            <v>103010105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7045000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4674387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133178</v>
          </cell>
          <cell r="AH678">
            <v>0</v>
          </cell>
          <cell r="AI678">
            <v>0</v>
          </cell>
        </row>
        <row r="679">
          <cell r="A679">
            <v>103010106</v>
          </cell>
          <cell r="C679">
            <v>36116383</v>
          </cell>
          <cell r="D679">
            <v>76103994</v>
          </cell>
          <cell r="E679">
            <v>8082781</v>
          </cell>
          <cell r="F679">
            <v>3732467</v>
          </cell>
          <cell r="G679">
            <v>1806000</v>
          </cell>
          <cell r="H679">
            <v>35580880</v>
          </cell>
          <cell r="I679">
            <v>3187982</v>
          </cell>
          <cell r="J679">
            <v>26788350</v>
          </cell>
          <cell r="K679">
            <v>6842908</v>
          </cell>
          <cell r="L679">
            <v>6549623</v>
          </cell>
          <cell r="M679">
            <v>1709573</v>
          </cell>
          <cell r="N679">
            <v>94211002</v>
          </cell>
          <cell r="O679">
            <v>13803010</v>
          </cell>
          <cell r="P679">
            <v>17388606</v>
          </cell>
          <cell r="Q679">
            <v>6813590</v>
          </cell>
          <cell r="R679">
            <v>15915143</v>
          </cell>
          <cell r="S679">
            <v>3103000</v>
          </cell>
          <cell r="T679">
            <v>13856035</v>
          </cell>
          <cell r="U679">
            <v>0</v>
          </cell>
          <cell r="V679">
            <v>26856299</v>
          </cell>
          <cell r="W679">
            <v>22605561</v>
          </cell>
          <cell r="X679">
            <v>42253854</v>
          </cell>
          <cell r="Y679">
            <v>11853884</v>
          </cell>
          <cell r="Z679">
            <v>6407134</v>
          </cell>
          <cell r="AA679">
            <v>16504101</v>
          </cell>
          <cell r="AB679">
            <v>82496693</v>
          </cell>
          <cell r="AC679">
            <v>27036563</v>
          </cell>
          <cell r="AD679">
            <v>18340297</v>
          </cell>
          <cell r="AE679">
            <v>15051935</v>
          </cell>
          <cell r="AF679">
            <v>10384078</v>
          </cell>
          <cell r="AG679">
            <v>14755668</v>
          </cell>
          <cell r="AH679">
            <v>0</v>
          </cell>
          <cell r="AI679">
            <v>0</v>
          </cell>
        </row>
        <row r="680">
          <cell r="A680">
            <v>103010107</v>
          </cell>
          <cell r="C680">
            <v>955711</v>
          </cell>
          <cell r="D680">
            <v>3468140</v>
          </cell>
          <cell r="E680">
            <v>0</v>
          </cell>
          <cell r="F680">
            <v>469069</v>
          </cell>
          <cell r="G680">
            <v>81000</v>
          </cell>
          <cell r="H680">
            <v>2903467</v>
          </cell>
          <cell r="I680">
            <v>62761783</v>
          </cell>
          <cell r="J680">
            <v>350559</v>
          </cell>
          <cell r="K680">
            <v>0</v>
          </cell>
          <cell r="L680">
            <v>0</v>
          </cell>
          <cell r="M680">
            <v>0</v>
          </cell>
          <cell r="N680">
            <v>9282793</v>
          </cell>
          <cell r="O680">
            <v>0</v>
          </cell>
          <cell r="P680">
            <v>1500001</v>
          </cell>
          <cell r="Q680">
            <v>193956</v>
          </cell>
          <cell r="R680">
            <v>296983</v>
          </cell>
          <cell r="S680">
            <v>440000</v>
          </cell>
          <cell r="T680">
            <v>0</v>
          </cell>
          <cell r="U680">
            <v>0</v>
          </cell>
          <cell r="V680">
            <v>0</v>
          </cell>
          <cell r="W680">
            <v>166000</v>
          </cell>
          <cell r="X680">
            <v>3377132</v>
          </cell>
          <cell r="Y680">
            <v>923000</v>
          </cell>
          <cell r="Z680">
            <v>527753</v>
          </cell>
          <cell r="AA680">
            <v>721225</v>
          </cell>
          <cell r="AB680">
            <v>1256923</v>
          </cell>
          <cell r="AC680">
            <v>4308221</v>
          </cell>
          <cell r="AD680">
            <v>304990</v>
          </cell>
          <cell r="AE680">
            <v>264268</v>
          </cell>
          <cell r="AF680">
            <v>1643465</v>
          </cell>
          <cell r="AG680">
            <v>1784939</v>
          </cell>
          <cell r="AH680">
            <v>0</v>
          </cell>
          <cell r="AI680">
            <v>0</v>
          </cell>
        </row>
        <row r="681">
          <cell r="A681">
            <v>103010108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1825615</v>
          </cell>
          <cell r="N681">
            <v>48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124971319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17564954</v>
          </cell>
          <cell r="AG681">
            <v>0</v>
          </cell>
          <cell r="AH681">
            <v>0</v>
          </cell>
          <cell r="AI681">
            <v>2064935349</v>
          </cell>
        </row>
        <row r="682">
          <cell r="A682">
            <v>103010109</v>
          </cell>
          <cell r="C682">
            <v>20317737</v>
          </cell>
          <cell r="D682">
            <v>51572</v>
          </cell>
          <cell r="E682">
            <v>122500</v>
          </cell>
          <cell r="F682">
            <v>0</v>
          </cell>
          <cell r="G682">
            <v>0</v>
          </cell>
          <cell r="H682">
            <v>89014293</v>
          </cell>
          <cell r="I682">
            <v>1350000</v>
          </cell>
          <cell r="J682">
            <v>0</v>
          </cell>
          <cell r="K682">
            <v>5846624</v>
          </cell>
          <cell r="L682">
            <v>0</v>
          </cell>
          <cell r="M682">
            <v>0</v>
          </cell>
          <cell r="N682">
            <v>91474304</v>
          </cell>
          <cell r="O682">
            <v>9839427</v>
          </cell>
          <cell r="P682">
            <v>0</v>
          </cell>
          <cell r="Q682">
            <v>1350000</v>
          </cell>
          <cell r="R682">
            <v>154777893</v>
          </cell>
          <cell r="S682">
            <v>0</v>
          </cell>
          <cell r="T682">
            <v>4775240</v>
          </cell>
          <cell r="U682">
            <v>0</v>
          </cell>
          <cell r="V682">
            <v>172094080</v>
          </cell>
          <cell r="W682">
            <v>13172649</v>
          </cell>
          <cell r="X682">
            <v>9770633</v>
          </cell>
          <cell r="Y682">
            <v>1004000</v>
          </cell>
          <cell r="Z682">
            <v>2929620</v>
          </cell>
          <cell r="AA682">
            <v>2482770</v>
          </cell>
          <cell r="AB682">
            <v>11568048</v>
          </cell>
          <cell r="AC682">
            <v>1901600</v>
          </cell>
          <cell r="AD682">
            <v>89167433</v>
          </cell>
          <cell r="AE682">
            <v>3535667</v>
          </cell>
          <cell r="AF682">
            <v>1344164</v>
          </cell>
          <cell r="AG682">
            <v>8261652</v>
          </cell>
          <cell r="AH682">
            <v>0</v>
          </cell>
          <cell r="AI682">
            <v>54707456</v>
          </cell>
        </row>
        <row r="683">
          <cell r="A683">
            <v>103010110</v>
          </cell>
          <cell r="C683">
            <v>306027641</v>
          </cell>
          <cell r="D683">
            <v>14275846</v>
          </cell>
          <cell r="E683">
            <v>1933511</v>
          </cell>
          <cell r="F683">
            <v>57549</v>
          </cell>
          <cell r="G683">
            <v>12403535</v>
          </cell>
          <cell r="H683">
            <v>35151769</v>
          </cell>
          <cell r="I683">
            <v>5836316</v>
          </cell>
          <cell r="J683">
            <v>0</v>
          </cell>
          <cell r="K683">
            <v>450000</v>
          </cell>
          <cell r="L683">
            <v>0</v>
          </cell>
          <cell r="M683">
            <v>1491600</v>
          </cell>
          <cell r="N683">
            <v>29767605</v>
          </cell>
          <cell r="O683">
            <v>7759151</v>
          </cell>
          <cell r="P683">
            <v>8600523</v>
          </cell>
          <cell r="Q683">
            <v>19052601</v>
          </cell>
          <cell r="R683">
            <v>9097750</v>
          </cell>
          <cell r="S683">
            <v>1100000</v>
          </cell>
          <cell r="T683">
            <v>0</v>
          </cell>
          <cell r="U683">
            <v>0</v>
          </cell>
          <cell r="V683">
            <v>27049772</v>
          </cell>
          <cell r="W683">
            <v>1108733</v>
          </cell>
          <cell r="X683">
            <v>22527348</v>
          </cell>
          <cell r="Y683">
            <v>26230113</v>
          </cell>
          <cell r="Z683">
            <v>4082643</v>
          </cell>
          <cell r="AA683">
            <v>25529105</v>
          </cell>
          <cell r="AB683">
            <v>166725856</v>
          </cell>
          <cell r="AC683">
            <v>14113619</v>
          </cell>
          <cell r="AD683">
            <v>8440148</v>
          </cell>
          <cell r="AE683">
            <v>27654979</v>
          </cell>
          <cell r="AF683">
            <v>2565000</v>
          </cell>
          <cell r="AG683">
            <v>43904413</v>
          </cell>
          <cell r="AH683">
            <v>0</v>
          </cell>
          <cell r="AI683">
            <v>0</v>
          </cell>
        </row>
        <row r="684">
          <cell r="A684">
            <v>103010111</v>
          </cell>
          <cell r="C684">
            <v>5978297</v>
          </cell>
          <cell r="D684">
            <v>1391750</v>
          </cell>
          <cell r="E684">
            <v>0</v>
          </cell>
          <cell r="F684">
            <v>0</v>
          </cell>
          <cell r="G684">
            <v>3800000</v>
          </cell>
          <cell r="H684">
            <v>720410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43647300</v>
          </cell>
          <cell r="O684">
            <v>0</v>
          </cell>
          <cell r="P684">
            <v>0</v>
          </cell>
          <cell r="Q684">
            <v>980000</v>
          </cell>
          <cell r="R684">
            <v>0</v>
          </cell>
          <cell r="S684">
            <v>0</v>
          </cell>
          <cell r="T684">
            <v>207121734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13856068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12008234</v>
          </cell>
          <cell r="AF684">
            <v>0</v>
          </cell>
          <cell r="AG684">
            <v>940000</v>
          </cell>
          <cell r="AH684">
            <v>0</v>
          </cell>
          <cell r="AI684">
            <v>5217617</v>
          </cell>
        </row>
        <row r="685">
          <cell r="A685">
            <v>103010112</v>
          </cell>
          <cell r="C685">
            <v>116560340</v>
          </cell>
          <cell r="D685">
            <v>4413620</v>
          </cell>
          <cell r="E685">
            <v>602000</v>
          </cell>
          <cell r="F685">
            <v>0</v>
          </cell>
          <cell r="G685">
            <v>0</v>
          </cell>
          <cell r="H685">
            <v>40135742</v>
          </cell>
          <cell r="I685">
            <v>65033043</v>
          </cell>
          <cell r="J685">
            <v>670775</v>
          </cell>
          <cell r="K685">
            <v>0</v>
          </cell>
          <cell r="L685">
            <v>0</v>
          </cell>
          <cell r="M685">
            <v>3040400</v>
          </cell>
          <cell r="N685">
            <v>17550008</v>
          </cell>
          <cell r="O685">
            <v>26799388</v>
          </cell>
          <cell r="P685">
            <v>35042529</v>
          </cell>
          <cell r="Q685">
            <v>1050000</v>
          </cell>
          <cell r="R685">
            <v>3524942</v>
          </cell>
          <cell r="S685">
            <v>4103000</v>
          </cell>
          <cell r="T685">
            <v>14079567</v>
          </cell>
          <cell r="U685">
            <v>0</v>
          </cell>
          <cell r="V685">
            <v>13202591</v>
          </cell>
          <cell r="W685">
            <v>660728</v>
          </cell>
          <cell r="X685">
            <v>34724616</v>
          </cell>
          <cell r="Y685">
            <v>1298760</v>
          </cell>
          <cell r="Z685">
            <v>1668083</v>
          </cell>
          <cell r="AA685">
            <v>2594592</v>
          </cell>
          <cell r="AB685">
            <v>91405471</v>
          </cell>
          <cell r="AC685">
            <v>3791599</v>
          </cell>
          <cell r="AD685">
            <v>824373</v>
          </cell>
          <cell r="AE685">
            <v>2919411</v>
          </cell>
          <cell r="AF685">
            <v>540910</v>
          </cell>
          <cell r="AG685">
            <v>3891732</v>
          </cell>
          <cell r="AH685">
            <v>0</v>
          </cell>
          <cell r="AI685">
            <v>35288902</v>
          </cell>
        </row>
        <row r="686">
          <cell r="A686">
            <v>103010113</v>
          </cell>
          <cell r="C686">
            <v>1215175237</v>
          </cell>
          <cell r="D686">
            <v>32957909</v>
          </cell>
          <cell r="E686">
            <v>536000</v>
          </cell>
          <cell r="F686">
            <v>5271677</v>
          </cell>
          <cell r="G686">
            <v>28973558</v>
          </cell>
          <cell r="H686">
            <v>282356406</v>
          </cell>
          <cell r="I686">
            <v>0</v>
          </cell>
          <cell r="J686">
            <v>1795725</v>
          </cell>
          <cell r="K686">
            <v>0</v>
          </cell>
          <cell r="L686">
            <v>300000</v>
          </cell>
          <cell r="M686">
            <v>384846</v>
          </cell>
          <cell r="N686">
            <v>345698251</v>
          </cell>
          <cell r="O686">
            <v>15550360</v>
          </cell>
          <cell r="P686">
            <v>47878862</v>
          </cell>
          <cell r="Q686">
            <v>21783986</v>
          </cell>
          <cell r="R686">
            <v>51047892</v>
          </cell>
          <cell r="S686">
            <v>9783823</v>
          </cell>
          <cell r="T686">
            <v>19837942</v>
          </cell>
          <cell r="U686">
            <v>0</v>
          </cell>
          <cell r="V686">
            <v>34467200</v>
          </cell>
          <cell r="W686">
            <v>5795116</v>
          </cell>
          <cell r="X686">
            <v>57878019</v>
          </cell>
          <cell r="Y686">
            <v>13860790</v>
          </cell>
          <cell r="Z686">
            <v>785291</v>
          </cell>
          <cell r="AA686">
            <v>4866758</v>
          </cell>
          <cell r="AB686">
            <v>162695412</v>
          </cell>
          <cell r="AC686">
            <v>65348263</v>
          </cell>
          <cell r="AD686">
            <v>1376223</v>
          </cell>
          <cell r="AE686">
            <v>3224997</v>
          </cell>
          <cell r="AF686">
            <v>0</v>
          </cell>
          <cell r="AG686">
            <v>40473880</v>
          </cell>
          <cell r="AH686">
            <v>0</v>
          </cell>
          <cell r="AI686">
            <v>72662675</v>
          </cell>
        </row>
        <row r="687">
          <cell r="A687">
            <v>103010300</v>
          </cell>
          <cell r="C687">
            <v>13320819</v>
          </cell>
          <cell r="D687">
            <v>4795185</v>
          </cell>
          <cell r="E687">
            <v>0</v>
          </cell>
          <cell r="F687">
            <v>2390035</v>
          </cell>
          <cell r="G687">
            <v>680001</v>
          </cell>
          <cell r="H687">
            <v>207312023</v>
          </cell>
          <cell r="I687">
            <v>0</v>
          </cell>
          <cell r="J687">
            <v>0</v>
          </cell>
          <cell r="K687">
            <v>229066658</v>
          </cell>
          <cell r="L687">
            <v>0</v>
          </cell>
          <cell r="M687">
            <v>0</v>
          </cell>
          <cell r="N687">
            <v>67924950</v>
          </cell>
          <cell r="O687">
            <v>0</v>
          </cell>
          <cell r="P687">
            <v>0</v>
          </cell>
          <cell r="Q687">
            <v>0</v>
          </cell>
          <cell r="R687">
            <v>15434</v>
          </cell>
          <cell r="S687">
            <v>0</v>
          </cell>
          <cell r="T687">
            <v>141260291</v>
          </cell>
          <cell r="U687">
            <v>0</v>
          </cell>
          <cell r="V687">
            <v>15523496</v>
          </cell>
          <cell r="W687">
            <v>778254</v>
          </cell>
          <cell r="X687">
            <v>91835409</v>
          </cell>
          <cell r="Y687">
            <v>0</v>
          </cell>
          <cell r="Z687">
            <v>0</v>
          </cell>
          <cell r="AA687">
            <v>1732500</v>
          </cell>
          <cell r="AB687">
            <v>162939140</v>
          </cell>
          <cell r="AC687">
            <v>12944057</v>
          </cell>
          <cell r="AD687">
            <v>4607308</v>
          </cell>
          <cell r="AE687">
            <v>84266816</v>
          </cell>
          <cell r="AF687">
            <v>8278856</v>
          </cell>
          <cell r="AG687">
            <v>5515651</v>
          </cell>
          <cell r="AH687">
            <v>1282000</v>
          </cell>
          <cell r="AI687">
            <v>16310458</v>
          </cell>
        </row>
        <row r="688">
          <cell r="A688">
            <v>103010301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140721864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</row>
        <row r="689">
          <cell r="A689">
            <v>103010302</v>
          </cell>
          <cell r="C689">
            <v>0</v>
          </cell>
          <cell r="D689">
            <v>0</v>
          </cell>
          <cell r="E689">
            <v>0</v>
          </cell>
          <cell r="F689">
            <v>995035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</row>
        <row r="690">
          <cell r="A690">
            <v>103010303</v>
          </cell>
          <cell r="C690">
            <v>13320819</v>
          </cell>
          <cell r="D690">
            <v>4795185</v>
          </cell>
          <cell r="E690">
            <v>0</v>
          </cell>
          <cell r="F690">
            <v>1395000</v>
          </cell>
          <cell r="G690">
            <v>680001</v>
          </cell>
          <cell r="H690">
            <v>207312023</v>
          </cell>
          <cell r="I690">
            <v>0</v>
          </cell>
          <cell r="J690">
            <v>0</v>
          </cell>
          <cell r="K690">
            <v>151713471</v>
          </cell>
          <cell r="L690">
            <v>0</v>
          </cell>
          <cell r="M690">
            <v>0</v>
          </cell>
          <cell r="N690">
            <v>67924950</v>
          </cell>
          <cell r="O690">
            <v>0</v>
          </cell>
          <cell r="P690">
            <v>0</v>
          </cell>
          <cell r="Q690">
            <v>0</v>
          </cell>
          <cell r="R690">
            <v>15434</v>
          </cell>
          <cell r="S690">
            <v>0</v>
          </cell>
          <cell r="T690">
            <v>0</v>
          </cell>
          <cell r="U690">
            <v>0</v>
          </cell>
          <cell r="V690">
            <v>15523496</v>
          </cell>
          <cell r="W690">
            <v>778254</v>
          </cell>
          <cell r="X690">
            <v>91835409</v>
          </cell>
          <cell r="Y690">
            <v>0</v>
          </cell>
          <cell r="Z690">
            <v>0</v>
          </cell>
          <cell r="AA690">
            <v>1732500</v>
          </cell>
          <cell r="AB690">
            <v>162939140</v>
          </cell>
          <cell r="AC690">
            <v>11627000</v>
          </cell>
          <cell r="AD690">
            <v>4607308</v>
          </cell>
          <cell r="AE690">
            <v>84266816</v>
          </cell>
          <cell r="AF690">
            <v>8278856</v>
          </cell>
          <cell r="AG690">
            <v>5515651</v>
          </cell>
          <cell r="AH690">
            <v>1282000</v>
          </cell>
          <cell r="AI690">
            <v>16310458</v>
          </cell>
        </row>
        <row r="691">
          <cell r="A691">
            <v>103010304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</row>
        <row r="692">
          <cell r="A692">
            <v>103010305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</row>
        <row r="693">
          <cell r="A693">
            <v>103010306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77353187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1317057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</row>
        <row r="694">
          <cell r="A694">
            <v>103010307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</row>
        <row r="695">
          <cell r="A695">
            <v>103010308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538427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</row>
        <row r="696">
          <cell r="A696">
            <v>103010309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</row>
        <row r="697">
          <cell r="A697">
            <v>103020000</v>
          </cell>
          <cell r="C697">
            <v>0</v>
          </cell>
          <cell r="D697">
            <v>175067243</v>
          </cell>
          <cell r="E697">
            <v>2535000</v>
          </cell>
          <cell r="F697">
            <v>0</v>
          </cell>
          <cell r="G697">
            <v>0</v>
          </cell>
          <cell r="H697">
            <v>103723067</v>
          </cell>
          <cell r="I697">
            <v>400000</v>
          </cell>
          <cell r="J697">
            <v>0</v>
          </cell>
          <cell r="K697">
            <v>91820394</v>
          </cell>
          <cell r="L697">
            <v>34867275</v>
          </cell>
          <cell r="M697">
            <v>463108464</v>
          </cell>
          <cell r="N697">
            <v>1766624561</v>
          </cell>
          <cell r="O697">
            <v>272728</v>
          </cell>
          <cell r="P697">
            <v>0</v>
          </cell>
          <cell r="Q697">
            <v>11908967</v>
          </cell>
          <cell r="R697">
            <v>0</v>
          </cell>
          <cell r="S697">
            <v>0</v>
          </cell>
          <cell r="T697">
            <v>339355877</v>
          </cell>
          <cell r="U697">
            <v>0</v>
          </cell>
          <cell r="V697">
            <v>0</v>
          </cell>
          <cell r="W697">
            <v>13446000</v>
          </cell>
          <cell r="X697">
            <v>7457230</v>
          </cell>
          <cell r="Y697">
            <v>0</v>
          </cell>
          <cell r="Z697">
            <v>0</v>
          </cell>
          <cell r="AA697">
            <v>221917841</v>
          </cell>
          <cell r="AB697">
            <v>0</v>
          </cell>
          <cell r="AC697">
            <v>406155345</v>
          </cell>
          <cell r="AD697">
            <v>0</v>
          </cell>
          <cell r="AE697">
            <v>178487502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</row>
        <row r="698">
          <cell r="A698">
            <v>103020100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91820394</v>
          </cell>
          <cell r="L698">
            <v>34867275</v>
          </cell>
          <cell r="M698">
            <v>463108464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324855960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24803462</v>
          </cell>
          <cell r="AB698">
            <v>0</v>
          </cell>
          <cell r="AC698">
            <v>406155345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</row>
        <row r="699">
          <cell r="A699">
            <v>103020101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49704691</v>
          </cell>
          <cell r="L699">
            <v>21730948</v>
          </cell>
          <cell r="M699">
            <v>109273128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81299385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</row>
        <row r="700">
          <cell r="A700">
            <v>103020102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24803462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</row>
        <row r="701">
          <cell r="A701">
            <v>103020103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42115703</v>
          </cell>
          <cell r="L701">
            <v>13136327</v>
          </cell>
          <cell r="M701">
            <v>353835336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324855960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324855960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</row>
        <row r="702">
          <cell r="A702">
            <v>103020104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</row>
        <row r="703">
          <cell r="A703">
            <v>103020105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</row>
        <row r="704">
          <cell r="A704">
            <v>103020200</v>
          </cell>
          <cell r="C704">
            <v>0</v>
          </cell>
          <cell r="D704">
            <v>175067243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272728</v>
          </cell>
          <cell r="P704">
            <v>0</v>
          </cell>
          <cell r="Q704">
            <v>1495512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2430000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</row>
        <row r="705">
          <cell r="A705">
            <v>103020201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</row>
        <row r="706">
          <cell r="A706">
            <v>103020202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</row>
        <row r="707">
          <cell r="A707">
            <v>103020203</v>
          </cell>
          <cell r="C707">
            <v>0</v>
          </cell>
          <cell r="D707">
            <v>44747328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1495512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</row>
        <row r="708">
          <cell r="A708">
            <v>103020204</v>
          </cell>
          <cell r="C708">
            <v>0</v>
          </cell>
          <cell r="D708">
            <v>202500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</row>
        <row r="709">
          <cell r="A709">
            <v>103020205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</row>
        <row r="710">
          <cell r="A710">
            <v>103020206</v>
          </cell>
          <cell r="C710">
            <v>0</v>
          </cell>
          <cell r="D710">
            <v>3462908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</row>
        <row r="711">
          <cell r="A711">
            <v>103020207</v>
          </cell>
          <cell r="C711">
            <v>0</v>
          </cell>
          <cell r="D711">
            <v>1404081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</row>
        <row r="712">
          <cell r="A712">
            <v>103020210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</row>
        <row r="713">
          <cell r="A713">
            <v>103020211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</row>
        <row r="714">
          <cell r="A714">
            <v>103020212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</row>
        <row r="715">
          <cell r="A715">
            <v>103020213</v>
          </cell>
          <cell r="C715">
            <v>0</v>
          </cell>
          <cell r="D715">
            <v>1491475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</row>
        <row r="716">
          <cell r="A716">
            <v>103020214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</row>
        <row r="717">
          <cell r="A717">
            <v>103020215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</row>
        <row r="718">
          <cell r="A718">
            <v>103020216</v>
          </cell>
          <cell r="C718">
            <v>0</v>
          </cell>
          <cell r="D718">
            <v>46364514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</row>
        <row r="719">
          <cell r="A719">
            <v>103020218</v>
          </cell>
          <cell r="C719">
            <v>0</v>
          </cell>
          <cell r="D719">
            <v>276759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</row>
        <row r="720">
          <cell r="A720">
            <v>103020219</v>
          </cell>
          <cell r="C720">
            <v>0</v>
          </cell>
          <cell r="D720">
            <v>167540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</row>
        <row r="721">
          <cell r="A721">
            <v>103020220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</row>
        <row r="722">
          <cell r="A722">
            <v>103020222</v>
          </cell>
          <cell r="C722">
            <v>0</v>
          </cell>
          <cell r="D722">
            <v>5567314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</row>
        <row r="723">
          <cell r="A723">
            <v>103020223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2430000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</row>
        <row r="724">
          <cell r="A724">
            <v>103020224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</row>
        <row r="725">
          <cell r="A725">
            <v>103020225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</row>
        <row r="726">
          <cell r="A726">
            <v>103020226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</row>
        <row r="727">
          <cell r="A727">
            <v>103020228</v>
          </cell>
          <cell r="C727">
            <v>0</v>
          </cell>
          <cell r="D727">
            <v>47317476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</row>
        <row r="728">
          <cell r="A728">
            <v>103020230</v>
          </cell>
          <cell r="C728">
            <v>0</v>
          </cell>
          <cell r="D728">
            <v>729550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</row>
        <row r="729">
          <cell r="A729">
            <v>103020231</v>
          </cell>
          <cell r="C729">
            <v>0</v>
          </cell>
          <cell r="D729">
            <v>22823698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</row>
        <row r="730">
          <cell r="A730">
            <v>103020234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</row>
        <row r="731">
          <cell r="A731">
            <v>103020236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</row>
        <row r="732">
          <cell r="A732">
            <v>103020238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</row>
        <row r="733">
          <cell r="A733">
            <v>103020243</v>
          </cell>
          <cell r="C733">
            <v>0</v>
          </cell>
          <cell r="D733">
            <v>40500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</row>
        <row r="734">
          <cell r="A734">
            <v>103020245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</row>
        <row r="735">
          <cell r="A735">
            <v>103020247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</row>
        <row r="736">
          <cell r="A736">
            <v>103020249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</row>
        <row r="737">
          <cell r="A737">
            <v>103020250</v>
          </cell>
          <cell r="C737">
            <v>0</v>
          </cell>
          <cell r="D737">
            <v>471600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272728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</row>
        <row r="738">
          <cell r="A738">
            <v>103020254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</row>
        <row r="739">
          <cell r="A739">
            <v>103020255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</row>
        <row r="740">
          <cell r="A740">
            <v>103020256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</row>
        <row r="741">
          <cell r="A741">
            <v>103020257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</row>
        <row r="742">
          <cell r="A742">
            <v>103020258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</row>
        <row r="743">
          <cell r="A743">
            <v>103020259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</row>
        <row r="744">
          <cell r="A744">
            <v>103020300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</row>
        <row r="745">
          <cell r="A745">
            <v>103020301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</row>
        <row r="746">
          <cell r="A746">
            <v>103020302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</row>
        <row r="747">
          <cell r="A747">
            <v>103020303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</row>
        <row r="748">
          <cell r="A748">
            <v>103020304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</row>
        <row r="749">
          <cell r="A749">
            <v>103020305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</row>
        <row r="750">
          <cell r="A750">
            <v>103020306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</row>
        <row r="751">
          <cell r="A751">
            <v>103020307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</row>
        <row r="752">
          <cell r="A752">
            <v>103020310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</row>
        <row r="753">
          <cell r="A753">
            <v>103020311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</row>
        <row r="754">
          <cell r="A754">
            <v>103020312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</row>
        <row r="755">
          <cell r="A755">
            <v>103020313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</row>
        <row r="756">
          <cell r="A756">
            <v>103020314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</row>
        <row r="757">
          <cell r="A757">
            <v>103020315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</row>
        <row r="758">
          <cell r="A758">
            <v>103020316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</row>
        <row r="759">
          <cell r="A759">
            <v>103020318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</row>
        <row r="760">
          <cell r="A760">
            <v>103020319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</row>
        <row r="761">
          <cell r="A761">
            <v>103020320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</row>
        <row r="762">
          <cell r="A762">
            <v>103020322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</row>
        <row r="763">
          <cell r="A763">
            <v>103020323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</row>
        <row r="764">
          <cell r="A764">
            <v>103020324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</row>
        <row r="765">
          <cell r="A765">
            <v>103020325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</row>
        <row r="766">
          <cell r="A766">
            <v>103020326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</row>
        <row r="767">
          <cell r="A767">
            <v>103020328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</row>
        <row r="768">
          <cell r="A768">
            <v>103020330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</row>
        <row r="769">
          <cell r="A769">
            <v>103020331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</row>
        <row r="770">
          <cell r="A770">
            <v>103020334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</row>
        <row r="771">
          <cell r="A771">
            <v>103020336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</row>
        <row r="772">
          <cell r="A772">
            <v>103020338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</row>
        <row r="773">
          <cell r="A773">
            <v>103020343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</row>
        <row r="774">
          <cell r="A774">
            <v>103020345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</row>
        <row r="775">
          <cell r="A775">
            <v>103020347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</row>
        <row r="776">
          <cell r="A776">
            <v>103020349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</row>
        <row r="777">
          <cell r="A777">
            <v>103020350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</row>
        <row r="778">
          <cell r="A778">
            <v>103020354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</row>
        <row r="779">
          <cell r="A779">
            <v>103020355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</row>
        <row r="780">
          <cell r="A780">
            <v>103020356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</row>
        <row r="781">
          <cell r="A781">
            <v>103020357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</row>
        <row r="782">
          <cell r="A782">
            <v>103020358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</row>
        <row r="783">
          <cell r="A783">
            <v>103020359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</row>
        <row r="784">
          <cell r="A784">
            <v>103020400</v>
          </cell>
          <cell r="C784">
            <v>0</v>
          </cell>
          <cell r="D784">
            <v>0</v>
          </cell>
          <cell r="E784">
            <v>2535000</v>
          </cell>
          <cell r="F784">
            <v>0</v>
          </cell>
          <cell r="G784">
            <v>0</v>
          </cell>
          <cell r="H784">
            <v>103723067</v>
          </cell>
          <cell r="I784">
            <v>400000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1766624561</v>
          </cell>
          <cell r="O784">
            <v>0</v>
          </cell>
          <cell r="P784">
            <v>0</v>
          </cell>
          <cell r="Q784">
            <v>5021602</v>
          </cell>
          <cell r="R784">
            <v>0</v>
          </cell>
          <cell r="S784">
            <v>0</v>
          </cell>
          <cell r="T784">
            <v>14499917</v>
          </cell>
          <cell r="U784">
            <v>0</v>
          </cell>
          <cell r="V784">
            <v>0</v>
          </cell>
          <cell r="W784">
            <v>11016000</v>
          </cell>
          <cell r="X784">
            <v>0</v>
          </cell>
          <cell r="Y784">
            <v>0</v>
          </cell>
          <cell r="Z784">
            <v>0</v>
          </cell>
          <cell r="AA784">
            <v>197114379</v>
          </cell>
          <cell r="AB784">
            <v>0</v>
          </cell>
          <cell r="AC784">
            <v>0</v>
          </cell>
          <cell r="AD784">
            <v>0</v>
          </cell>
          <cell r="AE784">
            <v>175487502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</row>
        <row r="785">
          <cell r="A785">
            <v>103020401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9167798</v>
          </cell>
          <cell r="I785">
            <v>60000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246591723</v>
          </cell>
          <cell r="O785">
            <v>0</v>
          </cell>
          <cell r="P785">
            <v>0</v>
          </cell>
          <cell r="Q785">
            <v>1174977</v>
          </cell>
          <cell r="R785">
            <v>0</v>
          </cell>
          <cell r="S785">
            <v>0</v>
          </cell>
          <cell r="T785">
            <v>14499917</v>
          </cell>
          <cell r="U785">
            <v>0</v>
          </cell>
          <cell r="V785">
            <v>0</v>
          </cell>
          <cell r="W785">
            <v>10567776</v>
          </cell>
          <cell r="X785">
            <v>0</v>
          </cell>
          <cell r="Y785">
            <v>0</v>
          </cell>
          <cell r="Z785">
            <v>0</v>
          </cell>
          <cell r="AA785">
            <v>167016502</v>
          </cell>
          <cell r="AB785">
            <v>0</v>
          </cell>
          <cell r="AC785">
            <v>0</v>
          </cell>
          <cell r="AD785">
            <v>0</v>
          </cell>
          <cell r="AE785">
            <v>5448132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</row>
        <row r="786">
          <cell r="A786">
            <v>103020402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1735243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11101520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</row>
        <row r="787">
          <cell r="A787">
            <v>103020403</v>
          </cell>
          <cell r="C787">
            <v>0</v>
          </cell>
          <cell r="D787">
            <v>0</v>
          </cell>
          <cell r="E787">
            <v>2535000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127090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</row>
        <row r="788">
          <cell r="A788">
            <v>103020404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33818769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189839131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7760017</v>
          </cell>
          <cell r="AB788">
            <v>0</v>
          </cell>
          <cell r="AC788">
            <v>0</v>
          </cell>
          <cell r="AD788">
            <v>0</v>
          </cell>
          <cell r="AE788">
            <v>119631662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</row>
        <row r="789">
          <cell r="A789">
            <v>103020405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</row>
        <row r="790">
          <cell r="A790">
            <v>103020406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2488888</v>
          </cell>
          <cell r="I790">
            <v>340000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535898778</v>
          </cell>
          <cell r="O790">
            <v>0</v>
          </cell>
          <cell r="P790">
            <v>0</v>
          </cell>
          <cell r="Q790">
            <v>2251592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1121281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</row>
        <row r="791">
          <cell r="A791">
            <v>103020407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47924123</v>
          </cell>
          <cell r="O791">
            <v>0</v>
          </cell>
          <cell r="P791">
            <v>0</v>
          </cell>
          <cell r="Q791">
            <v>268530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4826188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</row>
        <row r="792">
          <cell r="A792">
            <v>103020408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</row>
        <row r="793">
          <cell r="A793">
            <v>103020409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58247612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522124228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</row>
        <row r="794">
          <cell r="A794">
            <v>103020410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33785185</v>
          </cell>
          <cell r="O794">
            <v>0</v>
          </cell>
          <cell r="P794">
            <v>0</v>
          </cell>
          <cell r="Q794">
            <v>1326503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448224</v>
          </cell>
          <cell r="X794">
            <v>0</v>
          </cell>
          <cell r="Y794">
            <v>0</v>
          </cell>
          <cell r="Z794">
            <v>0</v>
          </cell>
          <cell r="AA794">
            <v>7009434</v>
          </cell>
          <cell r="AB794">
            <v>0</v>
          </cell>
          <cell r="AC794">
            <v>0</v>
          </cell>
          <cell r="AD794">
            <v>0</v>
          </cell>
          <cell r="AE794">
            <v>45581520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</row>
        <row r="795">
          <cell r="A795">
            <v>103020411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</row>
        <row r="796">
          <cell r="A796">
            <v>103020412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93621367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</row>
        <row r="797">
          <cell r="A797">
            <v>103020413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95104783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2978535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</row>
        <row r="798">
          <cell r="A798">
            <v>103020500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5391853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7457230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</row>
        <row r="799">
          <cell r="A799">
            <v>103020501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</row>
        <row r="800">
          <cell r="A800">
            <v>103020502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</row>
        <row r="801">
          <cell r="A801">
            <v>103020503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</row>
        <row r="802">
          <cell r="A802">
            <v>103020504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</row>
        <row r="803">
          <cell r="A803">
            <v>103020505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</row>
        <row r="804">
          <cell r="A804">
            <v>103020506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6762480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</row>
        <row r="805">
          <cell r="A805">
            <v>103020507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</row>
        <row r="806">
          <cell r="A806">
            <v>103020510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</row>
        <row r="807">
          <cell r="A807">
            <v>103020511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</row>
        <row r="808">
          <cell r="A808">
            <v>103020512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</row>
        <row r="809">
          <cell r="A809">
            <v>103020513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</row>
        <row r="810">
          <cell r="A810">
            <v>103020514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</row>
        <row r="811">
          <cell r="A811">
            <v>103020515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</row>
        <row r="812">
          <cell r="A812">
            <v>103020516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</row>
        <row r="813">
          <cell r="A813">
            <v>103020518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</row>
        <row r="814">
          <cell r="A814">
            <v>103020519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</row>
        <row r="815">
          <cell r="A815">
            <v>103020520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694750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</row>
        <row r="816">
          <cell r="A816">
            <v>103020522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</row>
        <row r="817">
          <cell r="A817">
            <v>103020523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</row>
        <row r="818">
          <cell r="A818">
            <v>103020524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</row>
        <row r="819">
          <cell r="A819">
            <v>103020525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</row>
        <row r="820">
          <cell r="A820">
            <v>103020526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</row>
        <row r="821">
          <cell r="A821">
            <v>103020528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</row>
        <row r="822">
          <cell r="A822">
            <v>103020530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5391853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</row>
        <row r="823">
          <cell r="A823">
            <v>103020531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</row>
        <row r="824">
          <cell r="A824">
            <v>103020534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</row>
        <row r="825">
          <cell r="A825">
            <v>103020536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</row>
        <row r="826">
          <cell r="A826">
            <v>103020538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</row>
        <row r="827">
          <cell r="A827">
            <v>103020543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</row>
        <row r="828">
          <cell r="A828">
            <v>103020545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</row>
        <row r="829">
          <cell r="A829">
            <v>103020547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</row>
        <row r="830">
          <cell r="A830">
            <v>103020549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</row>
        <row r="831">
          <cell r="A831">
            <v>103020550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</row>
        <row r="832">
          <cell r="A832">
            <v>103020554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</row>
        <row r="833">
          <cell r="A833">
            <v>103020555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</row>
        <row r="834">
          <cell r="A834">
            <v>103020556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</row>
        <row r="835">
          <cell r="A835">
            <v>103020557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</row>
        <row r="836">
          <cell r="A836">
            <v>103020558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</row>
        <row r="837">
          <cell r="A837">
            <v>103020559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</row>
        <row r="838">
          <cell r="A838">
            <v>103020600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3000000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</row>
        <row r="839">
          <cell r="A839">
            <v>103020601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</row>
        <row r="840">
          <cell r="A840">
            <v>103020602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</row>
        <row r="841">
          <cell r="A841">
            <v>103020603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3000000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</row>
        <row r="842">
          <cell r="A842">
            <v>103020604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</row>
        <row r="843">
          <cell r="A843">
            <v>103020605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</row>
        <row r="844">
          <cell r="A844">
            <v>103020606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</row>
        <row r="845">
          <cell r="A845">
            <v>103020607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</row>
        <row r="846">
          <cell r="A846">
            <v>103020608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</row>
        <row r="847">
          <cell r="A847">
            <v>103020609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</row>
        <row r="848">
          <cell r="A848">
            <v>103020700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</row>
        <row r="849">
          <cell r="A849">
            <v>103020701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</row>
        <row r="850">
          <cell r="A850">
            <v>103020702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</row>
        <row r="851">
          <cell r="A851">
            <v>103020703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</row>
        <row r="852">
          <cell r="A852">
            <v>103020704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</row>
        <row r="853">
          <cell r="A853">
            <v>103020705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</row>
        <row r="854">
          <cell r="A854">
            <v>103020706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</row>
        <row r="855">
          <cell r="A855">
            <v>103020707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</row>
        <row r="856">
          <cell r="A856">
            <v>103020710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</row>
        <row r="857">
          <cell r="A857">
            <v>103020711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</row>
        <row r="858">
          <cell r="A858">
            <v>103020712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</row>
        <row r="859">
          <cell r="A859">
            <v>103020713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</row>
        <row r="860">
          <cell r="A860">
            <v>103020714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</row>
        <row r="861">
          <cell r="A861">
            <v>103020715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</row>
        <row r="862">
          <cell r="A862">
            <v>103020716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</row>
        <row r="863">
          <cell r="A863">
            <v>103020718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</row>
        <row r="864">
          <cell r="A864">
            <v>103020719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</row>
        <row r="865">
          <cell r="A865">
            <v>103020720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</row>
        <row r="866">
          <cell r="A866">
            <v>103020722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</row>
        <row r="867">
          <cell r="A867">
            <v>103020723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</row>
        <row r="868">
          <cell r="A868">
            <v>103020724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</row>
        <row r="869">
          <cell r="A869">
            <v>103020725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</row>
        <row r="870">
          <cell r="A870">
            <v>103020726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</row>
        <row r="871">
          <cell r="A871">
            <v>103020728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</row>
        <row r="872">
          <cell r="A872">
            <v>103020730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</row>
        <row r="873">
          <cell r="A873">
            <v>103020731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</row>
        <row r="874">
          <cell r="A874">
            <v>103020734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</row>
        <row r="875">
          <cell r="A875">
            <v>103020736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</row>
        <row r="876">
          <cell r="A876">
            <v>103020738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</row>
        <row r="877">
          <cell r="A877">
            <v>103020743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</row>
        <row r="878">
          <cell r="A878">
            <v>103020745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</row>
        <row r="879">
          <cell r="A879">
            <v>103020747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</row>
        <row r="880">
          <cell r="A880">
            <v>103020749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</row>
        <row r="881">
          <cell r="A881">
            <v>103020750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</row>
        <row r="882">
          <cell r="A882">
            <v>103020754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</row>
        <row r="883">
          <cell r="A883">
            <v>103020755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</row>
        <row r="884">
          <cell r="A884">
            <v>103020756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</row>
        <row r="885">
          <cell r="A885">
            <v>103020757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</row>
        <row r="886">
          <cell r="A886">
            <v>103020758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</row>
        <row r="887">
          <cell r="A887">
            <v>103020759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</row>
        <row r="888">
          <cell r="A888">
            <v>103030000</v>
          </cell>
          <cell r="C888">
            <v>11511771</v>
          </cell>
          <cell r="D888">
            <v>7221186</v>
          </cell>
          <cell r="E888">
            <v>0</v>
          </cell>
          <cell r="F888">
            <v>67445053</v>
          </cell>
          <cell r="G888">
            <v>0</v>
          </cell>
          <cell r="H888">
            <v>0</v>
          </cell>
          <cell r="I888">
            <v>53931702</v>
          </cell>
          <cell r="J888">
            <v>0</v>
          </cell>
          <cell r="K888">
            <v>11382346</v>
          </cell>
          <cell r="L888">
            <v>5005067</v>
          </cell>
          <cell r="M888">
            <v>17610950</v>
          </cell>
          <cell r="N888">
            <v>0</v>
          </cell>
          <cell r="O888">
            <v>14693946</v>
          </cell>
          <cell r="P888">
            <v>38677870</v>
          </cell>
          <cell r="Q888">
            <v>0</v>
          </cell>
          <cell r="R888">
            <v>28737000</v>
          </cell>
          <cell r="S888">
            <v>0</v>
          </cell>
          <cell r="T888">
            <v>0</v>
          </cell>
          <cell r="U888">
            <v>0</v>
          </cell>
          <cell r="V888">
            <v>1702002</v>
          </cell>
          <cell r="W888">
            <v>27817724</v>
          </cell>
          <cell r="X888">
            <v>101973631</v>
          </cell>
          <cell r="Y888">
            <v>19551044</v>
          </cell>
          <cell r="Z888">
            <v>4500265</v>
          </cell>
          <cell r="AA888">
            <v>19066325</v>
          </cell>
          <cell r="AB888">
            <v>388089513</v>
          </cell>
          <cell r="AC888">
            <v>0</v>
          </cell>
          <cell r="AD888">
            <v>49583495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</row>
        <row r="889">
          <cell r="A889">
            <v>103030100</v>
          </cell>
          <cell r="C889">
            <v>11511771</v>
          </cell>
          <cell r="D889">
            <v>7221186</v>
          </cell>
          <cell r="E889">
            <v>0</v>
          </cell>
          <cell r="F889">
            <v>1356152</v>
          </cell>
          <cell r="G889">
            <v>0</v>
          </cell>
          <cell r="H889">
            <v>0</v>
          </cell>
          <cell r="I889">
            <v>30592822</v>
          </cell>
          <cell r="J889">
            <v>0</v>
          </cell>
          <cell r="K889">
            <v>0</v>
          </cell>
          <cell r="L889">
            <v>5005067</v>
          </cell>
          <cell r="M889">
            <v>17610950</v>
          </cell>
          <cell r="N889">
            <v>0</v>
          </cell>
          <cell r="O889">
            <v>14693946</v>
          </cell>
          <cell r="P889">
            <v>38677870</v>
          </cell>
          <cell r="Q889">
            <v>0</v>
          </cell>
          <cell r="R889">
            <v>28737000</v>
          </cell>
          <cell r="S889">
            <v>0</v>
          </cell>
          <cell r="T889">
            <v>0</v>
          </cell>
          <cell r="U889">
            <v>0</v>
          </cell>
          <cell r="V889">
            <v>1702002</v>
          </cell>
          <cell r="W889">
            <v>27317330</v>
          </cell>
          <cell r="X889">
            <v>101521531</v>
          </cell>
          <cell r="Y889">
            <v>0</v>
          </cell>
          <cell r="Z889">
            <v>4500265</v>
          </cell>
          <cell r="AA889">
            <v>0</v>
          </cell>
          <cell r="AB889">
            <v>246796420</v>
          </cell>
          <cell r="AC889">
            <v>0</v>
          </cell>
          <cell r="AD889">
            <v>49583495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</row>
        <row r="890">
          <cell r="A890">
            <v>103030101</v>
          </cell>
          <cell r="C890">
            <v>1935737</v>
          </cell>
          <cell r="D890">
            <v>7221186</v>
          </cell>
          <cell r="E890">
            <v>0</v>
          </cell>
          <cell r="F890">
            <v>545678</v>
          </cell>
          <cell r="G890">
            <v>0</v>
          </cell>
          <cell r="H890">
            <v>0</v>
          </cell>
          <cell r="I890">
            <v>10998352</v>
          </cell>
          <cell r="J890">
            <v>0</v>
          </cell>
          <cell r="K890">
            <v>0</v>
          </cell>
          <cell r="L890">
            <v>5005067</v>
          </cell>
          <cell r="M890">
            <v>120803</v>
          </cell>
          <cell r="N890">
            <v>0</v>
          </cell>
          <cell r="O890">
            <v>830623</v>
          </cell>
          <cell r="P890">
            <v>3966774</v>
          </cell>
          <cell r="Q890">
            <v>0</v>
          </cell>
          <cell r="R890">
            <v>21608373</v>
          </cell>
          <cell r="S890">
            <v>0</v>
          </cell>
          <cell r="T890">
            <v>0</v>
          </cell>
          <cell r="U890">
            <v>0</v>
          </cell>
          <cell r="V890">
            <v>83276</v>
          </cell>
          <cell r="W890">
            <v>22923400</v>
          </cell>
          <cell r="X890">
            <v>10898436</v>
          </cell>
          <cell r="Y890">
            <v>0</v>
          </cell>
          <cell r="Z890">
            <v>2098205</v>
          </cell>
          <cell r="AA890">
            <v>0</v>
          </cell>
          <cell r="AB890">
            <v>48721339</v>
          </cell>
          <cell r="AC890">
            <v>0</v>
          </cell>
          <cell r="AD890">
            <v>858136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</row>
        <row r="891">
          <cell r="A891">
            <v>103030102</v>
          </cell>
          <cell r="C891">
            <v>17375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160087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3015114</v>
          </cell>
          <cell r="Q891">
            <v>0</v>
          </cell>
          <cell r="R891">
            <v>4522727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1698510</v>
          </cell>
          <cell r="X891">
            <v>0</v>
          </cell>
          <cell r="Y891">
            <v>0</v>
          </cell>
          <cell r="Z891">
            <v>642060</v>
          </cell>
          <cell r="AA891">
            <v>0</v>
          </cell>
          <cell r="AB891">
            <v>12725340</v>
          </cell>
          <cell r="AC891">
            <v>0</v>
          </cell>
          <cell r="AD891">
            <v>12327600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</row>
        <row r="892">
          <cell r="A892">
            <v>103030103</v>
          </cell>
          <cell r="C892">
            <v>0</v>
          </cell>
          <cell r="D892">
            <v>0</v>
          </cell>
          <cell r="E892">
            <v>0</v>
          </cell>
          <cell r="F892">
            <v>8404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32441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30622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6962936</v>
          </cell>
          <cell r="AC892">
            <v>0</v>
          </cell>
          <cell r="AD892">
            <v>417955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</row>
        <row r="893">
          <cell r="A893">
            <v>103030104</v>
          </cell>
          <cell r="C893">
            <v>9124081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19434383</v>
          </cell>
          <cell r="J893">
            <v>0</v>
          </cell>
          <cell r="K893">
            <v>0</v>
          </cell>
          <cell r="L893">
            <v>0</v>
          </cell>
          <cell r="M893">
            <v>17438285</v>
          </cell>
          <cell r="N893">
            <v>0</v>
          </cell>
          <cell r="O893">
            <v>0</v>
          </cell>
          <cell r="P893">
            <v>3815685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2664796</v>
          </cell>
          <cell r="X893">
            <v>64418086</v>
          </cell>
          <cell r="Y893">
            <v>0</v>
          </cell>
          <cell r="Z893">
            <v>1760000</v>
          </cell>
          <cell r="AA893">
            <v>0</v>
          </cell>
          <cell r="AB893">
            <v>118930878</v>
          </cell>
          <cell r="AC893">
            <v>0</v>
          </cell>
          <cell r="AD893">
            <v>15705806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</row>
        <row r="894">
          <cell r="A894">
            <v>103030105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</row>
        <row r="895">
          <cell r="A895">
            <v>103030106</v>
          </cell>
          <cell r="C895">
            <v>434566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4926203</v>
          </cell>
          <cell r="Q895">
            <v>0</v>
          </cell>
          <cell r="R895">
            <v>2035000</v>
          </cell>
          <cell r="S895">
            <v>0</v>
          </cell>
          <cell r="T895">
            <v>0</v>
          </cell>
          <cell r="U895">
            <v>0</v>
          </cell>
          <cell r="V895">
            <v>1618726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7067017</v>
          </cell>
          <cell r="AC895">
            <v>0</v>
          </cell>
          <cell r="AD895">
            <v>8946650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</row>
        <row r="896">
          <cell r="A896">
            <v>103030107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156000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</row>
        <row r="897">
          <cell r="A897">
            <v>103030108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</row>
        <row r="898">
          <cell r="A898">
            <v>103030109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</row>
        <row r="899">
          <cell r="A899">
            <v>103030110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1572256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</row>
        <row r="900">
          <cell r="A900">
            <v>103030111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4708440</v>
          </cell>
          <cell r="Y900">
            <v>0</v>
          </cell>
          <cell r="Z900">
            <v>0</v>
          </cell>
          <cell r="AA900">
            <v>0</v>
          </cell>
          <cell r="AB900">
            <v>5539717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</row>
        <row r="901">
          <cell r="A901">
            <v>103030112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3205306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2</v>
          </cell>
          <cell r="X901">
            <v>818993</v>
          </cell>
          <cell r="Y901">
            <v>0</v>
          </cell>
          <cell r="Z901">
            <v>0</v>
          </cell>
          <cell r="AA901">
            <v>0</v>
          </cell>
          <cell r="AB901">
            <v>23651221</v>
          </cell>
          <cell r="AC901">
            <v>0</v>
          </cell>
          <cell r="AD901">
            <v>8144460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</row>
        <row r="902">
          <cell r="A902">
            <v>103030113</v>
          </cell>
          <cell r="C902">
            <v>12</v>
          </cell>
          <cell r="D902">
            <v>0</v>
          </cell>
          <cell r="E902">
            <v>0</v>
          </cell>
          <cell r="F902">
            <v>802070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19421</v>
          </cell>
          <cell r="N902">
            <v>0</v>
          </cell>
          <cell r="O902">
            <v>13863323</v>
          </cell>
          <cell r="P902">
            <v>19748788</v>
          </cell>
          <cell r="Q902">
            <v>0</v>
          </cell>
          <cell r="R902">
            <v>570900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20677576</v>
          </cell>
          <cell r="Y902">
            <v>0</v>
          </cell>
          <cell r="Z902">
            <v>0</v>
          </cell>
          <cell r="AA902">
            <v>0</v>
          </cell>
          <cell r="AB902">
            <v>21469716</v>
          </cell>
          <cell r="AC902">
            <v>0</v>
          </cell>
          <cell r="AD902">
            <v>3182888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</row>
        <row r="903">
          <cell r="A903">
            <v>103030200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15919812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141293093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</row>
        <row r="904">
          <cell r="A904">
            <v>103030201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</row>
        <row r="905">
          <cell r="A905">
            <v>103030202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</row>
        <row r="906">
          <cell r="A906">
            <v>103030203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15919812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141293093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</row>
        <row r="907">
          <cell r="A907">
            <v>103030204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</row>
        <row r="908">
          <cell r="A908">
            <v>103030205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</row>
        <row r="909">
          <cell r="A909">
            <v>103030206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</row>
        <row r="910">
          <cell r="A910">
            <v>103030207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</row>
        <row r="911">
          <cell r="A911">
            <v>103030208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</row>
        <row r="912">
          <cell r="A912">
            <v>103030209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</row>
        <row r="913">
          <cell r="A913">
            <v>103030300</v>
          </cell>
          <cell r="C913">
            <v>0</v>
          </cell>
          <cell r="D913">
            <v>0</v>
          </cell>
          <cell r="E913">
            <v>0</v>
          </cell>
          <cell r="F913">
            <v>66088901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11382346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500394</v>
          </cell>
          <cell r="X913">
            <v>0</v>
          </cell>
          <cell r="Y913">
            <v>19551044</v>
          </cell>
          <cell r="Z913">
            <v>0</v>
          </cell>
          <cell r="AA913">
            <v>19066325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</row>
        <row r="914">
          <cell r="A914">
            <v>103030301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209772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-1709088</v>
          </cell>
          <cell r="X914">
            <v>0</v>
          </cell>
          <cell r="Y914">
            <v>2998753</v>
          </cell>
          <cell r="Z914">
            <v>0</v>
          </cell>
          <cell r="AA914">
            <v>113312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</row>
        <row r="915">
          <cell r="A915">
            <v>103030302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</row>
        <row r="916">
          <cell r="A916">
            <v>103030303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20715</v>
          </cell>
          <cell r="Z916">
            <v>0</v>
          </cell>
          <cell r="AA916">
            <v>32441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</row>
        <row r="917">
          <cell r="A917">
            <v>103030304</v>
          </cell>
          <cell r="C917">
            <v>0</v>
          </cell>
          <cell r="D917">
            <v>0</v>
          </cell>
          <cell r="E917">
            <v>0</v>
          </cell>
          <cell r="F917">
            <v>66088901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11172574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2209482</v>
          </cell>
          <cell r="X917">
            <v>0</v>
          </cell>
          <cell r="Y917">
            <v>16478680</v>
          </cell>
          <cell r="Z917">
            <v>0</v>
          </cell>
          <cell r="AA917">
            <v>18901151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</row>
        <row r="918">
          <cell r="A918">
            <v>103030305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</row>
        <row r="919">
          <cell r="A919">
            <v>103030306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33475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</row>
        <row r="920">
          <cell r="A920">
            <v>103030307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</row>
        <row r="921">
          <cell r="A921">
            <v>103030308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</row>
        <row r="922">
          <cell r="A922">
            <v>103030309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</row>
        <row r="923">
          <cell r="A923">
            <v>103030310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</row>
        <row r="924">
          <cell r="A924">
            <v>103030311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</row>
        <row r="925">
          <cell r="A925">
            <v>103030312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</row>
        <row r="926">
          <cell r="A926">
            <v>103030313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19421</v>
          </cell>
          <cell r="Z926">
            <v>0</v>
          </cell>
          <cell r="AA926">
            <v>19421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</row>
        <row r="927">
          <cell r="A927">
            <v>103030400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</row>
        <row r="928">
          <cell r="A928">
            <v>103030401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</row>
        <row r="929">
          <cell r="A929">
            <v>103030402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</row>
        <row r="930">
          <cell r="A930">
            <v>103030403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</row>
        <row r="931">
          <cell r="A931">
            <v>103030404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</row>
        <row r="932">
          <cell r="A932">
            <v>103030405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</row>
        <row r="933">
          <cell r="A933">
            <v>103030406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</row>
        <row r="934">
          <cell r="A934">
            <v>103030407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</row>
        <row r="935">
          <cell r="A935">
            <v>103030408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</row>
        <row r="936">
          <cell r="A936">
            <v>103030409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</row>
        <row r="937">
          <cell r="A937">
            <v>103032000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7419068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452100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</row>
        <row r="938">
          <cell r="A938">
            <v>103032001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7419068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452100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</row>
        <row r="939">
          <cell r="A939">
            <v>103032100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A940">
            <v>103032101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</row>
        <row r="941">
          <cell r="A941">
            <v>103040000</v>
          </cell>
          <cell r="C941">
            <v>576613156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59544729</v>
          </cell>
          <cell r="O941">
            <v>0</v>
          </cell>
          <cell r="P941">
            <v>0</v>
          </cell>
          <cell r="Q941">
            <v>0</v>
          </cell>
          <cell r="R941">
            <v>37500000</v>
          </cell>
          <cell r="S941">
            <v>0</v>
          </cell>
          <cell r="T941">
            <v>719693887</v>
          </cell>
          <cell r="U941">
            <v>0</v>
          </cell>
          <cell r="V941">
            <v>0</v>
          </cell>
          <cell r="W941">
            <v>0</v>
          </cell>
          <cell r="X941">
            <v>37492990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3144687426</v>
          </cell>
          <cell r="AF941">
            <v>9003823</v>
          </cell>
          <cell r="AG941">
            <v>75217400</v>
          </cell>
          <cell r="AH941">
            <v>59500000</v>
          </cell>
          <cell r="AI941">
            <v>0</v>
          </cell>
        </row>
        <row r="942">
          <cell r="A942">
            <v>103040100</v>
          </cell>
          <cell r="C942">
            <v>576613156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3">
          <cell r="A943">
            <v>103040101</v>
          </cell>
          <cell r="C943">
            <v>305832707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</row>
        <row r="944">
          <cell r="A944">
            <v>103040102</v>
          </cell>
          <cell r="C944">
            <v>11757406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</row>
        <row r="945">
          <cell r="A945">
            <v>103040103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</row>
        <row r="946">
          <cell r="A946">
            <v>103040104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</row>
        <row r="947">
          <cell r="A947">
            <v>103040105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</row>
        <row r="948">
          <cell r="A948">
            <v>103040106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49">
          <cell r="A949">
            <v>103040107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</row>
        <row r="950">
          <cell r="A950">
            <v>103040108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</row>
        <row r="951">
          <cell r="A951">
            <v>103040109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</row>
        <row r="952">
          <cell r="A952">
            <v>103040110</v>
          </cell>
          <cell r="C952">
            <v>153641396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</row>
        <row r="953">
          <cell r="A953">
            <v>103040111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</row>
        <row r="954">
          <cell r="A954">
            <v>103040112</v>
          </cell>
          <cell r="C954">
            <v>218181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</row>
        <row r="955">
          <cell r="A955">
            <v>103040113</v>
          </cell>
          <cell r="C955">
            <v>105163466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</row>
        <row r="956">
          <cell r="A956">
            <v>103040200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</row>
        <row r="957">
          <cell r="A957">
            <v>103040201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</row>
        <row r="958">
          <cell r="A958">
            <v>103040202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A959">
            <v>103040203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A960">
            <v>103040204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A961">
            <v>103040205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A962">
            <v>103040206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A963">
            <v>103040207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4">
          <cell r="A964">
            <v>103040208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</row>
        <row r="965">
          <cell r="A965">
            <v>103040209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</row>
        <row r="966">
          <cell r="A966">
            <v>103040300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59544729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</row>
        <row r="967">
          <cell r="A967">
            <v>103040301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59544729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</row>
        <row r="968">
          <cell r="A968">
            <v>103040302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</row>
        <row r="969">
          <cell r="A969">
            <v>103040303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</row>
        <row r="970">
          <cell r="A970">
            <v>103040304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</row>
        <row r="971">
          <cell r="A971">
            <v>103040305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</row>
        <row r="972">
          <cell r="A972">
            <v>103040306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</row>
        <row r="973">
          <cell r="A973">
            <v>103040307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</row>
        <row r="974">
          <cell r="A974">
            <v>103040308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</row>
        <row r="975">
          <cell r="A975">
            <v>103040309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</row>
        <row r="976">
          <cell r="A976">
            <v>103040310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</row>
        <row r="977">
          <cell r="A977">
            <v>103040311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</row>
        <row r="978">
          <cell r="A978">
            <v>103040312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</row>
        <row r="979">
          <cell r="A979">
            <v>103040313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</row>
        <row r="980">
          <cell r="A980">
            <v>103040400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</row>
        <row r="981">
          <cell r="A981">
            <v>103040401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</row>
        <row r="982">
          <cell r="A982">
            <v>103040402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</row>
        <row r="983">
          <cell r="A983">
            <v>103040403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</row>
        <row r="984">
          <cell r="A984">
            <v>103040404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</row>
        <row r="985">
          <cell r="A985">
            <v>103040405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</row>
        <row r="986">
          <cell r="A986">
            <v>103040406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</row>
        <row r="987">
          <cell r="A987">
            <v>103040407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</row>
        <row r="988">
          <cell r="A988">
            <v>103040408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</row>
        <row r="989">
          <cell r="A989">
            <v>103040409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</row>
        <row r="990">
          <cell r="A990">
            <v>103040500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</row>
        <row r="991">
          <cell r="A991">
            <v>103040501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</row>
        <row r="992">
          <cell r="A992">
            <v>103040502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</row>
        <row r="993">
          <cell r="A993">
            <v>103040503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</row>
        <row r="994">
          <cell r="A994">
            <v>103040504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</row>
        <row r="995">
          <cell r="A995">
            <v>103040505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</row>
        <row r="996">
          <cell r="A996">
            <v>103040506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</row>
        <row r="997">
          <cell r="A997">
            <v>103040507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</row>
        <row r="998">
          <cell r="A998">
            <v>103040508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</row>
        <row r="999">
          <cell r="A999">
            <v>103040509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</row>
        <row r="1000">
          <cell r="A1000">
            <v>103040510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</row>
        <row r="1001">
          <cell r="A1001">
            <v>103040511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</row>
        <row r="1002">
          <cell r="A1002">
            <v>103040512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</row>
        <row r="1003">
          <cell r="A1003">
            <v>103040513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</row>
        <row r="1004">
          <cell r="A1004">
            <v>103040600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</row>
        <row r="1005">
          <cell r="A1005">
            <v>103040601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</row>
        <row r="1006">
          <cell r="A1006">
            <v>103040602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</row>
        <row r="1007">
          <cell r="A1007">
            <v>103040603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</row>
        <row r="1008">
          <cell r="A1008">
            <v>103040604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</row>
        <row r="1009">
          <cell r="A1009">
            <v>103040605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</row>
        <row r="1010">
          <cell r="A1010">
            <v>103040606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</row>
        <row r="1011">
          <cell r="A1011">
            <v>103040607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</row>
        <row r="1012">
          <cell r="A1012">
            <v>103040608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</row>
        <row r="1013">
          <cell r="A1013">
            <v>103040609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</row>
        <row r="1014">
          <cell r="A1014">
            <v>103040700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</row>
        <row r="1015">
          <cell r="A1015">
            <v>103040701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</row>
        <row r="1016">
          <cell r="A1016">
            <v>103040702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</row>
        <row r="1017">
          <cell r="A1017">
            <v>103040703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</row>
        <row r="1018">
          <cell r="A1018">
            <v>103040704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</row>
        <row r="1019">
          <cell r="A1019">
            <v>103040705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</row>
        <row r="1020">
          <cell r="A1020">
            <v>103040706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</row>
        <row r="1021">
          <cell r="A1021">
            <v>103040707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</row>
        <row r="1022">
          <cell r="A1022">
            <v>103040708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</row>
        <row r="1023">
          <cell r="A1023">
            <v>103040709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</row>
        <row r="1024">
          <cell r="A1024">
            <v>103040710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</row>
        <row r="1025">
          <cell r="A1025">
            <v>103040711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</row>
        <row r="1026">
          <cell r="A1026">
            <v>103040712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</row>
        <row r="1027">
          <cell r="A1027">
            <v>103040713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</row>
        <row r="1028">
          <cell r="A1028">
            <v>103040800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</row>
        <row r="1029">
          <cell r="A1029">
            <v>103040801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</row>
        <row r="1030">
          <cell r="A1030">
            <v>103040802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</row>
        <row r="1031">
          <cell r="A1031">
            <v>103040803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</row>
        <row r="1032">
          <cell r="A1032">
            <v>103040804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</row>
        <row r="1033">
          <cell r="A1033">
            <v>103040805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</row>
        <row r="1034">
          <cell r="A1034">
            <v>103040806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</row>
        <row r="1035">
          <cell r="A1035">
            <v>103040807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</row>
        <row r="1036">
          <cell r="A1036">
            <v>103040808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</row>
        <row r="1037">
          <cell r="A1037">
            <v>103040809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</row>
        <row r="1038">
          <cell r="A1038">
            <v>103040810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</row>
        <row r="1039">
          <cell r="A1039">
            <v>103040811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</row>
        <row r="1040">
          <cell r="A1040">
            <v>103040812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</row>
        <row r="1041">
          <cell r="A1041">
            <v>103040813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</row>
        <row r="1042">
          <cell r="A1042">
            <v>103040900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</row>
        <row r="1043">
          <cell r="A1043">
            <v>103040901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</row>
        <row r="1044">
          <cell r="A1044">
            <v>103040902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</row>
        <row r="1045">
          <cell r="A1045">
            <v>103040903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</row>
        <row r="1046">
          <cell r="A1046">
            <v>103040904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</row>
        <row r="1047">
          <cell r="A1047">
            <v>103040905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</row>
        <row r="1048">
          <cell r="A1048">
            <v>103040906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</row>
        <row r="1049">
          <cell r="A1049">
            <v>103040907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</row>
        <row r="1050">
          <cell r="A1050">
            <v>103040908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</row>
        <row r="1051">
          <cell r="A1051">
            <v>103040909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</row>
        <row r="1052">
          <cell r="A1052">
            <v>103041000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</row>
        <row r="1053">
          <cell r="A1053">
            <v>103041001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</row>
        <row r="1054">
          <cell r="A1054">
            <v>103041002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</row>
        <row r="1055">
          <cell r="A1055">
            <v>103041003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</row>
        <row r="1056">
          <cell r="A1056">
            <v>103041004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</row>
        <row r="1057">
          <cell r="A1057">
            <v>103041005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</row>
        <row r="1058">
          <cell r="A1058">
            <v>103041006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</row>
        <row r="1059">
          <cell r="A1059">
            <v>103041007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</row>
        <row r="1060">
          <cell r="A1060">
            <v>103041008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</row>
        <row r="1061">
          <cell r="A1061">
            <v>103041009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</row>
        <row r="1062">
          <cell r="A1062">
            <v>103042000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37500000</v>
          </cell>
          <cell r="S1062">
            <v>0</v>
          </cell>
          <cell r="T1062">
            <v>719693887</v>
          </cell>
          <cell r="U1062">
            <v>0</v>
          </cell>
          <cell r="V1062">
            <v>0</v>
          </cell>
          <cell r="W1062">
            <v>0</v>
          </cell>
          <cell r="X1062">
            <v>37492990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3144687426</v>
          </cell>
          <cell r="AF1062">
            <v>0</v>
          </cell>
          <cell r="AG1062">
            <v>75217400</v>
          </cell>
          <cell r="AH1062">
            <v>59500000</v>
          </cell>
          <cell r="AI1062">
            <v>0</v>
          </cell>
        </row>
        <row r="1063">
          <cell r="A1063">
            <v>103042001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37500000</v>
          </cell>
          <cell r="S1063">
            <v>0</v>
          </cell>
          <cell r="T1063">
            <v>719693887</v>
          </cell>
          <cell r="U1063">
            <v>0</v>
          </cell>
          <cell r="V1063">
            <v>0</v>
          </cell>
          <cell r="W1063">
            <v>0</v>
          </cell>
          <cell r="X1063">
            <v>37492990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3144687426</v>
          </cell>
          <cell r="AF1063">
            <v>0</v>
          </cell>
          <cell r="AG1063">
            <v>75217400</v>
          </cell>
          <cell r="AH1063">
            <v>59500000</v>
          </cell>
          <cell r="AI1063">
            <v>0</v>
          </cell>
        </row>
        <row r="1064">
          <cell r="A1064">
            <v>103042100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9003823</v>
          </cell>
          <cell r="AG1064">
            <v>0</v>
          </cell>
          <cell r="AH1064">
            <v>0</v>
          </cell>
          <cell r="AI1064">
            <v>0</v>
          </cell>
        </row>
        <row r="1065">
          <cell r="A1065">
            <v>103042101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9003823</v>
          </cell>
          <cell r="AG1065">
            <v>0</v>
          </cell>
          <cell r="AH1065">
            <v>0</v>
          </cell>
          <cell r="AI1065">
            <v>0</v>
          </cell>
        </row>
        <row r="1066">
          <cell r="A1066">
            <v>103050000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43947589</v>
          </cell>
          <cell r="H1066">
            <v>388606906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844334620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25297612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2265459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</row>
        <row r="1067">
          <cell r="A1067">
            <v>103050200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43947589</v>
          </cell>
          <cell r="H1067">
            <v>388606906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844334620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25297612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2265459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</row>
        <row r="1068">
          <cell r="A1068">
            <v>103050201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43947589</v>
          </cell>
          <cell r="H1068">
            <v>388606906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844334620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25297612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2265459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</row>
        <row r="1069">
          <cell r="A1069">
            <v>103060000</v>
          </cell>
          <cell r="C1069">
            <v>22401</v>
          </cell>
          <cell r="D1069">
            <v>23639</v>
          </cell>
          <cell r="E1069">
            <v>0</v>
          </cell>
          <cell r="F1069">
            <v>72562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123764</v>
          </cell>
          <cell r="M1069">
            <v>78015</v>
          </cell>
          <cell r="N1069">
            <v>0</v>
          </cell>
          <cell r="O1069">
            <v>36473</v>
          </cell>
          <cell r="P1069">
            <v>325591</v>
          </cell>
          <cell r="Q1069">
            <v>0</v>
          </cell>
          <cell r="R1069">
            <v>5047596</v>
          </cell>
          <cell r="S1069">
            <v>0</v>
          </cell>
          <cell r="T1069">
            <v>122512304</v>
          </cell>
          <cell r="U1069">
            <v>0</v>
          </cell>
          <cell r="V1069">
            <v>963080</v>
          </cell>
          <cell r="W1069">
            <v>76852</v>
          </cell>
          <cell r="X1069">
            <v>0</v>
          </cell>
          <cell r="Y1069">
            <v>831836</v>
          </cell>
          <cell r="Z1069">
            <v>0</v>
          </cell>
          <cell r="AA1069">
            <v>0</v>
          </cell>
          <cell r="AB1069">
            <v>4083118</v>
          </cell>
          <cell r="AC1069">
            <v>0</v>
          </cell>
          <cell r="AD1069">
            <v>232912</v>
          </cell>
          <cell r="AE1069">
            <v>0</v>
          </cell>
          <cell r="AF1069">
            <v>479160</v>
          </cell>
          <cell r="AG1069">
            <v>0</v>
          </cell>
          <cell r="AH1069">
            <v>0</v>
          </cell>
          <cell r="AI1069">
            <v>0</v>
          </cell>
        </row>
        <row r="1070">
          <cell r="A1070">
            <v>103060100</v>
          </cell>
          <cell r="C1070">
            <v>22401</v>
          </cell>
          <cell r="D1070">
            <v>23639</v>
          </cell>
          <cell r="E1070">
            <v>0</v>
          </cell>
          <cell r="F1070">
            <v>72562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123764</v>
          </cell>
          <cell r="M1070">
            <v>78015</v>
          </cell>
          <cell r="N1070">
            <v>0</v>
          </cell>
          <cell r="O1070">
            <v>36473</v>
          </cell>
          <cell r="P1070">
            <v>325591</v>
          </cell>
          <cell r="Q1070">
            <v>0</v>
          </cell>
          <cell r="R1070">
            <v>5047596</v>
          </cell>
          <cell r="S1070">
            <v>0</v>
          </cell>
          <cell r="T1070">
            <v>122512304</v>
          </cell>
          <cell r="U1070">
            <v>0</v>
          </cell>
          <cell r="V1070">
            <v>963080</v>
          </cell>
          <cell r="W1070">
            <v>76852</v>
          </cell>
          <cell r="X1070">
            <v>0</v>
          </cell>
          <cell r="Y1070">
            <v>831836</v>
          </cell>
          <cell r="Z1070">
            <v>0</v>
          </cell>
          <cell r="AA1070">
            <v>0</v>
          </cell>
          <cell r="AB1070">
            <v>4083118</v>
          </cell>
          <cell r="AC1070">
            <v>0</v>
          </cell>
          <cell r="AD1070">
            <v>232912</v>
          </cell>
          <cell r="AE1070">
            <v>0</v>
          </cell>
          <cell r="AF1070">
            <v>479160</v>
          </cell>
          <cell r="AG1070">
            <v>0</v>
          </cell>
          <cell r="AH1070">
            <v>0</v>
          </cell>
          <cell r="AI1070">
            <v>0</v>
          </cell>
        </row>
        <row r="1071">
          <cell r="A1071">
            <v>103060101</v>
          </cell>
          <cell r="C1071">
            <v>22401</v>
          </cell>
          <cell r="D1071">
            <v>23639</v>
          </cell>
          <cell r="E1071">
            <v>0</v>
          </cell>
          <cell r="F1071">
            <v>72562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123764</v>
          </cell>
          <cell r="M1071">
            <v>78015</v>
          </cell>
          <cell r="N1071">
            <v>0</v>
          </cell>
          <cell r="O1071">
            <v>36473</v>
          </cell>
          <cell r="P1071">
            <v>325591</v>
          </cell>
          <cell r="Q1071">
            <v>0</v>
          </cell>
          <cell r="R1071">
            <v>5047596</v>
          </cell>
          <cell r="S1071">
            <v>0</v>
          </cell>
          <cell r="T1071">
            <v>122512304</v>
          </cell>
          <cell r="U1071">
            <v>0</v>
          </cell>
          <cell r="V1071">
            <v>963080</v>
          </cell>
          <cell r="W1071">
            <v>76852</v>
          </cell>
          <cell r="X1071">
            <v>0</v>
          </cell>
          <cell r="Y1071">
            <v>831836</v>
          </cell>
          <cell r="Z1071">
            <v>0</v>
          </cell>
          <cell r="AA1071">
            <v>0</v>
          </cell>
          <cell r="AB1071">
            <v>4083118</v>
          </cell>
          <cell r="AC1071">
            <v>0</v>
          </cell>
          <cell r="AD1071">
            <v>232912</v>
          </cell>
          <cell r="AE1071">
            <v>0</v>
          </cell>
          <cell r="AF1071">
            <v>479160</v>
          </cell>
          <cell r="AG1071">
            <v>0</v>
          </cell>
          <cell r="AH1071">
            <v>0</v>
          </cell>
          <cell r="AI1071">
            <v>0</v>
          </cell>
        </row>
        <row r="1072">
          <cell r="A1072">
            <v>103500000</v>
          </cell>
          <cell r="C1072">
            <v>-4412608650</v>
          </cell>
          <cell r="D1072">
            <v>-1319403002</v>
          </cell>
          <cell r="E1072">
            <v>-95269478</v>
          </cell>
          <cell r="F1072">
            <v>-232321352</v>
          </cell>
          <cell r="G1072">
            <v>-977474807</v>
          </cell>
          <cell r="H1072">
            <v>-1423016994</v>
          </cell>
          <cell r="I1072">
            <v>-753687275</v>
          </cell>
          <cell r="J1072">
            <v>-218865378</v>
          </cell>
          <cell r="K1072">
            <v>-320858161</v>
          </cell>
          <cell r="L1072">
            <v>-9299132</v>
          </cell>
          <cell r="M1072">
            <v>-373128489</v>
          </cell>
          <cell r="N1072">
            <v>-1784191027</v>
          </cell>
          <cell r="O1072">
            <v>-313979036</v>
          </cell>
          <cell r="P1072">
            <v>-1053489119</v>
          </cell>
          <cell r="Q1072">
            <v>-215280870</v>
          </cell>
          <cell r="R1072">
            <v>-395473854</v>
          </cell>
          <cell r="S1072">
            <v>-198087246</v>
          </cell>
          <cell r="T1072">
            <v>-2241126007</v>
          </cell>
          <cell r="U1072">
            <v>0</v>
          </cell>
          <cell r="V1072">
            <v>-312900339</v>
          </cell>
          <cell r="W1072">
            <v>-328299378</v>
          </cell>
          <cell r="X1072">
            <v>-714225273</v>
          </cell>
          <cell r="Y1072">
            <v>-508911097</v>
          </cell>
          <cell r="Z1072">
            <v>-361565965</v>
          </cell>
          <cell r="AA1072">
            <v>-299851445</v>
          </cell>
          <cell r="AB1072">
            <v>-2053755647</v>
          </cell>
          <cell r="AC1072">
            <v>-1087841505</v>
          </cell>
          <cell r="AD1072">
            <v>-363202310</v>
          </cell>
          <cell r="AE1072">
            <v>-2583350487</v>
          </cell>
          <cell r="AF1072">
            <v>-88478661</v>
          </cell>
          <cell r="AG1072">
            <v>-997062198</v>
          </cell>
          <cell r="AH1072">
            <v>-7319</v>
          </cell>
          <cell r="AI1072">
            <v>-1585967109</v>
          </cell>
        </row>
        <row r="1073">
          <cell r="A1073">
            <v>103500100</v>
          </cell>
          <cell r="C1073">
            <v>-2698225826</v>
          </cell>
          <cell r="D1073">
            <v>-1137114573</v>
          </cell>
          <cell r="E1073">
            <v>-95269478</v>
          </cell>
          <cell r="F1073">
            <v>-211644860</v>
          </cell>
          <cell r="G1073">
            <v>-933527218</v>
          </cell>
          <cell r="H1073">
            <v>-955975108</v>
          </cell>
          <cell r="I1073">
            <v>-558556250</v>
          </cell>
          <cell r="J1073">
            <v>-218865378</v>
          </cell>
          <cell r="K1073">
            <v>-320281824</v>
          </cell>
          <cell r="L1073">
            <v>-6796598</v>
          </cell>
          <cell r="M1073">
            <v>-314009409</v>
          </cell>
          <cell r="N1073">
            <v>-1784191027</v>
          </cell>
          <cell r="O1073">
            <v>-313468269</v>
          </cell>
          <cell r="P1073">
            <v>-1041061762</v>
          </cell>
          <cell r="Q1073">
            <v>-215280870</v>
          </cell>
          <cell r="R1073">
            <v>-357973854</v>
          </cell>
          <cell r="S1073">
            <v>-172789634</v>
          </cell>
          <cell r="T1073">
            <v>-1521442120</v>
          </cell>
          <cell r="U1073">
            <v>0</v>
          </cell>
          <cell r="V1073">
            <v>-310492885</v>
          </cell>
          <cell r="W1073">
            <v>-318369652</v>
          </cell>
          <cell r="X1073">
            <v>-697285386</v>
          </cell>
          <cell r="Y1073">
            <v>-504154113</v>
          </cell>
          <cell r="Z1073">
            <v>-357065700</v>
          </cell>
          <cell r="AA1073">
            <v>-255981658</v>
          </cell>
          <cell r="AB1073">
            <v>-1905383487</v>
          </cell>
          <cell r="AC1073">
            <v>-1087841505</v>
          </cell>
          <cell r="AD1073">
            <v>-340234064</v>
          </cell>
          <cell r="AE1073">
            <v>-1027011982</v>
          </cell>
          <cell r="AF1073">
            <v>-79474838</v>
          </cell>
          <cell r="AG1073">
            <v>-911920695</v>
          </cell>
          <cell r="AH1073">
            <v>-7319</v>
          </cell>
          <cell r="AI1073">
            <v>-1585967109</v>
          </cell>
        </row>
        <row r="1074">
          <cell r="A1074">
            <v>103500101</v>
          </cell>
          <cell r="C1074">
            <v>-2686671671</v>
          </cell>
          <cell r="D1074">
            <v>-1137114573</v>
          </cell>
          <cell r="E1074">
            <v>-95269478</v>
          </cell>
          <cell r="F1074">
            <v>-210649825</v>
          </cell>
          <cell r="G1074">
            <v>-932847218</v>
          </cell>
          <cell r="H1074">
            <v>-620696809</v>
          </cell>
          <cell r="I1074">
            <v>-558556250</v>
          </cell>
          <cell r="J1074">
            <v>-218865378</v>
          </cell>
          <cell r="K1074">
            <v>-106315512</v>
          </cell>
          <cell r="L1074">
            <v>-6796598</v>
          </cell>
          <cell r="M1074">
            <v>-314009409</v>
          </cell>
          <cell r="N1074">
            <v>-1751024119</v>
          </cell>
          <cell r="O1074">
            <v>-313468269</v>
          </cell>
          <cell r="P1074">
            <v>-1041061762</v>
          </cell>
          <cell r="Q1074">
            <v>-215280870</v>
          </cell>
          <cell r="R1074">
            <v>-357958420</v>
          </cell>
          <cell r="S1074">
            <v>-172789634</v>
          </cell>
          <cell r="T1074">
            <v>-1418332712</v>
          </cell>
          <cell r="U1074">
            <v>0</v>
          </cell>
          <cell r="V1074">
            <v>-307045534</v>
          </cell>
          <cell r="W1074">
            <v>-317591398</v>
          </cell>
          <cell r="X1074">
            <v>-666330958</v>
          </cell>
          <cell r="Y1074">
            <v>-504154113</v>
          </cell>
          <cell r="Z1074">
            <v>-357065700</v>
          </cell>
          <cell r="AA1074">
            <v>-255981658</v>
          </cell>
          <cell r="AB1074">
            <v>-1897316407</v>
          </cell>
          <cell r="AC1074">
            <v>-1081139924</v>
          </cell>
          <cell r="AD1074">
            <v>-337589663</v>
          </cell>
          <cell r="AE1074">
            <v>-994666474</v>
          </cell>
          <cell r="AF1074">
            <v>-72795484</v>
          </cell>
          <cell r="AG1074">
            <v>-908617789</v>
          </cell>
          <cell r="AH1074">
            <v>-1257</v>
          </cell>
          <cell r="AI1074">
            <v>-1585967109</v>
          </cell>
        </row>
        <row r="1075">
          <cell r="A1075">
            <v>103500102</v>
          </cell>
          <cell r="C1075">
            <v>-11554155</v>
          </cell>
          <cell r="D1075">
            <v>0</v>
          </cell>
          <cell r="E1075">
            <v>0</v>
          </cell>
          <cell r="F1075">
            <v>-995035</v>
          </cell>
          <cell r="G1075">
            <v>-680000</v>
          </cell>
          <cell r="H1075">
            <v>-335278299</v>
          </cell>
          <cell r="I1075">
            <v>0</v>
          </cell>
          <cell r="J1075">
            <v>0</v>
          </cell>
          <cell r="K1075">
            <v>-213966312</v>
          </cell>
          <cell r="L1075">
            <v>0</v>
          </cell>
          <cell r="M1075">
            <v>0</v>
          </cell>
          <cell r="N1075">
            <v>-33166908</v>
          </cell>
          <cell r="O1075">
            <v>0</v>
          </cell>
          <cell r="P1075">
            <v>0</v>
          </cell>
          <cell r="Q1075">
            <v>0</v>
          </cell>
          <cell r="R1075">
            <v>-15434</v>
          </cell>
          <cell r="S1075">
            <v>0</v>
          </cell>
          <cell r="T1075">
            <v>-103109408</v>
          </cell>
          <cell r="U1075">
            <v>0</v>
          </cell>
          <cell r="V1075">
            <v>-3447351</v>
          </cell>
          <cell r="W1075">
            <v>-778254</v>
          </cell>
          <cell r="X1075">
            <v>-30954428</v>
          </cell>
          <cell r="Y1075">
            <v>0</v>
          </cell>
          <cell r="Z1075">
            <v>0</v>
          </cell>
          <cell r="AA1075">
            <v>0</v>
          </cell>
          <cell r="AB1075">
            <v>-8067080</v>
          </cell>
          <cell r="AC1075">
            <v>-6701581</v>
          </cell>
          <cell r="AD1075">
            <v>-2644401</v>
          </cell>
          <cell r="AE1075">
            <v>-32345508</v>
          </cell>
          <cell r="AF1075">
            <v>-6679354</v>
          </cell>
          <cell r="AG1075">
            <v>-3302906</v>
          </cell>
          <cell r="AH1075">
            <v>-6062</v>
          </cell>
          <cell r="AI1075">
            <v>0</v>
          </cell>
        </row>
        <row r="1076">
          <cell r="A1076">
            <v>103500200</v>
          </cell>
          <cell r="C1076">
            <v>0</v>
          </cell>
          <cell r="D1076">
            <v>-175067243</v>
          </cell>
          <cell r="E1076">
            <v>0</v>
          </cell>
          <cell r="F1076">
            <v>-15592754</v>
          </cell>
          <cell r="G1076">
            <v>0</v>
          </cell>
          <cell r="H1076">
            <v>-78434980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-56953119</v>
          </cell>
          <cell r="N1076">
            <v>0</v>
          </cell>
          <cell r="O1076">
            <v>-95455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-1528745</v>
          </cell>
          <cell r="W1076">
            <v>0</v>
          </cell>
          <cell r="X1076">
            <v>-7145855</v>
          </cell>
          <cell r="Y1076">
            <v>0</v>
          </cell>
          <cell r="Z1076">
            <v>0</v>
          </cell>
          <cell r="AA1076">
            <v>-24803462</v>
          </cell>
          <cell r="AB1076">
            <v>0</v>
          </cell>
          <cell r="AC1076">
            <v>0</v>
          </cell>
          <cell r="AD1076">
            <v>0</v>
          </cell>
          <cell r="AE1076">
            <v>-158214615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</row>
        <row r="1077">
          <cell r="A1077">
            <v>103500201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-78434980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-56953119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-24803462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</row>
        <row r="1078">
          <cell r="A1078">
            <v>103500202</v>
          </cell>
          <cell r="C1078">
            <v>0</v>
          </cell>
          <cell r="D1078">
            <v>-175067243</v>
          </cell>
          <cell r="E1078">
            <v>0</v>
          </cell>
          <cell r="F1078">
            <v>-15592754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-95455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-1528745</v>
          </cell>
          <cell r="W1078">
            <v>0</v>
          </cell>
          <cell r="X1078">
            <v>-7145855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-158214615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</row>
        <row r="1079">
          <cell r="A1079">
            <v>103500203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</row>
        <row r="1080">
          <cell r="A1080">
            <v>103500300</v>
          </cell>
          <cell r="C1080">
            <v>0</v>
          </cell>
          <cell r="D1080">
            <v>-7221186</v>
          </cell>
          <cell r="E1080">
            <v>0</v>
          </cell>
          <cell r="F1080">
            <v>-5083738</v>
          </cell>
          <cell r="G1080">
            <v>0</v>
          </cell>
          <cell r="H1080">
            <v>0</v>
          </cell>
          <cell r="I1080">
            <v>-195131025</v>
          </cell>
          <cell r="J1080">
            <v>0</v>
          </cell>
          <cell r="K1080">
            <v>-576337</v>
          </cell>
          <cell r="L1080">
            <v>-2502534</v>
          </cell>
          <cell r="M1080">
            <v>-2165961</v>
          </cell>
          <cell r="N1080">
            <v>0</v>
          </cell>
          <cell r="O1080">
            <v>-415312</v>
          </cell>
          <cell r="P1080">
            <v>-12427357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-510000</v>
          </cell>
          <cell r="W1080">
            <v>-9929726</v>
          </cell>
          <cell r="X1080">
            <v>-923192</v>
          </cell>
          <cell r="Y1080">
            <v>-4374417</v>
          </cell>
          <cell r="Z1080">
            <v>-4500265</v>
          </cell>
          <cell r="AA1080">
            <v>-19066325</v>
          </cell>
          <cell r="AB1080">
            <v>-66894927</v>
          </cell>
          <cell r="AC1080">
            <v>0</v>
          </cell>
          <cell r="AD1080">
            <v>-22968246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</row>
        <row r="1081">
          <cell r="A1081">
            <v>103500301</v>
          </cell>
          <cell r="C1081">
            <v>0</v>
          </cell>
          <cell r="D1081">
            <v>-7221186</v>
          </cell>
          <cell r="E1081">
            <v>0</v>
          </cell>
          <cell r="F1081">
            <v>-1294853</v>
          </cell>
          <cell r="G1081">
            <v>0</v>
          </cell>
          <cell r="H1081">
            <v>0</v>
          </cell>
          <cell r="I1081">
            <v>-51447156</v>
          </cell>
          <cell r="J1081">
            <v>0</v>
          </cell>
          <cell r="K1081">
            <v>-576337</v>
          </cell>
          <cell r="L1081">
            <v>0</v>
          </cell>
          <cell r="M1081">
            <v>-2165961</v>
          </cell>
          <cell r="N1081">
            <v>0</v>
          </cell>
          <cell r="O1081">
            <v>-415312</v>
          </cell>
          <cell r="P1081">
            <v>-12427357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-9929726</v>
          </cell>
          <cell r="X1081">
            <v>-471092</v>
          </cell>
          <cell r="Y1081">
            <v>0</v>
          </cell>
          <cell r="Z1081">
            <v>0</v>
          </cell>
          <cell r="AA1081">
            <v>0</v>
          </cell>
          <cell r="AB1081">
            <v>-66710287</v>
          </cell>
          <cell r="AC1081">
            <v>0</v>
          </cell>
          <cell r="AD1081">
            <v>-22968246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</row>
        <row r="1082">
          <cell r="A1082">
            <v>103500302</v>
          </cell>
          <cell r="C1082">
            <v>0</v>
          </cell>
          <cell r="D1082">
            <v>0</v>
          </cell>
          <cell r="E1082">
            <v>0</v>
          </cell>
          <cell r="F1082">
            <v>-3788885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-2502534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-4374417</v>
          </cell>
          <cell r="Z1082">
            <v>-4500265</v>
          </cell>
          <cell r="AA1082">
            <v>-19066325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</row>
        <row r="1083">
          <cell r="A1083">
            <v>103500303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</row>
        <row r="1084">
          <cell r="A1084">
            <v>103500304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-143683869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-510000</v>
          </cell>
          <cell r="W1084">
            <v>0</v>
          </cell>
          <cell r="X1084">
            <v>-452100</v>
          </cell>
          <cell r="Y1084">
            <v>0</v>
          </cell>
          <cell r="Z1084">
            <v>0</v>
          </cell>
          <cell r="AA1084">
            <v>0</v>
          </cell>
          <cell r="AB1084">
            <v>-184640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</row>
        <row r="1085">
          <cell r="A1085">
            <v>103500400</v>
          </cell>
          <cell r="C1085">
            <v>-1714382824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-37500000</v>
          </cell>
          <cell r="S1085">
            <v>0</v>
          </cell>
          <cell r="T1085">
            <v>-719683887</v>
          </cell>
          <cell r="U1085">
            <v>0</v>
          </cell>
          <cell r="V1085">
            <v>0</v>
          </cell>
          <cell r="W1085">
            <v>0</v>
          </cell>
          <cell r="X1085">
            <v>-8870840</v>
          </cell>
          <cell r="Y1085">
            <v>0</v>
          </cell>
          <cell r="Z1085">
            <v>0</v>
          </cell>
          <cell r="AA1085">
            <v>0</v>
          </cell>
          <cell r="AB1085">
            <v>-75128656</v>
          </cell>
          <cell r="AC1085">
            <v>0</v>
          </cell>
          <cell r="AD1085">
            <v>0</v>
          </cell>
          <cell r="AE1085">
            <v>-1398123890</v>
          </cell>
          <cell r="AF1085">
            <v>-9003823</v>
          </cell>
          <cell r="AG1085">
            <v>-75211126</v>
          </cell>
          <cell r="AH1085">
            <v>0</v>
          </cell>
          <cell r="AI1085">
            <v>0</v>
          </cell>
        </row>
        <row r="1086">
          <cell r="A1086">
            <v>103500401</v>
          </cell>
          <cell r="C1086">
            <v>-1714382824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-528301374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</row>
        <row r="1087">
          <cell r="A1087">
            <v>103500402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-8870840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</row>
        <row r="1088">
          <cell r="A1088">
            <v>103500403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</row>
        <row r="1089">
          <cell r="A1089">
            <v>103500404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-37500000</v>
          </cell>
          <cell r="S1089">
            <v>0</v>
          </cell>
          <cell r="T1089">
            <v>-191382513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-75128656</v>
          </cell>
          <cell r="AC1089">
            <v>0</v>
          </cell>
          <cell r="AD1089">
            <v>0</v>
          </cell>
          <cell r="AE1089">
            <v>-1398123890</v>
          </cell>
          <cell r="AF1089">
            <v>-9003823</v>
          </cell>
          <cell r="AG1089">
            <v>-75211126</v>
          </cell>
          <cell r="AH1089">
            <v>0</v>
          </cell>
          <cell r="AI1089">
            <v>0</v>
          </cell>
        </row>
        <row r="1090">
          <cell r="A1090">
            <v>103500500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-43947589</v>
          </cell>
          <cell r="H1090">
            <v>-388606906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-25297612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-2265459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</row>
        <row r="1091">
          <cell r="A1091">
            <v>103500501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-43947589</v>
          </cell>
          <cell r="H1091">
            <v>-388606906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-25297612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-2265459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</row>
        <row r="1092">
          <cell r="A1092">
            <v>103500600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-368709</v>
          </cell>
          <cell r="W1092">
            <v>0</v>
          </cell>
          <cell r="X1092">
            <v>0</v>
          </cell>
          <cell r="Y1092">
            <v>-382567</v>
          </cell>
          <cell r="Z1092">
            <v>0</v>
          </cell>
          <cell r="AA1092">
            <v>0</v>
          </cell>
          <cell r="AB1092">
            <v>-4083118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-9930377</v>
          </cell>
          <cell r="AH1092">
            <v>0</v>
          </cell>
          <cell r="AI1092">
            <v>0</v>
          </cell>
        </row>
        <row r="1093">
          <cell r="A1093">
            <v>103500601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-368709</v>
          </cell>
          <cell r="W1093">
            <v>0</v>
          </cell>
          <cell r="X1093">
            <v>0</v>
          </cell>
          <cell r="Y1093">
            <v>-382567</v>
          </cell>
          <cell r="Z1093">
            <v>0</v>
          </cell>
          <cell r="AA1093">
            <v>0</v>
          </cell>
          <cell r="AB1093">
            <v>-4083118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-9930377</v>
          </cell>
          <cell r="AH1093">
            <v>0</v>
          </cell>
          <cell r="AI1093">
            <v>0</v>
          </cell>
        </row>
        <row r="1094">
          <cell r="A1094">
            <v>104000000</v>
          </cell>
          <cell r="C1094">
            <v>868757397</v>
          </cell>
          <cell r="D1094">
            <v>455833207</v>
          </cell>
          <cell r="E1094">
            <v>435692605</v>
          </cell>
          <cell r="F1094">
            <v>128043448</v>
          </cell>
          <cell r="G1094">
            <v>304039414</v>
          </cell>
          <cell r="H1094">
            <v>1649877072</v>
          </cell>
          <cell r="I1094">
            <v>598924376</v>
          </cell>
          <cell r="J1094">
            <v>51780872</v>
          </cell>
          <cell r="K1094">
            <v>375124514</v>
          </cell>
          <cell r="L1094">
            <v>43538283</v>
          </cell>
          <cell r="M1094">
            <v>80978575</v>
          </cell>
          <cell r="N1094">
            <v>5056360247</v>
          </cell>
          <cell r="O1094">
            <v>145261722</v>
          </cell>
          <cell r="P1094">
            <v>143467486</v>
          </cell>
          <cell r="Q1094">
            <v>143385599</v>
          </cell>
          <cell r="R1094">
            <v>381349464</v>
          </cell>
          <cell r="S1094">
            <v>68201275</v>
          </cell>
          <cell r="T1094">
            <v>653361344</v>
          </cell>
          <cell r="U1094">
            <v>321471481</v>
          </cell>
          <cell r="V1094">
            <v>84384644</v>
          </cell>
          <cell r="W1094">
            <v>211800520</v>
          </cell>
          <cell r="X1094">
            <v>423899841</v>
          </cell>
          <cell r="Y1094">
            <v>84734260</v>
          </cell>
          <cell r="Z1094">
            <v>224790321</v>
          </cell>
          <cell r="AA1094">
            <v>125308171</v>
          </cell>
          <cell r="AB1094">
            <v>131646086</v>
          </cell>
          <cell r="AC1094">
            <v>73018418</v>
          </cell>
          <cell r="AD1094">
            <v>591356038</v>
          </cell>
          <cell r="AE1094">
            <v>4267236763</v>
          </cell>
          <cell r="AF1094">
            <v>456612871</v>
          </cell>
          <cell r="AG1094">
            <v>111173174</v>
          </cell>
          <cell r="AH1094">
            <v>207754508</v>
          </cell>
          <cell r="AI1094">
            <v>276129136</v>
          </cell>
        </row>
        <row r="1095">
          <cell r="A1095">
            <v>104010000</v>
          </cell>
          <cell r="C1095">
            <v>1129770537</v>
          </cell>
          <cell r="D1095">
            <v>600178037</v>
          </cell>
          <cell r="E1095">
            <v>435692605</v>
          </cell>
          <cell r="F1095">
            <v>167570762</v>
          </cell>
          <cell r="G1095">
            <v>303126414</v>
          </cell>
          <cell r="H1095">
            <v>1637811385</v>
          </cell>
          <cell r="I1095">
            <v>626007339</v>
          </cell>
          <cell r="J1095">
            <v>201910533</v>
          </cell>
          <cell r="K1095">
            <v>375124514</v>
          </cell>
          <cell r="L1095">
            <v>18061933</v>
          </cell>
          <cell r="M1095">
            <v>80978575</v>
          </cell>
          <cell r="N1095">
            <v>4254789035</v>
          </cell>
          <cell r="O1095">
            <v>145261722</v>
          </cell>
          <cell r="P1095">
            <v>136087736</v>
          </cell>
          <cell r="Q1095">
            <v>476715326</v>
          </cell>
          <cell r="R1095">
            <v>388257464</v>
          </cell>
          <cell r="S1095">
            <v>103957058</v>
          </cell>
          <cell r="T1095">
            <v>664552494</v>
          </cell>
          <cell r="U1095">
            <v>376416519</v>
          </cell>
          <cell r="V1095">
            <v>85747786</v>
          </cell>
          <cell r="W1095">
            <v>221907208</v>
          </cell>
          <cell r="X1095">
            <v>423899841</v>
          </cell>
          <cell r="Y1095">
            <v>84734260</v>
          </cell>
          <cell r="Z1095">
            <v>386875834</v>
          </cell>
          <cell r="AA1095">
            <v>137570438</v>
          </cell>
          <cell r="AB1095">
            <v>135760214</v>
          </cell>
          <cell r="AC1095">
            <v>69999653</v>
          </cell>
          <cell r="AD1095">
            <v>802842014</v>
          </cell>
          <cell r="AE1095">
            <v>4351263257</v>
          </cell>
          <cell r="AF1095">
            <v>456612871</v>
          </cell>
          <cell r="AG1095">
            <v>113219494</v>
          </cell>
          <cell r="AH1095">
            <v>247291146</v>
          </cell>
          <cell r="AI1095">
            <v>276129136</v>
          </cell>
        </row>
        <row r="1096">
          <cell r="A1096">
            <v>104010100</v>
          </cell>
          <cell r="C1096">
            <v>0</v>
          </cell>
          <cell r="D1096">
            <v>0</v>
          </cell>
          <cell r="E1096">
            <v>0</v>
          </cell>
          <cell r="F1096">
            <v>92588930</v>
          </cell>
          <cell r="G1096">
            <v>1271216</v>
          </cell>
          <cell r="H1096">
            <v>9469756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19531645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55000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269977981</v>
          </cell>
          <cell r="AF1096">
            <v>0</v>
          </cell>
          <cell r="AG1096">
            <v>8813403</v>
          </cell>
          <cell r="AH1096">
            <v>11292580</v>
          </cell>
          <cell r="AI1096">
            <v>0</v>
          </cell>
        </row>
        <row r="1097">
          <cell r="A1097">
            <v>104010101</v>
          </cell>
          <cell r="C1097">
            <v>0</v>
          </cell>
          <cell r="D1097">
            <v>0</v>
          </cell>
          <cell r="E1097">
            <v>0</v>
          </cell>
          <cell r="F1097">
            <v>92588930</v>
          </cell>
          <cell r="G1097">
            <v>0</v>
          </cell>
          <cell r="H1097">
            <v>9469756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19531645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55000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269977981</v>
          </cell>
          <cell r="AF1097">
            <v>0</v>
          </cell>
          <cell r="AG1097">
            <v>341565</v>
          </cell>
          <cell r="AH1097">
            <v>11292580</v>
          </cell>
          <cell r="AI1097">
            <v>0</v>
          </cell>
        </row>
        <row r="1098">
          <cell r="A1098">
            <v>104010102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</row>
        <row r="1099">
          <cell r="A1099">
            <v>104010103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1271216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8471838</v>
          </cell>
          <cell r="AH1099">
            <v>0</v>
          </cell>
          <cell r="AI1099">
            <v>0</v>
          </cell>
        </row>
        <row r="1100">
          <cell r="A1100">
            <v>104010200</v>
          </cell>
          <cell r="C1100">
            <v>102198568</v>
          </cell>
          <cell r="D1100">
            <v>0</v>
          </cell>
          <cell r="E1100">
            <v>1914665</v>
          </cell>
          <cell r="F1100">
            <v>51655750</v>
          </cell>
          <cell r="G1100">
            <v>0</v>
          </cell>
          <cell r="H1100">
            <v>33213157</v>
          </cell>
          <cell r="I1100">
            <v>152231322</v>
          </cell>
          <cell r="J1100">
            <v>21367435</v>
          </cell>
          <cell r="K1100">
            <v>117402713</v>
          </cell>
          <cell r="L1100">
            <v>0</v>
          </cell>
          <cell r="M1100">
            <v>0</v>
          </cell>
          <cell r="N1100">
            <v>354102312</v>
          </cell>
          <cell r="O1100">
            <v>0</v>
          </cell>
          <cell r="P1100">
            <v>0</v>
          </cell>
          <cell r="Q1100">
            <v>36631931</v>
          </cell>
          <cell r="R1100">
            <v>19793935</v>
          </cell>
          <cell r="S1100">
            <v>59406822</v>
          </cell>
          <cell r="T1100">
            <v>279819329</v>
          </cell>
          <cell r="U1100">
            <v>0</v>
          </cell>
          <cell r="V1100">
            <v>0</v>
          </cell>
          <cell r="W1100">
            <v>65562839</v>
          </cell>
          <cell r="X1100">
            <v>3587128</v>
          </cell>
          <cell r="Y1100">
            <v>22903277</v>
          </cell>
          <cell r="Z1100">
            <v>48065076</v>
          </cell>
          <cell r="AA1100">
            <v>56360221</v>
          </cell>
          <cell r="AB1100">
            <v>97718795</v>
          </cell>
          <cell r="AC1100">
            <v>26733328</v>
          </cell>
          <cell r="AD1100">
            <v>284644142</v>
          </cell>
          <cell r="AE1100">
            <v>783348562</v>
          </cell>
          <cell r="AF1100">
            <v>222112688</v>
          </cell>
          <cell r="AG1100">
            <v>155062</v>
          </cell>
          <cell r="AH1100">
            <v>169832059</v>
          </cell>
          <cell r="AI1100">
            <v>0</v>
          </cell>
        </row>
        <row r="1101">
          <cell r="A1101">
            <v>104010201</v>
          </cell>
          <cell r="C1101">
            <v>11456956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23780000</v>
          </cell>
          <cell r="I1101">
            <v>135756501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2625003</v>
          </cell>
          <cell r="R1101">
            <v>1666670</v>
          </cell>
          <cell r="S1101">
            <v>12601039</v>
          </cell>
          <cell r="T1101">
            <v>144351245</v>
          </cell>
          <cell r="U1101">
            <v>0</v>
          </cell>
          <cell r="V1101">
            <v>0</v>
          </cell>
          <cell r="W1101">
            <v>13241694</v>
          </cell>
          <cell r="X1101">
            <v>0</v>
          </cell>
          <cell r="Y1101">
            <v>0</v>
          </cell>
          <cell r="Z1101">
            <v>8770000</v>
          </cell>
          <cell r="AA1101">
            <v>0</v>
          </cell>
          <cell r="AB1101">
            <v>70700378</v>
          </cell>
          <cell r="AC1101">
            <v>9750000</v>
          </cell>
          <cell r="AD1101">
            <v>0</v>
          </cell>
          <cell r="AE1101">
            <v>12434906</v>
          </cell>
          <cell r="AF1101">
            <v>15511745</v>
          </cell>
          <cell r="AG1101">
            <v>0</v>
          </cell>
          <cell r="AH1101">
            <v>0</v>
          </cell>
          <cell r="AI1101">
            <v>0</v>
          </cell>
        </row>
        <row r="1102">
          <cell r="A1102">
            <v>104010202</v>
          </cell>
          <cell r="C1102">
            <v>90741612</v>
          </cell>
          <cell r="D1102">
            <v>0</v>
          </cell>
          <cell r="E1102">
            <v>0</v>
          </cell>
          <cell r="F1102">
            <v>51655750</v>
          </cell>
          <cell r="G1102">
            <v>0</v>
          </cell>
          <cell r="H1102">
            <v>5286750</v>
          </cell>
          <cell r="I1102">
            <v>16474821</v>
          </cell>
          <cell r="J1102">
            <v>21367435</v>
          </cell>
          <cell r="K1102">
            <v>117402713</v>
          </cell>
          <cell r="L1102">
            <v>0</v>
          </cell>
          <cell r="M1102">
            <v>0</v>
          </cell>
          <cell r="N1102">
            <v>324082303</v>
          </cell>
          <cell r="O1102">
            <v>0</v>
          </cell>
          <cell r="P1102">
            <v>0</v>
          </cell>
          <cell r="Q1102">
            <v>28208319</v>
          </cell>
          <cell r="R1102">
            <v>18127265</v>
          </cell>
          <cell r="S1102">
            <v>45905783</v>
          </cell>
          <cell r="T1102">
            <v>90987788</v>
          </cell>
          <cell r="U1102">
            <v>0</v>
          </cell>
          <cell r="V1102">
            <v>0</v>
          </cell>
          <cell r="W1102">
            <v>52321145</v>
          </cell>
          <cell r="X1102">
            <v>0</v>
          </cell>
          <cell r="Y1102">
            <v>22903277</v>
          </cell>
          <cell r="Z1102">
            <v>39295076</v>
          </cell>
          <cell r="AA1102">
            <v>54880221</v>
          </cell>
          <cell r="AB1102">
            <v>27018417</v>
          </cell>
          <cell r="AC1102">
            <v>16983328</v>
          </cell>
          <cell r="AD1102">
            <v>284644142</v>
          </cell>
          <cell r="AE1102">
            <v>754926569</v>
          </cell>
          <cell r="AF1102">
            <v>206600943</v>
          </cell>
          <cell r="AG1102">
            <v>0</v>
          </cell>
          <cell r="AH1102">
            <v>169832059</v>
          </cell>
          <cell r="AI1102">
            <v>0</v>
          </cell>
        </row>
        <row r="1103">
          <cell r="A1103">
            <v>104010203</v>
          </cell>
          <cell r="C1103">
            <v>0</v>
          </cell>
          <cell r="D1103">
            <v>0</v>
          </cell>
          <cell r="E1103">
            <v>1914665</v>
          </cell>
          <cell r="F1103">
            <v>0</v>
          </cell>
          <cell r="G1103">
            <v>0</v>
          </cell>
          <cell r="H1103">
            <v>4146407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30020009</v>
          </cell>
          <cell r="O1103">
            <v>0</v>
          </cell>
          <cell r="P1103">
            <v>0</v>
          </cell>
          <cell r="Q1103">
            <v>5798609</v>
          </cell>
          <cell r="R1103">
            <v>0</v>
          </cell>
          <cell r="S1103">
            <v>900000</v>
          </cell>
          <cell r="T1103">
            <v>44480296</v>
          </cell>
          <cell r="U1103">
            <v>0</v>
          </cell>
          <cell r="V1103">
            <v>0</v>
          </cell>
          <cell r="W1103">
            <v>0</v>
          </cell>
          <cell r="X1103">
            <v>3587128</v>
          </cell>
          <cell r="Y1103">
            <v>0</v>
          </cell>
          <cell r="Z1103">
            <v>0</v>
          </cell>
          <cell r="AA1103">
            <v>1480000</v>
          </cell>
          <cell r="AB1103">
            <v>0</v>
          </cell>
          <cell r="AC1103">
            <v>0</v>
          </cell>
          <cell r="AD1103">
            <v>0</v>
          </cell>
          <cell r="AE1103">
            <v>15987087</v>
          </cell>
          <cell r="AF1103">
            <v>0</v>
          </cell>
          <cell r="AG1103">
            <v>155062</v>
          </cell>
          <cell r="AH1103">
            <v>0</v>
          </cell>
          <cell r="AI1103">
            <v>0</v>
          </cell>
        </row>
        <row r="1104">
          <cell r="A1104">
            <v>104010300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419398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-2402707</v>
          </cell>
          <cell r="Z1104">
            <v>-803775</v>
          </cell>
          <cell r="AA1104">
            <v>4905151</v>
          </cell>
          <cell r="AB1104">
            <v>9071848</v>
          </cell>
          <cell r="AC1104">
            <v>119974</v>
          </cell>
          <cell r="AD1104">
            <v>9853614</v>
          </cell>
          <cell r="AE1104">
            <v>-60295073</v>
          </cell>
          <cell r="AF1104">
            <v>0</v>
          </cell>
          <cell r="AG1104">
            <v>0</v>
          </cell>
          <cell r="AH1104">
            <v>-2271516</v>
          </cell>
          <cell r="AI1104">
            <v>0</v>
          </cell>
        </row>
        <row r="1105">
          <cell r="A1105">
            <v>104010301</v>
          </cell>
          <cell r="C1105">
            <v>10902693</v>
          </cell>
          <cell r="D1105">
            <v>0</v>
          </cell>
          <cell r="E1105">
            <v>0</v>
          </cell>
          <cell r="F1105">
            <v>9210300</v>
          </cell>
          <cell r="G1105">
            <v>0</v>
          </cell>
          <cell r="H1105">
            <v>0</v>
          </cell>
          <cell r="I1105">
            <v>0</v>
          </cell>
          <cell r="J1105">
            <v>1502043</v>
          </cell>
          <cell r="K1105">
            <v>18885145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7370278</v>
          </cell>
          <cell r="R1105">
            <v>5022958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5964677</v>
          </cell>
          <cell r="X1105">
            <v>0</v>
          </cell>
          <cell r="Y1105">
            <v>0</v>
          </cell>
          <cell r="Z1105">
            <v>5643265</v>
          </cell>
          <cell r="AA1105">
            <v>11112044</v>
          </cell>
          <cell r="AB1105">
            <v>15735681</v>
          </cell>
          <cell r="AC1105">
            <v>3162085</v>
          </cell>
          <cell r="AD1105">
            <v>32831123</v>
          </cell>
          <cell r="AE1105">
            <v>0</v>
          </cell>
          <cell r="AF1105">
            <v>61925273</v>
          </cell>
          <cell r="AG1105">
            <v>0</v>
          </cell>
          <cell r="AH1105">
            <v>28069568</v>
          </cell>
          <cell r="AI1105">
            <v>0</v>
          </cell>
        </row>
        <row r="1106">
          <cell r="A1106">
            <v>104010302</v>
          </cell>
          <cell r="C1106">
            <v>-10902693</v>
          </cell>
          <cell r="D1106">
            <v>0</v>
          </cell>
          <cell r="E1106">
            <v>0</v>
          </cell>
          <cell r="F1106">
            <v>-9210300</v>
          </cell>
          <cell r="G1106">
            <v>0</v>
          </cell>
          <cell r="H1106">
            <v>0</v>
          </cell>
          <cell r="I1106">
            <v>0</v>
          </cell>
          <cell r="J1106">
            <v>-1502043</v>
          </cell>
          <cell r="K1106">
            <v>-18885145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-7370278</v>
          </cell>
          <cell r="R1106">
            <v>-4603560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-5964677</v>
          </cell>
          <cell r="X1106">
            <v>0</v>
          </cell>
          <cell r="Y1106">
            <v>-2402707</v>
          </cell>
          <cell r="Z1106">
            <v>-6447040</v>
          </cell>
          <cell r="AA1106">
            <v>-6206893</v>
          </cell>
          <cell r="AB1106">
            <v>-6663833</v>
          </cell>
          <cell r="AC1106">
            <v>-3042111</v>
          </cell>
          <cell r="AD1106">
            <v>-22977509</v>
          </cell>
          <cell r="AE1106">
            <v>-60295073</v>
          </cell>
          <cell r="AF1106">
            <v>-61925273</v>
          </cell>
          <cell r="AG1106">
            <v>0</v>
          </cell>
          <cell r="AH1106">
            <v>-30341084</v>
          </cell>
          <cell r="AI1106">
            <v>0</v>
          </cell>
        </row>
        <row r="1107">
          <cell r="A1107">
            <v>104010400</v>
          </cell>
          <cell r="C1107">
            <v>591288510</v>
          </cell>
          <cell r="D1107">
            <v>304663645</v>
          </cell>
          <cell r="E1107">
            <v>418352011</v>
          </cell>
          <cell r="F1107">
            <v>21079243</v>
          </cell>
          <cell r="G1107">
            <v>0</v>
          </cell>
          <cell r="H1107">
            <v>691830307</v>
          </cell>
          <cell r="I1107">
            <v>412578430</v>
          </cell>
          <cell r="J1107">
            <v>22007082</v>
          </cell>
          <cell r="K1107">
            <v>232447568</v>
          </cell>
          <cell r="L1107">
            <v>5195699</v>
          </cell>
          <cell r="M1107">
            <v>73523248</v>
          </cell>
          <cell r="N1107">
            <v>3887626587</v>
          </cell>
          <cell r="O1107">
            <v>129531009</v>
          </cell>
          <cell r="P1107">
            <v>126446675</v>
          </cell>
          <cell r="Q1107">
            <v>102052348</v>
          </cell>
          <cell r="R1107">
            <v>85918967</v>
          </cell>
          <cell r="S1107">
            <v>44550236</v>
          </cell>
          <cell r="T1107">
            <v>40894065</v>
          </cell>
          <cell r="U1107">
            <v>250941474</v>
          </cell>
          <cell r="V1107">
            <v>69830783</v>
          </cell>
          <cell r="W1107">
            <v>109690510</v>
          </cell>
          <cell r="X1107">
            <v>401412713</v>
          </cell>
          <cell r="Y1107">
            <v>55371690</v>
          </cell>
          <cell r="Z1107">
            <v>156176873</v>
          </cell>
          <cell r="AA1107">
            <v>44347006</v>
          </cell>
          <cell r="AB1107">
            <v>0</v>
          </cell>
          <cell r="AC1107">
            <v>26317459</v>
          </cell>
          <cell r="AD1107">
            <v>396214216</v>
          </cell>
          <cell r="AE1107">
            <v>2900369628</v>
          </cell>
          <cell r="AF1107">
            <v>165372283</v>
          </cell>
          <cell r="AG1107">
            <v>58632502</v>
          </cell>
          <cell r="AH1107">
            <v>0</v>
          </cell>
          <cell r="AI1107">
            <v>194847807</v>
          </cell>
        </row>
        <row r="1108">
          <cell r="A1108">
            <v>104010401</v>
          </cell>
          <cell r="C1108">
            <v>516072922</v>
          </cell>
          <cell r="D1108">
            <v>304663645</v>
          </cell>
          <cell r="E1108">
            <v>374736414</v>
          </cell>
          <cell r="F1108">
            <v>21079243</v>
          </cell>
          <cell r="G1108">
            <v>0</v>
          </cell>
          <cell r="H1108">
            <v>691830307</v>
          </cell>
          <cell r="I1108">
            <v>412578430</v>
          </cell>
          <cell r="J1108">
            <v>22434556</v>
          </cell>
          <cell r="K1108">
            <v>119338177</v>
          </cell>
          <cell r="L1108">
            <v>5195699</v>
          </cell>
          <cell r="M1108">
            <v>73523248</v>
          </cell>
          <cell r="N1108">
            <v>1409321848</v>
          </cell>
          <cell r="O1108">
            <v>129531009</v>
          </cell>
          <cell r="P1108">
            <v>126446675</v>
          </cell>
          <cell r="Q1108">
            <v>102052348</v>
          </cell>
          <cell r="R1108">
            <v>85918967</v>
          </cell>
          <cell r="S1108">
            <v>41150036</v>
          </cell>
          <cell r="T1108">
            <v>0</v>
          </cell>
          <cell r="U1108">
            <v>133503329</v>
          </cell>
          <cell r="V1108">
            <v>69830783</v>
          </cell>
          <cell r="W1108">
            <v>18093239</v>
          </cell>
          <cell r="X1108">
            <v>229490223</v>
          </cell>
          <cell r="Y1108">
            <v>11548029</v>
          </cell>
          <cell r="Z1108">
            <v>0</v>
          </cell>
          <cell r="AA1108">
            <v>22141653</v>
          </cell>
          <cell r="AB1108">
            <v>0</v>
          </cell>
          <cell r="AC1108">
            <v>0</v>
          </cell>
          <cell r="AD1108">
            <v>224612226</v>
          </cell>
          <cell r="AE1108">
            <v>2456555113</v>
          </cell>
          <cell r="AF1108">
            <v>165372283</v>
          </cell>
          <cell r="AG1108">
            <v>57421355</v>
          </cell>
          <cell r="AH1108">
            <v>0</v>
          </cell>
          <cell r="AI1108">
            <v>106397</v>
          </cell>
        </row>
        <row r="1109">
          <cell r="A1109">
            <v>104010402</v>
          </cell>
          <cell r="C1109">
            <v>75215588</v>
          </cell>
          <cell r="D1109">
            <v>0</v>
          </cell>
          <cell r="E1109">
            <v>43615597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-427474</v>
          </cell>
          <cell r="K1109">
            <v>113109391</v>
          </cell>
          <cell r="L1109">
            <v>0</v>
          </cell>
          <cell r="M1109">
            <v>0</v>
          </cell>
          <cell r="N1109">
            <v>1847528024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40894065</v>
          </cell>
          <cell r="U1109">
            <v>117438145</v>
          </cell>
          <cell r="V1109">
            <v>0</v>
          </cell>
          <cell r="W1109">
            <v>0</v>
          </cell>
          <cell r="X1109">
            <v>171922490</v>
          </cell>
          <cell r="Y1109">
            <v>43823661</v>
          </cell>
          <cell r="Z1109">
            <v>156176873</v>
          </cell>
          <cell r="AA1109">
            <v>22205353</v>
          </cell>
          <cell r="AB1109">
            <v>0</v>
          </cell>
          <cell r="AC1109">
            <v>26317459</v>
          </cell>
          <cell r="AD1109">
            <v>171601990</v>
          </cell>
          <cell r="AE1109">
            <v>443814515</v>
          </cell>
          <cell r="AF1109">
            <v>0</v>
          </cell>
          <cell r="AG1109">
            <v>1211147</v>
          </cell>
          <cell r="AH1109">
            <v>0</v>
          </cell>
          <cell r="AI1109">
            <v>123760998</v>
          </cell>
        </row>
        <row r="1110">
          <cell r="A1110">
            <v>104010403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630776715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3400200</v>
          </cell>
          <cell r="T1110">
            <v>0</v>
          </cell>
          <cell r="U1110">
            <v>0</v>
          </cell>
          <cell r="V1110">
            <v>0</v>
          </cell>
          <cell r="W1110">
            <v>91597271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70980412</v>
          </cell>
        </row>
        <row r="1111">
          <cell r="A1111">
            <v>104010500</v>
          </cell>
          <cell r="C1111">
            <v>436283459</v>
          </cell>
          <cell r="D1111">
            <v>295514392</v>
          </cell>
          <cell r="E1111">
            <v>15425929</v>
          </cell>
          <cell r="F1111">
            <v>2246839</v>
          </cell>
          <cell r="G1111">
            <v>301855198</v>
          </cell>
          <cell r="H1111">
            <v>903298165</v>
          </cell>
          <cell r="I1111">
            <v>61197587</v>
          </cell>
          <cell r="J1111">
            <v>158536016</v>
          </cell>
          <cell r="K1111">
            <v>25274233</v>
          </cell>
          <cell r="L1111">
            <v>12866234</v>
          </cell>
          <cell r="M1111">
            <v>7455327</v>
          </cell>
          <cell r="N1111">
            <v>13060136</v>
          </cell>
          <cell r="O1111">
            <v>15730713</v>
          </cell>
          <cell r="P1111">
            <v>9641061</v>
          </cell>
          <cell r="Q1111">
            <v>338031047</v>
          </cell>
          <cell r="R1111">
            <v>282125164</v>
          </cell>
          <cell r="S1111">
            <v>0</v>
          </cell>
          <cell r="T1111">
            <v>343839100</v>
          </cell>
          <cell r="U1111">
            <v>105943400</v>
          </cell>
          <cell r="V1111">
            <v>15917003</v>
          </cell>
          <cell r="W1111">
            <v>46653859</v>
          </cell>
          <cell r="X1111">
            <v>18900000</v>
          </cell>
          <cell r="Y1111">
            <v>8862000</v>
          </cell>
          <cell r="Z1111">
            <v>183382660</v>
          </cell>
          <cell r="AA1111">
            <v>31958060</v>
          </cell>
          <cell r="AB1111">
            <v>28969571</v>
          </cell>
          <cell r="AC1111">
            <v>16828892</v>
          </cell>
          <cell r="AD1111">
            <v>112130042</v>
          </cell>
          <cell r="AE1111">
            <v>457862159</v>
          </cell>
          <cell r="AF1111">
            <v>69127900</v>
          </cell>
          <cell r="AG1111">
            <v>45618527</v>
          </cell>
          <cell r="AH1111">
            <v>68438023</v>
          </cell>
          <cell r="AI1111">
            <v>81281329</v>
          </cell>
        </row>
        <row r="1112">
          <cell r="A1112">
            <v>104010501</v>
          </cell>
          <cell r="C1112">
            <v>12630000</v>
          </cell>
          <cell r="D1112">
            <v>81381</v>
          </cell>
          <cell r="E1112">
            <v>0</v>
          </cell>
          <cell r="F1112">
            <v>0</v>
          </cell>
          <cell r="G1112">
            <v>0</v>
          </cell>
          <cell r="H1112">
            <v>894023165</v>
          </cell>
          <cell r="I1112">
            <v>36828458</v>
          </cell>
          <cell r="J1112">
            <v>0</v>
          </cell>
          <cell r="K1112">
            <v>0</v>
          </cell>
          <cell r="L1112">
            <v>0</v>
          </cell>
          <cell r="M1112">
            <v>7325327</v>
          </cell>
          <cell r="N1112">
            <v>0</v>
          </cell>
          <cell r="O1112">
            <v>0</v>
          </cell>
          <cell r="P1112">
            <v>2248000</v>
          </cell>
          <cell r="Q1112">
            <v>0</v>
          </cell>
          <cell r="R1112">
            <v>0</v>
          </cell>
          <cell r="S1112">
            <v>0</v>
          </cell>
          <cell r="T1112">
            <v>19774766</v>
          </cell>
          <cell r="U1112">
            <v>0</v>
          </cell>
          <cell r="V1112">
            <v>0</v>
          </cell>
          <cell r="W1112">
            <v>2418475</v>
          </cell>
          <cell r="X1112">
            <v>0</v>
          </cell>
          <cell r="Y1112">
            <v>347000</v>
          </cell>
          <cell r="Z1112">
            <v>0</v>
          </cell>
          <cell r="AA1112">
            <v>6743840</v>
          </cell>
          <cell r="AB1112">
            <v>0</v>
          </cell>
          <cell r="AC1112">
            <v>6342932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15363805</v>
          </cell>
        </row>
        <row r="1113">
          <cell r="A1113">
            <v>104010502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150000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3145633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</row>
        <row r="1114">
          <cell r="A1114">
            <v>104010503</v>
          </cell>
          <cell r="C1114">
            <v>17761056</v>
          </cell>
          <cell r="D1114">
            <v>125030134</v>
          </cell>
          <cell r="E1114">
            <v>0</v>
          </cell>
          <cell r="F1114">
            <v>0</v>
          </cell>
          <cell r="G1114">
            <v>61375092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130000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270123666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177432660</v>
          </cell>
          <cell r="AA1114">
            <v>0</v>
          </cell>
          <cell r="AB1114">
            <v>0</v>
          </cell>
          <cell r="AC1114">
            <v>0</v>
          </cell>
          <cell r="AD1114">
            <v>11911500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38048000</v>
          </cell>
        </row>
        <row r="1115">
          <cell r="A1115">
            <v>104010504</v>
          </cell>
          <cell r="C1115">
            <v>0</v>
          </cell>
          <cell r="D1115">
            <v>144344830</v>
          </cell>
          <cell r="E1115">
            <v>0</v>
          </cell>
          <cell r="F1115">
            <v>0</v>
          </cell>
          <cell r="G1115">
            <v>31888284</v>
          </cell>
          <cell r="H1115">
            <v>0</v>
          </cell>
          <cell r="I1115">
            <v>0</v>
          </cell>
          <cell r="J1115">
            <v>107864445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220212947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10485960</v>
          </cell>
          <cell r="AD1115">
            <v>0</v>
          </cell>
          <cell r="AE1115">
            <v>265455439</v>
          </cell>
          <cell r="AF1115">
            <v>5251000</v>
          </cell>
          <cell r="AG1115">
            <v>2709953</v>
          </cell>
          <cell r="AH1115">
            <v>0</v>
          </cell>
          <cell r="AI1115">
            <v>0</v>
          </cell>
        </row>
        <row r="1116">
          <cell r="A1116">
            <v>104010505</v>
          </cell>
          <cell r="C1116">
            <v>4925856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6715000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700000</v>
          </cell>
          <cell r="Q1116">
            <v>0</v>
          </cell>
          <cell r="R1116">
            <v>4160670</v>
          </cell>
          <cell r="S1116">
            <v>0</v>
          </cell>
          <cell r="T1116">
            <v>0</v>
          </cell>
          <cell r="U1116">
            <v>65965500</v>
          </cell>
          <cell r="V1116">
            <v>0</v>
          </cell>
          <cell r="W1116">
            <v>6637500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2470000</v>
          </cell>
          <cell r="AG1116">
            <v>0</v>
          </cell>
          <cell r="AH1116">
            <v>0</v>
          </cell>
          <cell r="AI1116">
            <v>0</v>
          </cell>
        </row>
        <row r="1117">
          <cell r="A1117">
            <v>104010506</v>
          </cell>
          <cell r="C1117">
            <v>3400000</v>
          </cell>
          <cell r="D1117">
            <v>12978667</v>
          </cell>
          <cell r="E1117">
            <v>10250000</v>
          </cell>
          <cell r="F1117">
            <v>0</v>
          </cell>
          <cell r="G1117">
            <v>5202382</v>
          </cell>
          <cell r="H1117">
            <v>9275000</v>
          </cell>
          <cell r="I1117">
            <v>630000</v>
          </cell>
          <cell r="J1117">
            <v>0</v>
          </cell>
          <cell r="K1117">
            <v>8152000</v>
          </cell>
          <cell r="L1117">
            <v>11214500</v>
          </cell>
          <cell r="M1117">
            <v>0</v>
          </cell>
          <cell r="N1117">
            <v>10040000</v>
          </cell>
          <cell r="O1117">
            <v>11238096</v>
          </cell>
          <cell r="P1117">
            <v>5714286</v>
          </cell>
          <cell r="Q1117">
            <v>1865500</v>
          </cell>
          <cell r="R1117">
            <v>5380000</v>
          </cell>
          <cell r="S1117">
            <v>0</v>
          </cell>
          <cell r="T1117">
            <v>13300476</v>
          </cell>
          <cell r="U1117">
            <v>3000000</v>
          </cell>
          <cell r="V1117">
            <v>9810000</v>
          </cell>
          <cell r="W1117">
            <v>0</v>
          </cell>
          <cell r="X1117">
            <v>18900000</v>
          </cell>
          <cell r="Y1117">
            <v>0</v>
          </cell>
          <cell r="Z1117">
            <v>5950000</v>
          </cell>
          <cell r="AA1117">
            <v>0</v>
          </cell>
          <cell r="AB1117">
            <v>9969571</v>
          </cell>
          <cell r="AC1117">
            <v>0</v>
          </cell>
          <cell r="AD1117">
            <v>17251762</v>
          </cell>
          <cell r="AE1117">
            <v>45209918</v>
          </cell>
          <cell r="AF1117">
            <v>16555000</v>
          </cell>
          <cell r="AG1117">
            <v>9900385</v>
          </cell>
          <cell r="AH1117">
            <v>0</v>
          </cell>
          <cell r="AI1117">
            <v>27589524</v>
          </cell>
        </row>
        <row r="1118">
          <cell r="A1118">
            <v>104010507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19376658</v>
          </cell>
          <cell r="H1118">
            <v>0</v>
          </cell>
          <cell r="I1118">
            <v>0</v>
          </cell>
          <cell r="J1118">
            <v>0</v>
          </cell>
          <cell r="K1118">
            <v>5000000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36977900</v>
          </cell>
          <cell r="V1118">
            <v>0</v>
          </cell>
          <cell r="W1118">
            <v>0</v>
          </cell>
          <cell r="X1118">
            <v>0</v>
          </cell>
          <cell r="Y1118">
            <v>8515000</v>
          </cell>
          <cell r="Z1118">
            <v>0</v>
          </cell>
          <cell r="AA1118">
            <v>0</v>
          </cell>
          <cell r="AB1118">
            <v>10500000</v>
          </cell>
          <cell r="AC1118">
            <v>0</v>
          </cell>
          <cell r="AD1118">
            <v>4138000</v>
          </cell>
          <cell r="AE1118">
            <v>0</v>
          </cell>
          <cell r="AF1118">
            <v>420000</v>
          </cell>
          <cell r="AG1118">
            <v>1227273</v>
          </cell>
          <cell r="AH1118">
            <v>0</v>
          </cell>
          <cell r="AI1118">
            <v>0</v>
          </cell>
        </row>
        <row r="1119">
          <cell r="A1119">
            <v>104010508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8500000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</row>
        <row r="1120">
          <cell r="A1120">
            <v>104010509</v>
          </cell>
          <cell r="C1120">
            <v>385981747</v>
          </cell>
          <cell r="D1120">
            <v>12650769</v>
          </cell>
          <cell r="E1120">
            <v>417613</v>
          </cell>
          <cell r="F1120">
            <v>2246839</v>
          </cell>
          <cell r="G1120">
            <v>184012782</v>
          </cell>
          <cell r="H1120">
            <v>0</v>
          </cell>
          <cell r="I1120">
            <v>17024129</v>
          </cell>
          <cell r="J1120">
            <v>50671571</v>
          </cell>
          <cell r="K1120">
            <v>0</v>
          </cell>
          <cell r="L1120">
            <v>1501734</v>
          </cell>
          <cell r="M1120">
            <v>0</v>
          </cell>
          <cell r="N1120">
            <v>3020136</v>
          </cell>
          <cell r="O1120">
            <v>4492617</v>
          </cell>
          <cell r="P1120">
            <v>978775</v>
          </cell>
          <cell r="Q1120">
            <v>336165547</v>
          </cell>
          <cell r="R1120">
            <v>8371547</v>
          </cell>
          <cell r="S1120">
            <v>0</v>
          </cell>
          <cell r="T1120">
            <v>40640192</v>
          </cell>
          <cell r="U1120">
            <v>0</v>
          </cell>
          <cell r="V1120">
            <v>6107003</v>
          </cell>
          <cell r="W1120">
            <v>37597884</v>
          </cell>
          <cell r="X1120">
            <v>0</v>
          </cell>
          <cell r="Y1120">
            <v>0</v>
          </cell>
          <cell r="Z1120">
            <v>0</v>
          </cell>
          <cell r="AA1120">
            <v>15973660</v>
          </cell>
          <cell r="AB1120">
            <v>0</v>
          </cell>
          <cell r="AC1120">
            <v>0</v>
          </cell>
          <cell r="AD1120">
            <v>72756652</v>
          </cell>
          <cell r="AE1120">
            <v>0</v>
          </cell>
          <cell r="AF1120">
            <v>41839400</v>
          </cell>
          <cell r="AG1120">
            <v>4576500</v>
          </cell>
          <cell r="AH1120">
            <v>68438023</v>
          </cell>
          <cell r="AI1120">
            <v>280000</v>
          </cell>
        </row>
        <row r="1121">
          <cell r="A1121">
            <v>104010510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6094927</v>
          </cell>
          <cell r="AB1121">
            <v>0</v>
          </cell>
          <cell r="AC1121">
            <v>0</v>
          </cell>
          <cell r="AD1121">
            <v>6072128</v>
          </cell>
          <cell r="AE1121">
            <v>147196802</v>
          </cell>
          <cell r="AF1121">
            <v>0</v>
          </cell>
          <cell r="AG1121">
            <v>27204416</v>
          </cell>
          <cell r="AH1121">
            <v>0</v>
          </cell>
          <cell r="AI1121">
            <v>0</v>
          </cell>
        </row>
        <row r="1122">
          <cell r="A1122">
            <v>104010511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44000000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</row>
        <row r="1123">
          <cell r="A1123">
            <v>104010512</v>
          </cell>
          <cell r="C1123">
            <v>6040800</v>
          </cell>
          <cell r="D1123">
            <v>428611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12122233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2592500</v>
          </cell>
          <cell r="AG1123">
            <v>0</v>
          </cell>
          <cell r="AH1123">
            <v>0</v>
          </cell>
          <cell r="AI1123">
            <v>0</v>
          </cell>
        </row>
        <row r="1124">
          <cell r="A1124">
            <v>104010513</v>
          </cell>
          <cell r="C1124">
            <v>5544000</v>
          </cell>
          <cell r="D1124">
            <v>0</v>
          </cell>
          <cell r="E1124">
            <v>4758316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</row>
        <row r="1125">
          <cell r="A1125">
            <v>104020000</v>
          </cell>
          <cell r="C1125">
            <v>28243741</v>
          </cell>
          <cell r="D1125">
            <v>70812098</v>
          </cell>
          <cell r="E1125">
            <v>0</v>
          </cell>
          <cell r="F1125">
            <v>0</v>
          </cell>
          <cell r="G1125">
            <v>152267536</v>
          </cell>
          <cell r="H1125">
            <v>12065687</v>
          </cell>
          <cell r="I1125">
            <v>612986404</v>
          </cell>
          <cell r="J1125">
            <v>17774753</v>
          </cell>
          <cell r="K1125">
            <v>0</v>
          </cell>
          <cell r="L1125">
            <v>25476350</v>
          </cell>
          <cell r="M1125">
            <v>0</v>
          </cell>
          <cell r="N1125">
            <v>826316223</v>
          </cell>
          <cell r="O1125">
            <v>0</v>
          </cell>
          <cell r="P1125">
            <v>17071240</v>
          </cell>
          <cell r="Q1125">
            <v>0</v>
          </cell>
          <cell r="R1125">
            <v>792000</v>
          </cell>
          <cell r="S1125">
            <v>10150000</v>
          </cell>
          <cell r="T1125">
            <v>115386526</v>
          </cell>
          <cell r="U1125">
            <v>34536133</v>
          </cell>
          <cell r="V1125">
            <v>236858</v>
          </cell>
          <cell r="W1125">
            <v>32497644</v>
          </cell>
          <cell r="X1125">
            <v>0</v>
          </cell>
          <cell r="Y1125">
            <v>28423079</v>
          </cell>
          <cell r="Z1125">
            <v>442551843</v>
          </cell>
          <cell r="AA1125">
            <v>7695000</v>
          </cell>
          <cell r="AB1125">
            <v>16900000</v>
          </cell>
          <cell r="AC1125">
            <v>290719043</v>
          </cell>
          <cell r="AD1125">
            <v>36114316</v>
          </cell>
          <cell r="AE1125">
            <v>140724533</v>
          </cell>
          <cell r="AF1125">
            <v>0</v>
          </cell>
          <cell r="AG1125">
            <v>66578655</v>
          </cell>
          <cell r="AH1125">
            <v>228409646</v>
          </cell>
          <cell r="AI1125">
            <v>0</v>
          </cell>
        </row>
        <row r="1126">
          <cell r="A1126">
            <v>104020100</v>
          </cell>
          <cell r="C1126">
            <v>7192093</v>
          </cell>
          <cell r="D1126">
            <v>70812098</v>
          </cell>
          <cell r="E1126">
            <v>0</v>
          </cell>
          <cell r="F1126">
            <v>0</v>
          </cell>
          <cell r="G1126">
            <v>3913000</v>
          </cell>
          <cell r="H1126">
            <v>12065687</v>
          </cell>
          <cell r="I1126">
            <v>42001011</v>
          </cell>
          <cell r="J1126">
            <v>17774753</v>
          </cell>
          <cell r="K1126">
            <v>0</v>
          </cell>
          <cell r="L1126">
            <v>25476350</v>
          </cell>
          <cell r="M1126">
            <v>0</v>
          </cell>
          <cell r="N1126">
            <v>19745011</v>
          </cell>
          <cell r="O1126">
            <v>0</v>
          </cell>
          <cell r="P1126">
            <v>17071240</v>
          </cell>
          <cell r="Q1126">
            <v>0</v>
          </cell>
          <cell r="R1126">
            <v>792000</v>
          </cell>
          <cell r="S1126">
            <v>10150000</v>
          </cell>
          <cell r="T1126">
            <v>26542951</v>
          </cell>
          <cell r="U1126">
            <v>0</v>
          </cell>
          <cell r="V1126">
            <v>236858</v>
          </cell>
          <cell r="W1126">
            <v>5675923</v>
          </cell>
          <cell r="X1126">
            <v>0</v>
          </cell>
          <cell r="Y1126">
            <v>0</v>
          </cell>
          <cell r="Z1126">
            <v>28765197</v>
          </cell>
          <cell r="AA1126">
            <v>7695000</v>
          </cell>
          <cell r="AB1126">
            <v>16900000</v>
          </cell>
          <cell r="AC1126">
            <v>224672581</v>
          </cell>
          <cell r="AD1126">
            <v>36114316</v>
          </cell>
          <cell r="AE1126">
            <v>42867313</v>
          </cell>
          <cell r="AF1126">
            <v>0</v>
          </cell>
          <cell r="AG1126">
            <v>44350861</v>
          </cell>
          <cell r="AH1126">
            <v>0</v>
          </cell>
          <cell r="AI1126">
            <v>0</v>
          </cell>
        </row>
        <row r="1127">
          <cell r="A1127">
            <v>104020101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188254362</v>
          </cell>
          <cell r="AD1127">
            <v>0</v>
          </cell>
          <cell r="AE1127">
            <v>0</v>
          </cell>
          <cell r="AF1127">
            <v>0</v>
          </cell>
          <cell r="AG1127">
            <v>15859671</v>
          </cell>
          <cell r="AH1127">
            <v>0</v>
          </cell>
          <cell r="AI1127">
            <v>0</v>
          </cell>
        </row>
        <row r="1128">
          <cell r="A1128">
            <v>104020102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6934051</v>
          </cell>
          <cell r="U1128">
            <v>0</v>
          </cell>
          <cell r="V1128">
            <v>36858</v>
          </cell>
          <cell r="W1128">
            <v>175923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7738219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</row>
        <row r="1129">
          <cell r="A1129">
            <v>104020103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</row>
        <row r="1130">
          <cell r="A1130">
            <v>104020104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23789450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10150000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</row>
        <row r="1131">
          <cell r="A1131">
            <v>104020105</v>
          </cell>
          <cell r="C1131">
            <v>7192093</v>
          </cell>
          <cell r="D1131">
            <v>70812098</v>
          </cell>
          <cell r="E1131">
            <v>0</v>
          </cell>
          <cell r="F1131">
            <v>0</v>
          </cell>
          <cell r="G1131">
            <v>3913000</v>
          </cell>
          <cell r="H1131">
            <v>12065687</v>
          </cell>
          <cell r="I1131">
            <v>33483924</v>
          </cell>
          <cell r="J1131">
            <v>7061000</v>
          </cell>
          <cell r="K1131">
            <v>0</v>
          </cell>
          <cell r="L1131">
            <v>1283600</v>
          </cell>
          <cell r="M1131">
            <v>0</v>
          </cell>
          <cell r="N1131">
            <v>19745011</v>
          </cell>
          <cell r="O1131">
            <v>0</v>
          </cell>
          <cell r="P1131">
            <v>7379750</v>
          </cell>
          <cell r="Q1131">
            <v>0</v>
          </cell>
          <cell r="R1131">
            <v>792000</v>
          </cell>
          <cell r="S1131">
            <v>0</v>
          </cell>
          <cell r="T1131">
            <v>19608900</v>
          </cell>
          <cell r="U1131">
            <v>0</v>
          </cell>
          <cell r="V1131">
            <v>200000</v>
          </cell>
          <cell r="W1131">
            <v>0</v>
          </cell>
          <cell r="X1131">
            <v>0</v>
          </cell>
          <cell r="Y1131">
            <v>0</v>
          </cell>
          <cell r="Z1131">
            <v>28765197</v>
          </cell>
          <cell r="AA1131">
            <v>7695000</v>
          </cell>
          <cell r="AB1131">
            <v>16900000</v>
          </cell>
          <cell r="AC1131">
            <v>1680000</v>
          </cell>
          <cell r="AD1131">
            <v>22959113</v>
          </cell>
          <cell r="AE1131">
            <v>9105154</v>
          </cell>
          <cell r="AF1131">
            <v>0</v>
          </cell>
          <cell r="AG1131">
            <v>16766190</v>
          </cell>
          <cell r="AH1131">
            <v>0</v>
          </cell>
          <cell r="AI1131">
            <v>0</v>
          </cell>
        </row>
        <row r="1132">
          <cell r="A1132">
            <v>104020106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4089990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11725000</v>
          </cell>
          <cell r="AH1132">
            <v>0</v>
          </cell>
          <cell r="AI1132">
            <v>0</v>
          </cell>
        </row>
        <row r="1133">
          <cell r="A1133">
            <v>104020107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403300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</row>
        <row r="1134">
          <cell r="A1134">
            <v>104020108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27000000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</row>
        <row r="1135">
          <cell r="A1135">
            <v>104020109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</row>
        <row r="1136">
          <cell r="A1136">
            <v>104020110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8517087</v>
          </cell>
          <cell r="J1136">
            <v>10713753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5601500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5500000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</row>
        <row r="1137">
          <cell r="A1137">
            <v>104020111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</row>
        <row r="1138">
          <cell r="A1138">
            <v>104020112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13155203</v>
          </cell>
          <cell r="AE1138">
            <v>33762159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</row>
        <row r="1139">
          <cell r="A1139">
            <v>104020113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</row>
        <row r="1140">
          <cell r="A1140">
            <v>104020200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</row>
        <row r="1141">
          <cell r="A1141">
            <v>104020201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457052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64388630</v>
          </cell>
          <cell r="AG1141">
            <v>0</v>
          </cell>
          <cell r="AH1141">
            <v>0</v>
          </cell>
          <cell r="AI1141">
            <v>0</v>
          </cell>
        </row>
        <row r="1142">
          <cell r="A1142">
            <v>104020202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-457052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-64388630</v>
          </cell>
          <cell r="AG1142">
            <v>0</v>
          </cell>
          <cell r="AH1142">
            <v>0</v>
          </cell>
          <cell r="AI1142">
            <v>0</v>
          </cell>
        </row>
        <row r="1143">
          <cell r="A1143">
            <v>104020300</v>
          </cell>
          <cell r="C1143">
            <v>21051648</v>
          </cell>
          <cell r="D1143">
            <v>0</v>
          </cell>
          <cell r="E1143">
            <v>0</v>
          </cell>
          <cell r="F1143">
            <v>0</v>
          </cell>
          <cell r="G1143">
            <v>148354536</v>
          </cell>
          <cell r="H1143">
            <v>0</v>
          </cell>
          <cell r="I1143">
            <v>570985393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806571212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88843575</v>
          </cell>
          <cell r="U1143">
            <v>34536133</v>
          </cell>
          <cell r="V1143">
            <v>0</v>
          </cell>
          <cell r="W1143">
            <v>26821721</v>
          </cell>
          <cell r="X1143">
            <v>0</v>
          </cell>
          <cell r="Y1143">
            <v>28423079</v>
          </cell>
          <cell r="Z1143">
            <v>413786646</v>
          </cell>
          <cell r="AA1143">
            <v>0</v>
          </cell>
          <cell r="AB1143">
            <v>0</v>
          </cell>
          <cell r="AC1143">
            <v>66046462</v>
          </cell>
          <cell r="AD1143">
            <v>0</v>
          </cell>
          <cell r="AE1143">
            <v>97857220</v>
          </cell>
          <cell r="AF1143">
            <v>0</v>
          </cell>
          <cell r="AG1143">
            <v>22227794</v>
          </cell>
          <cell r="AH1143">
            <v>228409646</v>
          </cell>
          <cell r="AI1143">
            <v>0</v>
          </cell>
        </row>
        <row r="1144">
          <cell r="A1144">
            <v>104020301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61918575</v>
          </cell>
          <cell r="U1144">
            <v>1564507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45337784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</row>
        <row r="1145">
          <cell r="A1145">
            <v>104020302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569776579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-5126289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4586000</v>
          </cell>
          <cell r="U1145">
            <v>0</v>
          </cell>
          <cell r="V1145">
            <v>0</v>
          </cell>
          <cell r="W1145">
            <v>26821721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</row>
        <row r="1146">
          <cell r="A1146">
            <v>104020303</v>
          </cell>
          <cell r="C1146">
            <v>21051648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</row>
        <row r="1147">
          <cell r="A1147">
            <v>104020304</v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</row>
        <row r="1148">
          <cell r="A1148">
            <v>104020305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148354536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22780402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22339000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10140329</v>
          </cell>
          <cell r="Z1148">
            <v>413786646</v>
          </cell>
          <cell r="AA1148">
            <v>0</v>
          </cell>
          <cell r="AB1148">
            <v>0</v>
          </cell>
          <cell r="AC1148">
            <v>20708678</v>
          </cell>
          <cell r="AD1148">
            <v>0</v>
          </cell>
          <cell r="AE1148">
            <v>97857220</v>
          </cell>
          <cell r="AF1148">
            <v>0</v>
          </cell>
          <cell r="AG1148">
            <v>22227794</v>
          </cell>
          <cell r="AH1148">
            <v>0</v>
          </cell>
          <cell r="AI1148">
            <v>0</v>
          </cell>
        </row>
        <row r="1149">
          <cell r="A1149">
            <v>104020306</v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</row>
        <row r="1150">
          <cell r="A1150">
            <v>104020307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</row>
        <row r="1151">
          <cell r="A1151">
            <v>104020308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</row>
        <row r="1152">
          <cell r="A1152">
            <v>104020309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</row>
        <row r="1153">
          <cell r="A1153">
            <v>104020310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1208814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32971626</v>
          </cell>
          <cell r="V1153">
            <v>0</v>
          </cell>
          <cell r="W1153">
            <v>0</v>
          </cell>
          <cell r="X1153">
            <v>0</v>
          </cell>
          <cell r="Y1153">
            <v>18282750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228409646</v>
          </cell>
          <cell r="AI1153">
            <v>0</v>
          </cell>
        </row>
        <row r="1154">
          <cell r="A1154">
            <v>104020311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788917099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</row>
        <row r="1155">
          <cell r="A1155">
            <v>104020312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</row>
        <row r="1156">
          <cell r="A1156">
            <v>104020313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</row>
        <row r="1157">
          <cell r="A1157">
            <v>104020400</v>
          </cell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</row>
        <row r="1158">
          <cell r="A1158">
            <v>104020401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</row>
        <row r="1159">
          <cell r="A1159">
            <v>104020402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</row>
        <row r="1160">
          <cell r="A1160">
            <v>104500000</v>
          </cell>
          <cell r="C1160">
            <v>-289256881</v>
          </cell>
          <cell r="D1160">
            <v>-215156928</v>
          </cell>
          <cell r="E1160">
            <v>0</v>
          </cell>
          <cell r="F1160">
            <v>-39527314</v>
          </cell>
          <cell r="G1160">
            <v>-151354536</v>
          </cell>
          <cell r="H1160">
            <v>0</v>
          </cell>
          <cell r="I1160">
            <v>-640069367</v>
          </cell>
          <cell r="J1160">
            <v>-167904414</v>
          </cell>
          <cell r="K1160">
            <v>0</v>
          </cell>
          <cell r="L1160">
            <v>0</v>
          </cell>
          <cell r="M1160">
            <v>0</v>
          </cell>
          <cell r="N1160">
            <v>-24745011</v>
          </cell>
          <cell r="O1160">
            <v>0</v>
          </cell>
          <cell r="P1160">
            <v>-9691490</v>
          </cell>
          <cell r="Q1160">
            <v>-333329727</v>
          </cell>
          <cell r="R1160">
            <v>-7700000</v>
          </cell>
          <cell r="S1160">
            <v>-45905783</v>
          </cell>
          <cell r="T1160">
            <v>-126577676</v>
          </cell>
          <cell r="U1160">
            <v>-89481171</v>
          </cell>
          <cell r="V1160">
            <v>-1600000</v>
          </cell>
          <cell r="W1160">
            <v>-42604332</v>
          </cell>
          <cell r="X1160">
            <v>0</v>
          </cell>
          <cell r="Y1160">
            <v>-28423079</v>
          </cell>
          <cell r="Z1160">
            <v>-604637356</v>
          </cell>
          <cell r="AA1160">
            <v>-19957267</v>
          </cell>
          <cell r="AB1160">
            <v>-21014128</v>
          </cell>
          <cell r="AC1160">
            <v>-287700278</v>
          </cell>
          <cell r="AD1160">
            <v>-247600292</v>
          </cell>
          <cell r="AE1160">
            <v>-224751027</v>
          </cell>
          <cell r="AF1160">
            <v>0</v>
          </cell>
          <cell r="AG1160">
            <v>-68624975</v>
          </cell>
          <cell r="AH1160">
            <v>-267946284</v>
          </cell>
          <cell r="AI1160">
            <v>0</v>
          </cell>
        </row>
        <row r="1161">
          <cell r="A1161">
            <v>104500100</v>
          </cell>
          <cell r="C1161">
            <v>-289256881</v>
          </cell>
          <cell r="D1161">
            <v>-215156928</v>
          </cell>
          <cell r="E1161">
            <v>0</v>
          </cell>
          <cell r="F1161">
            <v>-39527314</v>
          </cell>
          <cell r="G1161">
            <v>-151354536</v>
          </cell>
          <cell r="H1161">
            <v>0</v>
          </cell>
          <cell r="I1161">
            <v>-640069367</v>
          </cell>
          <cell r="J1161">
            <v>-167904414</v>
          </cell>
          <cell r="K1161">
            <v>0</v>
          </cell>
          <cell r="L1161">
            <v>0</v>
          </cell>
          <cell r="M1161">
            <v>0</v>
          </cell>
          <cell r="N1161">
            <v>-24745011</v>
          </cell>
          <cell r="O1161">
            <v>0</v>
          </cell>
          <cell r="P1161">
            <v>-9691490</v>
          </cell>
          <cell r="Q1161">
            <v>-333329727</v>
          </cell>
          <cell r="R1161">
            <v>-7700000</v>
          </cell>
          <cell r="S1161">
            <v>-45905783</v>
          </cell>
          <cell r="T1161">
            <v>-126577676</v>
          </cell>
          <cell r="U1161">
            <v>-89481171</v>
          </cell>
          <cell r="V1161">
            <v>-1600000</v>
          </cell>
          <cell r="W1161">
            <v>-42604332</v>
          </cell>
          <cell r="X1161">
            <v>0</v>
          </cell>
          <cell r="Y1161">
            <v>-28423079</v>
          </cell>
          <cell r="Z1161">
            <v>-604637356</v>
          </cell>
          <cell r="AA1161">
            <v>-19957267</v>
          </cell>
          <cell r="AB1161">
            <v>-21014128</v>
          </cell>
          <cell r="AC1161">
            <v>-287700278</v>
          </cell>
          <cell r="AD1161">
            <v>-247600292</v>
          </cell>
          <cell r="AE1161">
            <v>-224751027</v>
          </cell>
          <cell r="AF1161">
            <v>0</v>
          </cell>
          <cell r="AG1161">
            <v>-68624975</v>
          </cell>
          <cell r="AH1161">
            <v>-267946284</v>
          </cell>
          <cell r="AI1161">
            <v>0</v>
          </cell>
        </row>
        <row r="1162">
          <cell r="A1162">
            <v>104500101</v>
          </cell>
          <cell r="C1162">
            <v>-289256881</v>
          </cell>
          <cell r="D1162">
            <v>-215156928</v>
          </cell>
          <cell r="E1162">
            <v>0</v>
          </cell>
          <cell r="F1162">
            <v>-39527314</v>
          </cell>
          <cell r="G1162">
            <v>-151354536</v>
          </cell>
          <cell r="H1162">
            <v>0</v>
          </cell>
          <cell r="I1162">
            <v>-640069367</v>
          </cell>
          <cell r="J1162">
            <v>-167904414</v>
          </cell>
          <cell r="K1162">
            <v>0</v>
          </cell>
          <cell r="L1162">
            <v>0</v>
          </cell>
          <cell r="M1162">
            <v>0</v>
          </cell>
          <cell r="N1162">
            <v>-24745011</v>
          </cell>
          <cell r="O1162">
            <v>0</v>
          </cell>
          <cell r="P1162">
            <v>-9691490</v>
          </cell>
          <cell r="Q1162">
            <v>-333329727</v>
          </cell>
          <cell r="R1162">
            <v>-7700000</v>
          </cell>
          <cell r="S1162">
            <v>-45905783</v>
          </cell>
          <cell r="T1162">
            <v>-126577676</v>
          </cell>
          <cell r="U1162">
            <v>-89481171</v>
          </cell>
          <cell r="V1162">
            <v>-1600000</v>
          </cell>
          <cell r="W1162">
            <v>-42604332</v>
          </cell>
          <cell r="X1162">
            <v>0</v>
          </cell>
          <cell r="Y1162">
            <v>-28423079</v>
          </cell>
          <cell r="Z1162">
            <v>-604637356</v>
          </cell>
          <cell r="AA1162">
            <v>-19957267</v>
          </cell>
          <cell r="AB1162">
            <v>-21014128</v>
          </cell>
          <cell r="AC1162">
            <v>-287700278</v>
          </cell>
          <cell r="AD1162">
            <v>-247600292</v>
          </cell>
          <cell r="AE1162">
            <v>-224751027</v>
          </cell>
          <cell r="AF1162">
            <v>0</v>
          </cell>
          <cell r="AG1162">
            <v>-68624975</v>
          </cell>
          <cell r="AH1162">
            <v>-267946284</v>
          </cell>
          <cell r="AI1162">
            <v>0</v>
          </cell>
        </row>
        <row r="1163">
          <cell r="A1163">
            <v>105000000</v>
          </cell>
          <cell r="C1163">
            <v>2871914</v>
          </cell>
          <cell r="D1163">
            <v>298464478</v>
          </cell>
          <cell r="E1163">
            <v>9702423</v>
          </cell>
          <cell r="F1163">
            <v>67573288</v>
          </cell>
          <cell r="G1163">
            <v>5238444</v>
          </cell>
          <cell r="H1163">
            <v>87812815</v>
          </cell>
          <cell r="I1163">
            <v>52087943</v>
          </cell>
          <cell r="J1163">
            <v>5040000</v>
          </cell>
          <cell r="K1163">
            <v>1560074</v>
          </cell>
          <cell r="L1163">
            <v>13026433</v>
          </cell>
          <cell r="M1163">
            <v>8982535</v>
          </cell>
          <cell r="N1163">
            <v>101656040</v>
          </cell>
          <cell r="O1163">
            <v>29439535</v>
          </cell>
          <cell r="P1163">
            <v>90413550</v>
          </cell>
          <cell r="Q1163">
            <v>0</v>
          </cell>
          <cell r="R1163">
            <v>60056091</v>
          </cell>
          <cell r="S1163">
            <v>1358070</v>
          </cell>
          <cell r="T1163">
            <v>502097253</v>
          </cell>
          <cell r="U1163">
            <v>0</v>
          </cell>
          <cell r="V1163">
            <v>292199041</v>
          </cell>
          <cell r="W1163">
            <v>54735499</v>
          </cell>
          <cell r="X1163">
            <v>615314784</v>
          </cell>
          <cell r="Y1163">
            <v>0</v>
          </cell>
          <cell r="Z1163">
            <v>24676540</v>
          </cell>
          <cell r="AA1163">
            <v>0</v>
          </cell>
          <cell r="AB1163">
            <v>1005270908</v>
          </cell>
          <cell r="AC1163">
            <v>29239990</v>
          </cell>
          <cell r="AD1163">
            <v>321866254</v>
          </cell>
          <cell r="AE1163">
            <v>621944856</v>
          </cell>
          <cell r="AF1163">
            <v>349588518</v>
          </cell>
          <cell r="AG1163">
            <v>360497108</v>
          </cell>
          <cell r="AH1163">
            <v>20998154</v>
          </cell>
          <cell r="AI1163">
            <v>0</v>
          </cell>
        </row>
        <row r="1164">
          <cell r="A1164">
            <v>105010000</v>
          </cell>
          <cell r="C1164">
            <v>2871914</v>
          </cell>
          <cell r="D1164">
            <v>298464478</v>
          </cell>
          <cell r="E1164">
            <v>9702423</v>
          </cell>
          <cell r="F1164">
            <v>67573288</v>
          </cell>
          <cell r="G1164">
            <v>5238444</v>
          </cell>
          <cell r="H1164">
            <v>87812815</v>
          </cell>
          <cell r="I1164">
            <v>52087943</v>
          </cell>
          <cell r="J1164">
            <v>5040000</v>
          </cell>
          <cell r="K1164">
            <v>1560074</v>
          </cell>
          <cell r="L1164">
            <v>13026433</v>
          </cell>
          <cell r="M1164">
            <v>8982535</v>
          </cell>
          <cell r="N1164">
            <v>101656040</v>
          </cell>
          <cell r="O1164">
            <v>29439535</v>
          </cell>
          <cell r="P1164">
            <v>90413550</v>
          </cell>
          <cell r="Q1164">
            <v>0</v>
          </cell>
          <cell r="R1164">
            <v>60056091</v>
          </cell>
          <cell r="S1164">
            <v>1358070</v>
          </cell>
          <cell r="T1164">
            <v>502097253</v>
          </cell>
          <cell r="U1164">
            <v>0</v>
          </cell>
          <cell r="V1164">
            <v>292199041</v>
          </cell>
          <cell r="W1164">
            <v>54735499</v>
          </cell>
          <cell r="X1164">
            <v>615314784</v>
          </cell>
          <cell r="Y1164">
            <v>0</v>
          </cell>
          <cell r="Z1164">
            <v>24676540</v>
          </cell>
          <cell r="AA1164">
            <v>0</v>
          </cell>
          <cell r="AB1164">
            <v>1005270908</v>
          </cell>
          <cell r="AC1164">
            <v>29239990</v>
          </cell>
          <cell r="AD1164">
            <v>321866254</v>
          </cell>
          <cell r="AE1164">
            <v>621944856</v>
          </cell>
          <cell r="AF1164">
            <v>349588518</v>
          </cell>
          <cell r="AG1164">
            <v>360497108</v>
          </cell>
          <cell r="AH1164">
            <v>20998154</v>
          </cell>
          <cell r="AI1164">
            <v>0</v>
          </cell>
        </row>
        <row r="1165">
          <cell r="A1165">
            <v>105010100</v>
          </cell>
          <cell r="C1165">
            <v>0</v>
          </cell>
          <cell r="D1165">
            <v>7916365</v>
          </cell>
          <cell r="E1165">
            <v>0</v>
          </cell>
          <cell r="F1165">
            <v>59926986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12703693</v>
          </cell>
          <cell r="M1165">
            <v>6942614</v>
          </cell>
          <cell r="N1165">
            <v>32966343</v>
          </cell>
          <cell r="O1165">
            <v>0</v>
          </cell>
          <cell r="P1165">
            <v>0</v>
          </cell>
          <cell r="Q1165">
            <v>0</v>
          </cell>
          <cell r="R1165">
            <v>27011454</v>
          </cell>
          <cell r="S1165">
            <v>0</v>
          </cell>
          <cell r="T1165">
            <v>191226024</v>
          </cell>
          <cell r="U1165">
            <v>0</v>
          </cell>
          <cell r="V1165">
            <v>265140664</v>
          </cell>
          <cell r="W1165">
            <v>31579039</v>
          </cell>
          <cell r="X1165">
            <v>73633626</v>
          </cell>
          <cell r="Y1165">
            <v>0</v>
          </cell>
          <cell r="Z1165">
            <v>22966388</v>
          </cell>
          <cell r="AA1165">
            <v>0</v>
          </cell>
          <cell r="AB1165">
            <v>0</v>
          </cell>
          <cell r="AC1165">
            <v>22793254</v>
          </cell>
          <cell r="AD1165">
            <v>45169177</v>
          </cell>
          <cell r="AE1165">
            <v>303162229</v>
          </cell>
          <cell r="AF1165">
            <v>33530939</v>
          </cell>
          <cell r="AG1165">
            <v>0</v>
          </cell>
          <cell r="AH1165">
            <v>0</v>
          </cell>
          <cell r="AI1165">
            <v>0</v>
          </cell>
        </row>
        <row r="1166">
          <cell r="A1166">
            <v>105010101</v>
          </cell>
          <cell r="C1166">
            <v>0</v>
          </cell>
          <cell r="D1166">
            <v>0</v>
          </cell>
          <cell r="E1166">
            <v>0</v>
          </cell>
          <cell r="F1166">
            <v>7819420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20279044</v>
          </cell>
          <cell r="U1166">
            <v>0</v>
          </cell>
          <cell r="V1166">
            <v>0</v>
          </cell>
          <cell r="W1166">
            <v>10470668</v>
          </cell>
          <cell r="X1166">
            <v>6869092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1560821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</row>
        <row r="1167">
          <cell r="A1167">
            <v>105010102</v>
          </cell>
          <cell r="C1167">
            <v>0</v>
          </cell>
          <cell r="D1167">
            <v>0</v>
          </cell>
          <cell r="E1167">
            <v>0</v>
          </cell>
          <cell r="F1167">
            <v>52107566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12703693</v>
          </cell>
          <cell r="M1167">
            <v>6942614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27011454</v>
          </cell>
          <cell r="S1167">
            <v>0</v>
          </cell>
          <cell r="T1167">
            <v>159652500</v>
          </cell>
          <cell r="U1167">
            <v>0</v>
          </cell>
          <cell r="V1167">
            <v>265140664</v>
          </cell>
          <cell r="W1167">
            <v>15756640</v>
          </cell>
          <cell r="X1167">
            <v>66513139</v>
          </cell>
          <cell r="Y1167">
            <v>0</v>
          </cell>
          <cell r="Z1167">
            <v>22966388</v>
          </cell>
          <cell r="AA1167">
            <v>0</v>
          </cell>
          <cell r="AB1167">
            <v>0</v>
          </cell>
          <cell r="AC1167">
            <v>20148777</v>
          </cell>
          <cell r="AD1167">
            <v>45169177</v>
          </cell>
          <cell r="AE1167">
            <v>251489125</v>
          </cell>
          <cell r="AF1167">
            <v>33530939</v>
          </cell>
          <cell r="AG1167">
            <v>0</v>
          </cell>
          <cell r="AH1167">
            <v>0</v>
          </cell>
          <cell r="AI1167">
            <v>0</v>
          </cell>
        </row>
        <row r="1168">
          <cell r="A1168">
            <v>105010103</v>
          </cell>
          <cell r="C1168">
            <v>0</v>
          </cell>
          <cell r="D1168">
            <v>7916365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32966343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11294480</v>
          </cell>
          <cell r="U1168">
            <v>0</v>
          </cell>
          <cell r="V1168">
            <v>0</v>
          </cell>
          <cell r="W1168">
            <v>5351731</v>
          </cell>
          <cell r="X1168">
            <v>251395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1083656</v>
          </cell>
          <cell r="AD1168">
            <v>0</v>
          </cell>
          <cell r="AE1168">
            <v>51673104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</row>
        <row r="1169">
          <cell r="A1169">
            <v>105010200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16233446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25809989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</row>
        <row r="1170">
          <cell r="A1170">
            <v>105010201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16233446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25809989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</row>
        <row r="1171">
          <cell r="A1171">
            <v>105010300</v>
          </cell>
          <cell r="C1171">
            <v>2871914</v>
          </cell>
          <cell r="D1171">
            <v>12880938</v>
          </cell>
          <cell r="E1171">
            <v>9702423</v>
          </cell>
          <cell r="F1171">
            <v>7646302</v>
          </cell>
          <cell r="G1171">
            <v>5238444</v>
          </cell>
          <cell r="H1171">
            <v>56797942</v>
          </cell>
          <cell r="I1171">
            <v>10741746</v>
          </cell>
          <cell r="J1171">
            <v>0</v>
          </cell>
          <cell r="K1171">
            <v>1560074</v>
          </cell>
          <cell r="L1171">
            <v>322740</v>
          </cell>
          <cell r="M1171">
            <v>2039921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3650973</v>
          </cell>
          <cell r="S1171">
            <v>0</v>
          </cell>
          <cell r="T1171">
            <v>176950884</v>
          </cell>
          <cell r="U1171">
            <v>0</v>
          </cell>
          <cell r="V1171">
            <v>27058377</v>
          </cell>
          <cell r="W1171">
            <v>6923014</v>
          </cell>
          <cell r="X1171">
            <v>39601109</v>
          </cell>
          <cell r="Y1171">
            <v>0</v>
          </cell>
          <cell r="Z1171">
            <v>1710152</v>
          </cell>
          <cell r="AA1171">
            <v>0</v>
          </cell>
          <cell r="AB1171">
            <v>12002659</v>
          </cell>
          <cell r="AC1171">
            <v>0</v>
          </cell>
          <cell r="AD1171">
            <v>276697077</v>
          </cell>
          <cell r="AE1171">
            <v>37967103</v>
          </cell>
          <cell r="AF1171">
            <v>157451759</v>
          </cell>
          <cell r="AG1171">
            <v>352892052</v>
          </cell>
          <cell r="AH1171">
            <v>20998154</v>
          </cell>
          <cell r="AI1171">
            <v>0</v>
          </cell>
        </row>
        <row r="1172">
          <cell r="A1172">
            <v>105010301</v>
          </cell>
          <cell r="C1172">
            <v>2871914</v>
          </cell>
          <cell r="D1172">
            <v>12880938</v>
          </cell>
          <cell r="E1172">
            <v>9702423</v>
          </cell>
          <cell r="F1172">
            <v>7646302</v>
          </cell>
          <cell r="G1172">
            <v>5238444</v>
          </cell>
          <cell r="H1172">
            <v>56797942</v>
          </cell>
          <cell r="I1172">
            <v>10741746</v>
          </cell>
          <cell r="J1172">
            <v>0</v>
          </cell>
          <cell r="K1172">
            <v>1560074</v>
          </cell>
          <cell r="L1172">
            <v>322740</v>
          </cell>
          <cell r="M1172">
            <v>2039921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3650973</v>
          </cell>
          <cell r="S1172">
            <v>0</v>
          </cell>
          <cell r="T1172">
            <v>176950884</v>
          </cell>
          <cell r="U1172">
            <v>0</v>
          </cell>
          <cell r="V1172">
            <v>27058377</v>
          </cell>
          <cell r="W1172">
            <v>6923014</v>
          </cell>
          <cell r="X1172">
            <v>39601109</v>
          </cell>
          <cell r="Y1172">
            <v>0</v>
          </cell>
          <cell r="Z1172">
            <v>1710152</v>
          </cell>
          <cell r="AA1172">
            <v>0</v>
          </cell>
          <cell r="AB1172">
            <v>12002659</v>
          </cell>
          <cell r="AC1172">
            <v>0</v>
          </cell>
          <cell r="AD1172">
            <v>276697077</v>
          </cell>
          <cell r="AE1172">
            <v>37967103</v>
          </cell>
          <cell r="AF1172">
            <v>157451759</v>
          </cell>
          <cell r="AG1172">
            <v>352892052</v>
          </cell>
          <cell r="AH1172">
            <v>20998154</v>
          </cell>
          <cell r="AI1172">
            <v>0</v>
          </cell>
        </row>
        <row r="1173">
          <cell r="A1173">
            <v>105010400</v>
          </cell>
          <cell r="C1173">
            <v>0</v>
          </cell>
          <cell r="D1173">
            <v>3722728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41689697</v>
          </cell>
          <cell r="O1173">
            <v>29439535</v>
          </cell>
          <cell r="P1173">
            <v>90413550</v>
          </cell>
          <cell r="Q1173">
            <v>0</v>
          </cell>
          <cell r="R1173">
            <v>29393664</v>
          </cell>
          <cell r="S1173">
            <v>0</v>
          </cell>
          <cell r="T1173">
            <v>133920345</v>
          </cell>
          <cell r="U1173">
            <v>0</v>
          </cell>
          <cell r="V1173">
            <v>0</v>
          </cell>
          <cell r="W1173">
            <v>0</v>
          </cell>
          <cell r="X1173">
            <v>460917667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2865499</v>
          </cell>
          <cell r="AD1173">
            <v>0</v>
          </cell>
          <cell r="AE1173">
            <v>0</v>
          </cell>
          <cell r="AF1173">
            <v>133109487</v>
          </cell>
          <cell r="AG1173">
            <v>0</v>
          </cell>
          <cell r="AH1173">
            <v>0</v>
          </cell>
          <cell r="AI1173">
            <v>0</v>
          </cell>
        </row>
        <row r="1174">
          <cell r="A1174">
            <v>105010401</v>
          </cell>
          <cell r="C1174">
            <v>0</v>
          </cell>
          <cell r="D1174">
            <v>3722728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41689697</v>
          </cell>
          <cell r="O1174">
            <v>29439535</v>
          </cell>
          <cell r="P1174">
            <v>90413550</v>
          </cell>
          <cell r="Q1174">
            <v>0</v>
          </cell>
          <cell r="R1174">
            <v>29393664</v>
          </cell>
          <cell r="S1174">
            <v>0</v>
          </cell>
          <cell r="T1174">
            <v>133920345</v>
          </cell>
          <cell r="U1174">
            <v>0</v>
          </cell>
          <cell r="V1174">
            <v>0</v>
          </cell>
          <cell r="W1174">
            <v>0</v>
          </cell>
          <cell r="X1174">
            <v>460917667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2865499</v>
          </cell>
          <cell r="AD1174">
            <v>0</v>
          </cell>
          <cell r="AE1174">
            <v>0</v>
          </cell>
          <cell r="AF1174">
            <v>133109487</v>
          </cell>
          <cell r="AG1174">
            <v>0</v>
          </cell>
          <cell r="AH1174">
            <v>0</v>
          </cell>
          <cell r="AI1174">
            <v>0</v>
          </cell>
        </row>
        <row r="1175">
          <cell r="A1175">
            <v>105010500</v>
          </cell>
          <cell r="C1175">
            <v>0</v>
          </cell>
          <cell r="D1175">
            <v>273944447</v>
          </cell>
          <cell r="E1175">
            <v>0</v>
          </cell>
          <cell r="F1175">
            <v>0</v>
          </cell>
          <cell r="G1175">
            <v>0</v>
          </cell>
          <cell r="H1175">
            <v>31014873</v>
          </cell>
          <cell r="I1175">
            <v>37800000</v>
          </cell>
          <cell r="J1175">
            <v>5040000</v>
          </cell>
          <cell r="K1175">
            <v>0</v>
          </cell>
          <cell r="L1175">
            <v>0</v>
          </cell>
          <cell r="M1175">
            <v>0</v>
          </cell>
          <cell r="N1175">
            <v>27000000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18306445</v>
          </cell>
          <cell r="Y1175">
            <v>0</v>
          </cell>
          <cell r="Z1175">
            <v>0</v>
          </cell>
          <cell r="AA1175">
            <v>0</v>
          </cell>
          <cell r="AB1175">
            <v>993268249</v>
          </cell>
          <cell r="AC1175">
            <v>0</v>
          </cell>
          <cell r="AD1175">
            <v>0</v>
          </cell>
          <cell r="AE1175">
            <v>75099198</v>
          </cell>
          <cell r="AF1175">
            <v>25496333</v>
          </cell>
          <cell r="AG1175">
            <v>666667</v>
          </cell>
          <cell r="AH1175">
            <v>0</v>
          </cell>
          <cell r="AI1175">
            <v>0</v>
          </cell>
        </row>
        <row r="1176">
          <cell r="A1176">
            <v>105010501</v>
          </cell>
          <cell r="C1176">
            <v>0</v>
          </cell>
          <cell r="D1176">
            <v>273944447</v>
          </cell>
          <cell r="E1176">
            <v>0</v>
          </cell>
          <cell r="F1176">
            <v>0</v>
          </cell>
          <cell r="G1176">
            <v>0</v>
          </cell>
          <cell r="H1176">
            <v>31014873</v>
          </cell>
          <cell r="I1176">
            <v>37800000</v>
          </cell>
          <cell r="J1176">
            <v>5040000</v>
          </cell>
          <cell r="K1176">
            <v>0</v>
          </cell>
          <cell r="L1176">
            <v>0</v>
          </cell>
          <cell r="M1176">
            <v>0</v>
          </cell>
          <cell r="N1176">
            <v>27000000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18306445</v>
          </cell>
          <cell r="Y1176">
            <v>0</v>
          </cell>
          <cell r="Z1176">
            <v>0</v>
          </cell>
          <cell r="AA1176">
            <v>0</v>
          </cell>
          <cell r="AB1176">
            <v>993268249</v>
          </cell>
          <cell r="AC1176">
            <v>0</v>
          </cell>
          <cell r="AD1176">
            <v>0</v>
          </cell>
          <cell r="AE1176">
            <v>75099198</v>
          </cell>
          <cell r="AF1176">
            <v>25496333</v>
          </cell>
          <cell r="AG1176">
            <v>666667</v>
          </cell>
          <cell r="AH1176">
            <v>0</v>
          </cell>
          <cell r="AI1176">
            <v>0</v>
          </cell>
        </row>
        <row r="1177">
          <cell r="A1177">
            <v>105010600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3546197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1358070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22855937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1568250</v>
          </cell>
          <cell r="AD1177">
            <v>0</v>
          </cell>
          <cell r="AE1177">
            <v>85989595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</row>
        <row r="1178">
          <cell r="A1178">
            <v>105010601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3546197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1358070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22855937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1568250</v>
          </cell>
          <cell r="AD1178">
            <v>0</v>
          </cell>
          <cell r="AE1178">
            <v>85989595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</row>
        <row r="1179">
          <cell r="A1179">
            <v>105010700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2012987</v>
          </cell>
          <cell r="AD1179">
            <v>0</v>
          </cell>
          <cell r="AE1179">
            <v>93916742</v>
          </cell>
          <cell r="AF1179">
            <v>0</v>
          </cell>
          <cell r="AG1179">
            <v>6938389</v>
          </cell>
          <cell r="AH1179">
            <v>0</v>
          </cell>
          <cell r="AI1179">
            <v>0</v>
          </cell>
        </row>
        <row r="1180">
          <cell r="A1180">
            <v>105010701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2012987</v>
          </cell>
          <cell r="AD1180">
            <v>0</v>
          </cell>
          <cell r="AE1180">
            <v>0</v>
          </cell>
          <cell r="AF1180">
            <v>0</v>
          </cell>
          <cell r="AG1180">
            <v>6938389</v>
          </cell>
          <cell r="AH1180">
            <v>0</v>
          </cell>
          <cell r="AI1180">
            <v>0</v>
          </cell>
        </row>
        <row r="1181">
          <cell r="A1181">
            <v>105010702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</row>
        <row r="1182">
          <cell r="A1182">
            <v>105010703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</row>
        <row r="1183">
          <cell r="A1183">
            <v>105010704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</row>
        <row r="1184">
          <cell r="A1184">
            <v>105010705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</row>
        <row r="1185">
          <cell r="A1185">
            <v>105010706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</row>
        <row r="1186">
          <cell r="A1186">
            <v>105010799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93916742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</row>
        <row r="1187">
          <cell r="A1187">
            <v>106000000</v>
          </cell>
          <cell r="C1187">
            <v>408970000</v>
          </cell>
          <cell r="D1187">
            <v>56567907</v>
          </cell>
          <cell r="E1187">
            <v>0</v>
          </cell>
          <cell r="F1187">
            <v>2000000</v>
          </cell>
          <cell r="G1187">
            <v>76096000</v>
          </cell>
          <cell r="H1187">
            <v>317935878</v>
          </cell>
          <cell r="I1187">
            <v>183250000</v>
          </cell>
          <cell r="J1187">
            <v>0</v>
          </cell>
          <cell r="K1187">
            <v>3921000</v>
          </cell>
          <cell r="L1187">
            <v>0</v>
          </cell>
          <cell r="M1187">
            <v>2802271</v>
          </cell>
          <cell r="N1187">
            <v>90000000</v>
          </cell>
          <cell r="O1187">
            <v>39291839</v>
          </cell>
          <cell r="P1187">
            <v>82376100</v>
          </cell>
          <cell r="Q1187">
            <v>0</v>
          </cell>
          <cell r="R1187">
            <v>620000</v>
          </cell>
          <cell r="S1187">
            <v>877500</v>
          </cell>
          <cell r="T1187">
            <v>169633000</v>
          </cell>
          <cell r="U1187">
            <v>0</v>
          </cell>
          <cell r="V1187">
            <v>30791489</v>
          </cell>
          <cell r="W1187">
            <v>132818182</v>
          </cell>
          <cell r="X1187">
            <v>150475000</v>
          </cell>
          <cell r="Y1187">
            <v>0</v>
          </cell>
          <cell r="Z1187">
            <v>0</v>
          </cell>
          <cell r="AA1187">
            <v>0</v>
          </cell>
          <cell r="AB1187">
            <v>121699643</v>
          </cell>
          <cell r="AC1187">
            <v>31623893</v>
          </cell>
          <cell r="AD1187">
            <v>362223816</v>
          </cell>
          <cell r="AE1187">
            <v>70948000</v>
          </cell>
          <cell r="AF1187">
            <v>289683346</v>
          </cell>
          <cell r="AG1187">
            <v>244413125</v>
          </cell>
          <cell r="AH1187">
            <v>0</v>
          </cell>
          <cell r="AI1187">
            <v>0</v>
          </cell>
        </row>
        <row r="1188">
          <cell r="A1188">
            <v>106010000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74623892</v>
          </cell>
          <cell r="AD1188">
            <v>8000000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</row>
        <row r="1189">
          <cell r="A1189">
            <v>106010100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</row>
        <row r="1190">
          <cell r="A1190">
            <v>106010101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</row>
        <row r="1191">
          <cell r="A1191">
            <v>106010102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</row>
        <row r="1192">
          <cell r="A1192">
            <v>106010103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</row>
        <row r="1193">
          <cell r="A1193">
            <v>106010104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</row>
        <row r="1194">
          <cell r="A1194">
            <v>106010105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</row>
        <row r="1195">
          <cell r="A1195">
            <v>106010106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</row>
        <row r="1196">
          <cell r="A1196">
            <v>106010200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</row>
        <row r="1197">
          <cell r="A1197">
            <v>106010201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</row>
        <row r="1198">
          <cell r="A1198">
            <v>106010202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</row>
        <row r="1199">
          <cell r="A1199">
            <v>106010203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</row>
        <row r="1200">
          <cell r="A1200">
            <v>106010204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</row>
        <row r="1201">
          <cell r="A1201">
            <v>106010300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</row>
        <row r="1202">
          <cell r="A1202">
            <v>106010301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</row>
        <row r="1203">
          <cell r="A1203">
            <v>106010302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</row>
        <row r="1204">
          <cell r="A1204">
            <v>106010400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</row>
        <row r="1205">
          <cell r="A1205">
            <v>106010401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</row>
        <row r="1206">
          <cell r="A1206">
            <v>106010402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</row>
        <row r="1207">
          <cell r="A1207">
            <v>106010403</v>
          </cell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</row>
        <row r="1208">
          <cell r="A1208">
            <v>106010404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</row>
        <row r="1209">
          <cell r="A1209">
            <v>106010500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74623892</v>
          </cell>
          <cell r="AD1209">
            <v>8000000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</row>
        <row r="1210">
          <cell r="A1210">
            <v>106010501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8000000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</row>
        <row r="1211">
          <cell r="A1211">
            <v>106010502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74623892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</row>
        <row r="1212">
          <cell r="A1212">
            <v>106020000</v>
          </cell>
          <cell r="C1212">
            <v>408970000</v>
          </cell>
          <cell r="D1212">
            <v>56567907</v>
          </cell>
          <cell r="E1212">
            <v>18271498</v>
          </cell>
          <cell r="F1212">
            <v>22158894</v>
          </cell>
          <cell r="G1212">
            <v>127190674</v>
          </cell>
          <cell r="H1212">
            <v>371677491</v>
          </cell>
          <cell r="I1212">
            <v>183250000</v>
          </cell>
          <cell r="J1212">
            <v>0</v>
          </cell>
          <cell r="K1212">
            <v>3921000</v>
          </cell>
          <cell r="L1212">
            <v>0</v>
          </cell>
          <cell r="M1212">
            <v>2802271</v>
          </cell>
          <cell r="N1212">
            <v>90000000</v>
          </cell>
          <cell r="O1212">
            <v>39291839</v>
          </cell>
          <cell r="P1212">
            <v>82376100</v>
          </cell>
          <cell r="Q1212">
            <v>0</v>
          </cell>
          <cell r="R1212">
            <v>238635429</v>
          </cell>
          <cell r="S1212">
            <v>877500</v>
          </cell>
          <cell r="T1212">
            <v>169633000</v>
          </cell>
          <cell r="U1212">
            <v>0</v>
          </cell>
          <cell r="V1212">
            <v>30791489</v>
          </cell>
          <cell r="W1212">
            <v>197837805</v>
          </cell>
          <cell r="X1212">
            <v>301983172</v>
          </cell>
          <cell r="Y1212">
            <v>0</v>
          </cell>
          <cell r="Z1212">
            <v>0</v>
          </cell>
          <cell r="AA1212">
            <v>0</v>
          </cell>
          <cell r="AB1212">
            <v>122029643</v>
          </cell>
          <cell r="AC1212">
            <v>0</v>
          </cell>
          <cell r="AD1212">
            <v>354223816</v>
          </cell>
          <cell r="AE1212">
            <v>106221132</v>
          </cell>
          <cell r="AF1212">
            <v>300840326</v>
          </cell>
          <cell r="AG1212">
            <v>311090652</v>
          </cell>
          <cell r="AH1212">
            <v>0</v>
          </cell>
          <cell r="AI1212">
            <v>0</v>
          </cell>
        </row>
        <row r="1213">
          <cell r="A1213">
            <v>106020100</v>
          </cell>
          <cell r="C1213">
            <v>408970000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183250000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90000000</v>
          </cell>
          <cell r="O1213">
            <v>0</v>
          </cell>
          <cell r="P1213">
            <v>25000000</v>
          </cell>
          <cell r="Q1213">
            <v>0</v>
          </cell>
          <cell r="R1213">
            <v>0</v>
          </cell>
          <cell r="S1213">
            <v>0</v>
          </cell>
          <cell r="T1213">
            <v>169633000</v>
          </cell>
          <cell r="U1213">
            <v>0</v>
          </cell>
          <cell r="V1213">
            <v>28791489</v>
          </cell>
          <cell r="W1213">
            <v>56000000</v>
          </cell>
          <cell r="X1213">
            <v>150000000</v>
          </cell>
          <cell r="Y1213">
            <v>0</v>
          </cell>
          <cell r="Z1213">
            <v>0</v>
          </cell>
          <cell r="AA1213">
            <v>0</v>
          </cell>
          <cell r="AB1213">
            <v>114259643</v>
          </cell>
          <cell r="AC1213">
            <v>0</v>
          </cell>
          <cell r="AD1213">
            <v>115000000</v>
          </cell>
          <cell r="AE1213">
            <v>51800000</v>
          </cell>
          <cell r="AF1213">
            <v>0</v>
          </cell>
          <cell r="AG1213">
            <v>294428352</v>
          </cell>
          <cell r="AH1213">
            <v>0</v>
          </cell>
          <cell r="AI1213">
            <v>0</v>
          </cell>
        </row>
        <row r="1214">
          <cell r="A1214">
            <v>106020101</v>
          </cell>
          <cell r="C1214">
            <v>408970000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183250000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25000000</v>
          </cell>
          <cell r="Q1214">
            <v>0</v>
          </cell>
          <cell r="R1214">
            <v>0</v>
          </cell>
          <cell r="S1214">
            <v>0</v>
          </cell>
          <cell r="T1214">
            <v>135501000</v>
          </cell>
          <cell r="U1214">
            <v>0</v>
          </cell>
          <cell r="V1214">
            <v>0</v>
          </cell>
          <cell r="W1214">
            <v>0</v>
          </cell>
          <cell r="X1214">
            <v>150000000</v>
          </cell>
          <cell r="Y1214">
            <v>0</v>
          </cell>
          <cell r="Z1214">
            <v>0</v>
          </cell>
          <cell r="AA1214">
            <v>0</v>
          </cell>
          <cell r="AB1214">
            <v>80183000</v>
          </cell>
          <cell r="AC1214">
            <v>0</v>
          </cell>
          <cell r="AD1214">
            <v>115000000</v>
          </cell>
          <cell r="AE1214">
            <v>51800000</v>
          </cell>
          <cell r="AF1214">
            <v>0</v>
          </cell>
          <cell r="AG1214">
            <v>184282727</v>
          </cell>
          <cell r="AH1214">
            <v>0</v>
          </cell>
          <cell r="AI1214">
            <v>0</v>
          </cell>
        </row>
        <row r="1215">
          <cell r="A1215">
            <v>106020102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56000000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34076643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10102500</v>
          </cell>
          <cell r="AH1215">
            <v>0</v>
          </cell>
          <cell r="AI1215">
            <v>0</v>
          </cell>
        </row>
        <row r="1216">
          <cell r="A1216">
            <v>106020103</v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90000000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</row>
        <row r="1217">
          <cell r="A1217">
            <v>106020104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34132000</v>
          </cell>
          <cell r="U1217">
            <v>0</v>
          </cell>
          <cell r="V1217">
            <v>28791489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100043125</v>
          </cell>
          <cell r="AH1217">
            <v>0</v>
          </cell>
          <cell r="AI1217">
            <v>0</v>
          </cell>
        </row>
        <row r="1218">
          <cell r="A1218">
            <v>106020200</v>
          </cell>
          <cell r="C1218">
            <v>0</v>
          </cell>
          <cell r="D1218">
            <v>56567907</v>
          </cell>
          <cell r="E1218">
            <v>18271498</v>
          </cell>
          <cell r="F1218">
            <v>22158894</v>
          </cell>
          <cell r="G1218">
            <v>127190674</v>
          </cell>
          <cell r="H1218">
            <v>371677491</v>
          </cell>
          <cell r="I1218">
            <v>0</v>
          </cell>
          <cell r="J1218">
            <v>0</v>
          </cell>
          <cell r="K1218">
            <v>3921000</v>
          </cell>
          <cell r="L1218">
            <v>0</v>
          </cell>
          <cell r="M1218">
            <v>2802271</v>
          </cell>
          <cell r="N1218">
            <v>0</v>
          </cell>
          <cell r="O1218">
            <v>39291839</v>
          </cell>
          <cell r="P1218">
            <v>57376100</v>
          </cell>
          <cell r="Q1218">
            <v>0</v>
          </cell>
          <cell r="R1218">
            <v>238635429</v>
          </cell>
          <cell r="S1218">
            <v>877500</v>
          </cell>
          <cell r="T1218">
            <v>0</v>
          </cell>
          <cell r="U1218">
            <v>0</v>
          </cell>
          <cell r="V1218">
            <v>2000000</v>
          </cell>
          <cell r="W1218">
            <v>141837805</v>
          </cell>
          <cell r="X1218">
            <v>151983172</v>
          </cell>
          <cell r="Y1218">
            <v>0</v>
          </cell>
          <cell r="Z1218">
            <v>0</v>
          </cell>
          <cell r="AA1218">
            <v>0</v>
          </cell>
          <cell r="AB1218">
            <v>7770000</v>
          </cell>
          <cell r="AC1218">
            <v>0</v>
          </cell>
          <cell r="AD1218">
            <v>239223816</v>
          </cell>
          <cell r="AE1218">
            <v>54421132</v>
          </cell>
          <cell r="AF1218">
            <v>300840326</v>
          </cell>
          <cell r="AG1218">
            <v>16662300</v>
          </cell>
          <cell r="AH1218">
            <v>0</v>
          </cell>
          <cell r="AI1218">
            <v>0</v>
          </cell>
        </row>
        <row r="1219">
          <cell r="A1219">
            <v>106020201</v>
          </cell>
          <cell r="C1219">
            <v>0</v>
          </cell>
          <cell r="D1219">
            <v>56567907</v>
          </cell>
          <cell r="E1219">
            <v>18271498</v>
          </cell>
          <cell r="F1219">
            <v>22158894</v>
          </cell>
          <cell r="G1219">
            <v>127190674</v>
          </cell>
          <cell r="H1219">
            <v>371677491</v>
          </cell>
          <cell r="I1219">
            <v>0</v>
          </cell>
          <cell r="J1219">
            <v>0</v>
          </cell>
          <cell r="K1219">
            <v>3921000</v>
          </cell>
          <cell r="L1219">
            <v>0</v>
          </cell>
          <cell r="M1219">
            <v>2802271</v>
          </cell>
          <cell r="N1219">
            <v>0</v>
          </cell>
          <cell r="O1219">
            <v>39291839</v>
          </cell>
          <cell r="P1219">
            <v>57376100</v>
          </cell>
          <cell r="Q1219">
            <v>0</v>
          </cell>
          <cell r="R1219">
            <v>238635429</v>
          </cell>
          <cell r="S1219">
            <v>877500</v>
          </cell>
          <cell r="T1219">
            <v>0</v>
          </cell>
          <cell r="U1219">
            <v>0</v>
          </cell>
          <cell r="V1219">
            <v>2000000</v>
          </cell>
          <cell r="W1219">
            <v>141837805</v>
          </cell>
          <cell r="X1219">
            <v>151983172</v>
          </cell>
          <cell r="Y1219">
            <v>0</v>
          </cell>
          <cell r="Z1219">
            <v>0</v>
          </cell>
          <cell r="AA1219">
            <v>0</v>
          </cell>
          <cell r="AB1219">
            <v>7770000</v>
          </cell>
          <cell r="AC1219">
            <v>0</v>
          </cell>
          <cell r="AD1219">
            <v>239223816</v>
          </cell>
          <cell r="AE1219">
            <v>54421132</v>
          </cell>
          <cell r="AF1219">
            <v>300840326</v>
          </cell>
          <cell r="AG1219">
            <v>16662300</v>
          </cell>
          <cell r="AH1219">
            <v>0</v>
          </cell>
          <cell r="AI1219">
            <v>0</v>
          </cell>
        </row>
        <row r="1220">
          <cell r="A1220">
            <v>106500000</v>
          </cell>
          <cell r="C1220">
            <v>0</v>
          </cell>
          <cell r="D1220">
            <v>0</v>
          </cell>
          <cell r="E1220">
            <v>-18271498</v>
          </cell>
          <cell r="F1220">
            <v>-20158894</v>
          </cell>
          <cell r="G1220">
            <v>-51094674</v>
          </cell>
          <cell r="H1220">
            <v>-53741613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-238015429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-65019623</v>
          </cell>
          <cell r="X1220">
            <v>-151508172</v>
          </cell>
          <cell r="Y1220">
            <v>0</v>
          </cell>
          <cell r="Z1220">
            <v>0</v>
          </cell>
          <cell r="AA1220">
            <v>0</v>
          </cell>
          <cell r="AB1220">
            <v>-330000</v>
          </cell>
          <cell r="AC1220">
            <v>-42999999</v>
          </cell>
          <cell r="AD1220">
            <v>0</v>
          </cell>
          <cell r="AE1220">
            <v>-35273132</v>
          </cell>
          <cell r="AF1220">
            <v>-11156980</v>
          </cell>
          <cell r="AG1220">
            <v>-66677527</v>
          </cell>
          <cell r="AH1220">
            <v>0</v>
          </cell>
          <cell r="AI1220">
            <v>0</v>
          </cell>
        </row>
        <row r="1221">
          <cell r="A1221">
            <v>106500100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-238015429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-42999999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</row>
        <row r="1222">
          <cell r="A1222">
            <v>106500101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-238015429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</row>
        <row r="1223">
          <cell r="A1223">
            <v>106500102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</row>
        <row r="1224">
          <cell r="A1224">
            <v>106500103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-42999999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</row>
        <row r="1225">
          <cell r="A1225">
            <v>106500200</v>
          </cell>
          <cell r="C1225">
            <v>0</v>
          </cell>
          <cell r="D1225">
            <v>0</v>
          </cell>
          <cell r="E1225">
            <v>-18271498</v>
          </cell>
          <cell r="F1225">
            <v>-20158894</v>
          </cell>
          <cell r="G1225">
            <v>-51094674</v>
          </cell>
          <cell r="H1225">
            <v>-53741613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-65019623</v>
          </cell>
          <cell r="X1225">
            <v>-151508172</v>
          </cell>
          <cell r="Y1225">
            <v>0</v>
          </cell>
          <cell r="Z1225">
            <v>0</v>
          </cell>
          <cell r="AA1225">
            <v>0</v>
          </cell>
          <cell r="AB1225">
            <v>-330000</v>
          </cell>
          <cell r="AC1225">
            <v>0</v>
          </cell>
          <cell r="AD1225">
            <v>0</v>
          </cell>
          <cell r="AE1225">
            <v>-35273132</v>
          </cell>
          <cell r="AF1225">
            <v>-11156980</v>
          </cell>
          <cell r="AG1225">
            <v>-66677527</v>
          </cell>
          <cell r="AH1225">
            <v>0</v>
          </cell>
          <cell r="AI1225">
            <v>0</v>
          </cell>
        </row>
        <row r="1226">
          <cell r="A1226">
            <v>106500201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-50015227</v>
          </cell>
          <cell r="AH1226">
            <v>0</v>
          </cell>
          <cell r="AI1226">
            <v>0</v>
          </cell>
        </row>
        <row r="1227">
          <cell r="A1227">
            <v>106500202</v>
          </cell>
          <cell r="C1227">
            <v>0</v>
          </cell>
          <cell r="D1227">
            <v>0</v>
          </cell>
          <cell r="E1227">
            <v>-18271498</v>
          </cell>
          <cell r="F1227">
            <v>-20158894</v>
          </cell>
          <cell r="G1227">
            <v>-51094674</v>
          </cell>
          <cell r="H1227">
            <v>-53741613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-65019623</v>
          </cell>
          <cell r="X1227">
            <v>-151508172</v>
          </cell>
          <cell r="Y1227">
            <v>0</v>
          </cell>
          <cell r="Z1227">
            <v>0</v>
          </cell>
          <cell r="AA1227">
            <v>0</v>
          </cell>
          <cell r="AB1227">
            <v>-330000</v>
          </cell>
          <cell r="AC1227">
            <v>0</v>
          </cell>
          <cell r="AD1227">
            <v>0</v>
          </cell>
          <cell r="AE1227">
            <v>-35273132</v>
          </cell>
          <cell r="AF1227">
            <v>-11156980</v>
          </cell>
          <cell r="AG1227">
            <v>-16662300</v>
          </cell>
          <cell r="AH1227">
            <v>0</v>
          </cell>
          <cell r="AI1227">
            <v>0</v>
          </cell>
        </row>
        <row r="1228">
          <cell r="A1228">
            <v>107000000</v>
          </cell>
          <cell r="C1228">
            <v>15400437823</v>
          </cell>
          <cell r="D1228">
            <v>15690011013</v>
          </cell>
          <cell r="E1228">
            <v>14265538603</v>
          </cell>
          <cell r="F1228">
            <v>3615854237</v>
          </cell>
          <cell r="G1228">
            <v>16820767568</v>
          </cell>
          <cell r="H1228">
            <v>26349046014</v>
          </cell>
          <cell r="I1228">
            <v>9906055051</v>
          </cell>
          <cell r="J1228">
            <v>12444445665</v>
          </cell>
          <cell r="K1228">
            <v>4754855344</v>
          </cell>
          <cell r="L1228">
            <v>8317406059</v>
          </cell>
          <cell r="M1228">
            <v>3536355191</v>
          </cell>
          <cell r="N1228">
            <v>1743160000</v>
          </cell>
          <cell r="O1228">
            <v>4092960424</v>
          </cell>
          <cell r="P1228">
            <v>5025634820</v>
          </cell>
          <cell r="Q1228">
            <v>6577489466</v>
          </cell>
          <cell r="R1228">
            <v>6251648231</v>
          </cell>
          <cell r="S1228">
            <v>2184795091</v>
          </cell>
          <cell r="T1228">
            <v>8174167366</v>
          </cell>
          <cell r="U1228">
            <v>5881780272</v>
          </cell>
          <cell r="V1228">
            <v>19250538230</v>
          </cell>
          <cell r="W1228">
            <v>4439980381</v>
          </cell>
          <cell r="X1228">
            <v>11795613056</v>
          </cell>
          <cell r="Y1228">
            <v>2908447170</v>
          </cell>
          <cell r="Z1228">
            <v>11692735162</v>
          </cell>
          <cell r="AA1228">
            <v>4028988769</v>
          </cell>
          <cell r="AB1228">
            <v>20498532178</v>
          </cell>
          <cell r="AC1228">
            <v>3513874270</v>
          </cell>
          <cell r="AD1228">
            <v>7926674383</v>
          </cell>
          <cell r="AE1228">
            <v>76313657680</v>
          </cell>
          <cell r="AF1228">
            <v>8296557596</v>
          </cell>
          <cell r="AG1228">
            <v>4145139042</v>
          </cell>
          <cell r="AH1228">
            <v>11542378596</v>
          </cell>
          <cell r="AI1228">
            <v>2378000000</v>
          </cell>
        </row>
        <row r="1229">
          <cell r="A1229">
            <v>107010000</v>
          </cell>
          <cell r="C1229">
            <v>8767819831</v>
          </cell>
          <cell r="D1229">
            <v>15690011013</v>
          </cell>
          <cell r="E1229">
            <v>6801447052</v>
          </cell>
          <cell r="F1229">
            <v>356152835</v>
          </cell>
          <cell r="G1229">
            <v>15186877156</v>
          </cell>
          <cell r="H1229">
            <v>19418841382</v>
          </cell>
          <cell r="I1229">
            <v>9166242620</v>
          </cell>
          <cell r="J1229">
            <v>3176169896</v>
          </cell>
          <cell r="K1229">
            <v>4754855344</v>
          </cell>
          <cell r="L1229">
            <v>8317406059</v>
          </cell>
          <cell r="M1229">
            <v>3536355191</v>
          </cell>
          <cell r="N1229">
            <v>1743160000</v>
          </cell>
          <cell r="O1229">
            <v>3181409256</v>
          </cell>
          <cell r="P1229">
            <v>4978324579</v>
          </cell>
          <cell r="Q1229">
            <v>6577489466</v>
          </cell>
          <cell r="R1229">
            <v>4757992944</v>
          </cell>
          <cell r="S1229">
            <v>2184795091</v>
          </cell>
          <cell r="T1229">
            <v>8174167366</v>
          </cell>
          <cell r="U1229">
            <v>0</v>
          </cell>
          <cell r="V1229">
            <v>18250538230</v>
          </cell>
          <cell r="W1229">
            <v>3623123841</v>
          </cell>
          <cell r="X1229">
            <v>6272182399</v>
          </cell>
          <cell r="Y1229">
            <v>2908447170</v>
          </cell>
          <cell r="Z1229">
            <v>7381368145</v>
          </cell>
          <cell r="AA1229">
            <v>3197847581</v>
          </cell>
          <cell r="AB1229">
            <v>16228318097</v>
          </cell>
          <cell r="AC1229">
            <v>3291229870</v>
          </cell>
          <cell r="AD1229">
            <v>7926674383</v>
          </cell>
          <cell r="AE1229">
            <v>76313657680</v>
          </cell>
          <cell r="AF1229">
            <v>7739428640</v>
          </cell>
          <cell r="AG1229">
            <v>3225630984</v>
          </cell>
          <cell r="AH1229">
            <v>11310537423</v>
          </cell>
          <cell r="AI1229">
            <v>2378000000</v>
          </cell>
        </row>
        <row r="1230">
          <cell r="A1230">
            <v>107010100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480000000</v>
          </cell>
          <cell r="J1230">
            <v>428040000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20000000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237800000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</row>
        <row r="1231">
          <cell r="A1231">
            <v>107010101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480000000</v>
          </cell>
          <cell r="J1231">
            <v>428040000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20000000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237800000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</row>
        <row r="1232">
          <cell r="A1232">
            <v>107010102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</row>
        <row r="1233">
          <cell r="A1233">
            <v>107010200</v>
          </cell>
          <cell r="C1233">
            <v>8414801770</v>
          </cell>
          <cell r="D1233">
            <v>15635200000</v>
          </cell>
          <cell r="E1233">
            <v>6710016142</v>
          </cell>
          <cell r="F1233">
            <v>337805500</v>
          </cell>
          <cell r="G1233">
            <v>14975000000</v>
          </cell>
          <cell r="H1233">
            <v>18665780000</v>
          </cell>
          <cell r="I1233">
            <v>7349785743</v>
          </cell>
          <cell r="J1233">
            <v>2654840000</v>
          </cell>
          <cell r="K1233">
            <v>4500000000</v>
          </cell>
          <cell r="L1233">
            <v>8046805500</v>
          </cell>
          <cell r="M1233">
            <v>3507400000</v>
          </cell>
          <cell r="N1233">
            <v>1743160000</v>
          </cell>
          <cell r="O1233">
            <v>3118294300</v>
          </cell>
          <cell r="P1233">
            <v>4864560000</v>
          </cell>
          <cell r="Q1233">
            <v>6426275000</v>
          </cell>
          <cell r="R1233">
            <v>4785693750</v>
          </cell>
          <cell r="S1233">
            <v>2164116281</v>
          </cell>
          <cell r="T1233">
            <v>8023172101</v>
          </cell>
          <cell r="U1233">
            <v>0</v>
          </cell>
          <cell r="V1233">
            <v>18162000000</v>
          </cell>
          <cell r="W1233">
            <v>2975472328</v>
          </cell>
          <cell r="X1233">
            <v>5693868530</v>
          </cell>
          <cell r="Y1233">
            <v>2737389760</v>
          </cell>
          <cell r="Z1233">
            <v>7017400857</v>
          </cell>
          <cell r="AA1233">
            <v>3142170000</v>
          </cell>
          <cell r="AB1233">
            <v>15588920000</v>
          </cell>
          <cell r="AC1233">
            <v>3015833445</v>
          </cell>
          <cell r="AD1233">
            <v>7610200000</v>
          </cell>
          <cell r="AE1233">
            <v>72718360000</v>
          </cell>
          <cell r="AF1233">
            <v>7005500000</v>
          </cell>
          <cell r="AG1233">
            <v>2475156133</v>
          </cell>
          <cell r="AH1233">
            <v>11213400000</v>
          </cell>
          <cell r="AI1233">
            <v>2378000000</v>
          </cell>
        </row>
        <row r="1234">
          <cell r="A1234">
            <v>107010201</v>
          </cell>
          <cell r="C1234">
            <v>8414801770</v>
          </cell>
          <cell r="D1234">
            <v>15635200000</v>
          </cell>
          <cell r="E1234">
            <v>6710016142</v>
          </cell>
          <cell r="F1234">
            <v>337805500</v>
          </cell>
          <cell r="G1234">
            <v>0</v>
          </cell>
          <cell r="H1234">
            <v>18665780000</v>
          </cell>
          <cell r="I1234">
            <v>7349785743</v>
          </cell>
          <cell r="J1234">
            <v>2654840000</v>
          </cell>
          <cell r="K1234">
            <v>4500000000</v>
          </cell>
          <cell r="L1234">
            <v>7809000000</v>
          </cell>
          <cell r="M1234">
            <v>3507400000</v>
          </cell>
          <cell r="N1234">
            <v>0</v>
          </cell>
          <cell r="O1234">
            <v>3118294300</v>
          </cell>
          <cell r="P1234">
            <v>4864560000</v>
          </cell>
          <cell r="Q1234">
            <v>6426275000</v>
          </cell>
          <cell r="R1234">
            <v>4298750000</v>
          </cell>
          <cell r="S1234">
            <v>2164116281</v>
          </cell>
          <cell r="T1234">
            <v>8023172101</v>
          </cell>
          <cell r="U1234">
            <v>0</v>
          </cell>
          <cell r="V1234">
            <v>18162000000</v>
          </cell>
          <cell r="W1234">
            <v>2975472328</v>
          </cell>
          <cell r="X1234">
            <v>5693868530</v>
          </cell>
          <cell r="Y1234">
            <v>2737389760</v>
          </cell>
          <cell r="Z1234">
            <v>7017400857</v>
          </cell>
          <cell r="AA1234">
            <v>3142170000</v>
          </cell>
          <cell r="AB1234">
            <v>15588920000</v>
          </cell>
          <cell r="AC1234">
            <v>3015833445</v>
          </cell>
          <cell r="AD1234">
            <v>7610200000</v>
          </cell>
          <cell r="AE1234">
            <v>72718360000</v>
          </cell>
          <cell r="AF1234">
            <v>7005500000</v>
          </cell>
          <cell r="AG1234">
            <v>2475156133</v>
          </cell>
          <cell r="AH1234">
            <v>11213400000</v>
          </cell>
          <cell r="AI1234">
            <v>2378000000</v>
          </cell>
        </row>
        <row r="1235">
          <cell r="A1235">
            <v>107010202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14975000000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237805500</v>
          </cell>
          <cell r="M1235">
            <v>0</v>
          </cell>
          <cell r="N1235">
            <v>1743160000</v>
          </cell>
          <cell r="O1235">
            <v>0</v>
          </cell>
          <cell r="P1235">
            <v>0</v>
          </cell>
          <cell r="Q1235">
            <v>0</v>
          </cell>
          <cell r="R1235">
            <v>486943750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</row>
        <row r="1236">
          <cell r="A1236">
            <v>107010300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1088280000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50000000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475000000</v>
          </cell>
          <cell r="X1236">
            <v>85608000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500000000</v>
          </cell>
          <cell r="AG1236">
            <v>713416500</v>
          </cell>
          <cell r="AH1236">
            <v>0</v>
          </cell>
          <cell r="AI1236">
            <v>0</v>
          </cell>
        </row>
        <row r="1237">
          <cell r="A1237">
            <v>107010301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1088280000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50000000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475000000</v>
          </cell>
          <cell r="X1237">
            <v>85608000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500000000</v>
          </cell>
          <cell r="AG1237">
            <v>713416500</v>
          </cell>
          <cell r="AH1237">
            <v>0</v>
          </cell>
          <cell r="AI1237">
            <v>0</v>
          </cell>
        </row>
        <row r="1238">
          <cell r="A1238">
            <v>107010400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</row>
        <row r="1239">
          <cell r="A1239">
            <v>107010401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</row>
        <row r="1240">
          <cell r="A1240">
            <v>107010500</v>
          </cell>
          <cell r="C1240">
            <v>131867005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134715322</v>
          </cell>
          <cell r="J1240">
            <v>0</v>
          </cell>
          <cell r="K1240">
            <v>1616456663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282772254</v>
          </cell>
          <cell r="S1240">
            <v>0</v>
          </cell>
          <cell r="T1240">
            <v>0</v>
          </cell>
          <cell r="U1240">
            <v>449886</v>
          </cell>
          <cell r="V1240">
            <v>0</v>
          </cell>
          <cell r="W1240">
            <v>315688072</v>
          </cell>
          <cell r="X1240">
            <v>0</v>
          </cell>
          <cell r="Y1240">
            <v>114311610</v>
          </cell>
          <cell r="Z1240">
            <v>1321618010</v>
          </cell>
          <cell r="AA1240">
            <v>378024421</v>
          </cell>
          <cell r="AB1240">
            <v>0</v>
          </cell>
          <cell r="AC1240">
            <v>149788700</v>
          </cell>
          <cell r="AD1240">
            <v>0</v>
          </cell>
          <cell r="AE1240">
            <v>327258214</v>
          </cell>
          <cell r="AF1240">
            <v>0</v>
          </cell>
          <cell r="AG1240">
            <v>7527550</v>
          </cell>
          <cell r="AH1240">
            <v>0</v>
          </cell>
          <cell r="AI1240">
            <v>0</v>
          </cell>
        </row>
        <row r="1241">
          <cell r="A1241">
            <v>107010501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128596566</v>
          </cell>
          <cell r="J1241">
            <v>0</v>
          </cell>
          <cell r="K1241">
            <v>1616456663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315688072</v>
          </cell>
          <cell r="X1241">
            <v>0</v>
          </cell>
          <cell r="Y1241">
            <v>0</v>
          </cell>
          <cell r="Z1241">
            <v>1176920824</v>
          </cell>
          <cell r="AA1241">
            <v>378024421</v>
          </cell>
          <cell r="AB1241">
            <v>0</v>
          </cell>
          <cell r="AC1241">
            <v>0</v>
          </cell>
          <cell r="AD1241">
            <v>0</v>
          </cell>
          <cell r="AE1241">
            <v>97028214</v>
          </cell>
          <cell r="AF1241">
            <v>0</v>
          </cell>
          <cell r="AG1241">
            <v>7527550</v>
          </cell>
          <cell r="AH1241">
            <v>0</v>
          </cell>
          <cell r="AI1241">
            <v>0</v>
          </cell>
        </row>
        <row r="1242">
          <cell r="A1242">
            <v>107010502</v>
          </cell>
          <cell r="C1242">
            <v>131867005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6118756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282772254</v>
          </cell>
          <cell r="S1242">
            <v>0</v>
          </cell>
          <cell r="T1242">
            <v>0</v>
          </cell>
          <cell r="U1242">
            <v>449886</v>
          </cell>
          <cell r="V1242">
            <v>0</v>
          </cell>
          <cell r="W1242">
            <v>0</v>
          </cell>
          <cell r="X1242">
            <v>0</v>
          </cell>
          <cell r="Y1242">
            <v>114311610</v>
          </cell>
          <cell r="Z1242">
            <v>144697186</v>
          </cell>
          <cell r="AA1242">
            <v>0</v>
          </cell>
          <cell r="AB1242">
            <v>0</v>
          </cell>
          <cell r="AC1242">
            <v>149788700</v>
          </cell>
          <cell r="AD1242">
            <v>0</v>
          </cell>
          <cell r="AE1242">
            <v>230230000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</row>
        <row r="1243">
          <cell r="A1243">
            <v>107010600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</row>
        <row r="1244">
          <cell r="A1244">
            <v>107010601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</row>
        <row r="1245">
          <cell r="A1245">
            <v>107014000</v>
          </cell>
          <cell r="C1245">
            <v>221151056</v>
          </cell>
          <cell r="D1245">
            <v>54811013</v>
          </cell>
          <cell r="E1245">
            <v>91430910</v>
          </cell>
          <cell r="F1245">
            <v>18347335</v>
          </cell>
          <cell r="G1245">
            <v>211877156</v>
          </cell>
          <cell r="H1245">
            <v>753061382</v>
          </cell>
          <cell r="I1245">
            <v>248176877</v>
          </cell>
          <cell r="J1245">
            <v>93289896</v>
          </cell>
          <cell r="K1245">
            <v>254855344</v>
          </cell>
          <cell r="L1245">
            <v>270600559</v>
          </cell>
          <cell r="M1245">
            <v>28955191</v>
          </cell>
          <cell r="N1245">
            <v>0</v>
          </cell>
          <cell r="O1245">
            <v>63114956</v>
          </cell>
          <cell r="P1245">
            <v>113764579</v>
          </cell>
          <cell r="Q1245">
            <v>151214466</v>
          </cell>
          <cell r="R1245">
            <v>48041486</v>
          </cell>
          <cell r="S1245">
            <v>20678810</v>
          </cell>
          <cell r="T1245">
            <v>150995265</v>
          </cell>
          <cell r="U1245">
            <v>0</v>
          </cell>
          <cell r="V1245">
            <v>88538230</v>
          </cell>
          <cell r="W1245">
            <v>152651513</v>
          </cell>
          <cell r="X1245">
            <v>492705869</v>
          </cell>
          <cell r="Y1245">
            <v>56745800</v>
          </cell>
          <cell r="Z1245">
            <v>219270102</v>
          </cell>
          <cell r="AA1245">
            <v>55677581</v>
          </cell>
          <cell r="AB1245">
            <v>639398097</v>
          </cell>
          <cell r="AC1245">
            <v>125607725</v>
          </cell>
          <cell r="AD1245">
            <v>78674383</v>
          </cell>
          <cell r="AE1245">
            <v>3364259008</v>
          </cell>
          <cell r="AF1245">
            <v>233928640</v>
          </cell>
          <cell r="AG1245">
            <v>37058351</v>
          </cell>
          <cell r="AH1245">
            <v>97137423</v>
          </cell>
          <cell r="AI1245">
            <v>0</v>
          </cell>
        </row>
        <row r="1246">
          <cell r="A1246">
            <v>107014001</v>
          </cell>
          <cell r="C1246">
            <v>606219287</v>
          </cell>
          <cell r="D1246">
            <v>1070206741</v>
          </cell>
          <cell r="E1246">
            <v>286113555</v>
          </cell>
          <cell r="F1246">
            <v>23349120</v>
          </cell>
          <cell r="G1246">
            <v>1138009504</v>
          </cell>
          <cell r="H1246">
            <v>2076526883</v>
          </cell>
          <cell r="I1246">
            <v>1064125560</v>
          </cell>
          <cell r="J1246">
            <v>386240283</v>
          </cell>
          <cell r="K1246">
            <v>533683290</v>
          </cell>
          <cell r="L1246">
            <v>1560408354</v>
          </cell>
          <cell r="M1246">
            <v>167261177</v>
          </cell>
          <cell r="N1246">
            <v>0</v>
          </cell>
          <cell r="O1246">
            <v>244494166</v>
          </cell>
          <cell r="P1246">
            <v>261765965</v>
          </cell>
          <cell r="Q1246">
            <v>509533095</v>
          </cell>
          <cell r="R1246">
            <v>410963725</v>
          </cell>
          <cell r="S1246">
            <v>79619180</v>
          </cell>
          <cell r="T1246">
            <v>262942290</v>
          </cell>
          <cell r="U1246">
            <v>0</v>
          </cell>
          <cell r="V1246">
            <v>2965165282</v>
          </cell>
          <cell r="W1246">
            <v>362371375</v>
          </cell>
          <cell r="X1246">
            <v>782070172</v>
          </cell>
          <cell r="Y1246">
            <v>198218441</v>
          </cell>
          <cell r="Z1246">
            <v>686382583</v>
          </cell>
          <cell r="AA1246">
            <v>246211125</v>
          </cell>
          <cell r="AB1246">
            <v>1279381351</v>
          </cell>
          <cell r="AC1246">
            <v>479811084</v>
          </cell>
          <cell r="AD1246">
            <v>698434622</v>
          </cell>
          <cell r="AE1246">
            <v>6628086890</v>
          </cell>
          <cell r="AF1246">
            <v>1078789929</v>
          </cell>
          <cell r="AG1246">
            <v>379609925</v>
          </cell>
          <cell r="AH1246">
            <v>711763455</v>
          </cell>
          <cell r="AI1246">
            <v>0</v>
          </cell>
        </row>
        <row r="1247">
          <cell r="A1247">
            <v>107014002</v>
          </cell>
          <cell r="C1247">
            <v>-385068231</v>
          </cell>
          <cell r="D1247">
            <v>-1015395728</v>
          </cell>
          <cell r="E1247">
            <v>-194682645</v>
          </cell>
          <cell r="F1247">
            <v>-5001785</v>
          </cell>
          <cell r="G1247">
            <v>-926132348</v>
          </cell>
          <cell r="H1247">
            <v>-1323465501</v>
          </cell>
          <cell r="I1247">
            <v>-815948683</v>
          </cell>
          <cell r="J1247">
            <v>-292950387</v>
          </cell>
          <cell r="K1247">
            <v>-278827946</v>
          </cell>
          <cell r="L1247">
            <v>-1289807795</v>
          </cell>
          <cell r="M1247">
            <v>-138305986</v>
          </cell>
          <cell r="N1247">
            <v>0</v>
          </cell>
          <cell r="O1247">
            <v>-181379210</v>
          </cell>
          <cell r="P1247">
            <v>-148001386</v>
          </cell>
          <cell r="Q1247">
            <v>-358318629</v>
          </cell>
          <cell r="R1247">
            <v>-362922239</v>
          </cell>
          <cell r="S1247">
            <v>-58940370</v>
          </cell>
          <cell r="T1247">
            <v>-111947025</v>
          </cell>
          <cell r="U1247">
            <v>0</v>
          </cell>
          <cell r="V1247">
            <v>-2876627052</v>
          </cell>
          <cell r="W1247">
            <v>-209719862</v>
          </cell>
          <cell r="X1247">
            <v>-289364303</v>
          </cell>
          <cell r="Y1247">
            <v>-141472641</v>
          </cell>
          <cell r="Z1247">
            <v>-467112481</v>
          </cell>
          <cell r="AA1247">
            <v>-190533544</v>
          </cell>
          <cell r="AB1247">
            <v>-639983254</v>
          </cell>
          <cell r="AC1247">
            <v>-354203359</v>
          </cell>
          <cell r="AD1247">
            <v>-619760239</v>
          </cell>
          <cell r="AE1247">
            <v>-3263827882</v>
          </cell>
          <cell r="AF1247">
            <v>-844861289</v>
          </cell>
          <cell r="AG1247">
            <v>-342551574</v>
          </cell>
          <cell r="AH1247">
            <v>-614626032</v>
          </cell>
          <cell r="AI1247">
            <v>0</v>
          </cell>
        </row>
        <row r="1248">
          <cell r="A1248">
            <v>107015000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-134715322</v>
          </cell>
          <cell r="J1248">
            <v>0</v>
          </cell>
          <cell r="K1248">
            <v>-1616456663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-408514546</v>
          </cell>
          <cell r="S1248">
            <v>0</v>
          </cell>
          <cell r="T1248">
            <v>0</v>
          </cell>
          <cell r="U1248">
            <v>-449886</v>
          </cell>
          <cell r="V1248">
            <v>0</v>
          </cell>
          <cell r="W1248">
            <v>-315688072</v>
          </cell>
          <cell r="X1248">
            <v>0</v>
          </cell>
          <cell r="Y1248">
            <v>0</v>
          </cell>
          <cell r="Z1248">
            <v>-1176920824</v>
          </cell>
          <cell r="AA1248">
            <v>-378024421</v>
          </cell>
          <cell r="AB1248">
            <v>0</v>
          </cell>
          <cell r="AC1248">
            <v>0</v>
          </cell>
          <cell r="AD1248">
            <v>0</v>
          </cell>
          <cell r="AE1248">
            <v>-96219542</v>
          </cell>
          <cell r="AF1248">
            <v>0</v>
          </cell>
          <cell r="AG1248">
            <v>-7527550</v>
          </cell>
          <cell r="AH1248">
            <v>0</v>
          </cell>
          <cell r="AI1248">
            <v>0</v>
          </cell>
        </row>
        <row r="1249">
          <cell r="A1249">
            <v>107015001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-134715322</v>
          </cell>
          <cell r="J1249">
            <v>0</v>
          </cell>
          <cell r="K1249">
            <v>-1616456663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-408514546</v>
          </cell>
          <cell r="S1249">
            <v>0</v>
          </cell>
          <cell r="T1249">
            <v>0</v>
          </cell>
          <cell r="U1249">
            <v>-449886</v>
          </cell>
          <cell r="V1249">
            <v>0</v>
          </cell>
          <cell r="W1249">
            <v>-315688072</v>
          </cell>
          <cell r="X1249">
            <v>0</v>
          </cell>
          <cell r="Y1249">
            <v>0</v>
          </cell>
          <cell r="Z1249">
            <v>-1176920824</v>
          </cell>
          <cell r="AA1249">
            <v>-378024421</v>
          </cell>
          <cell r="AB1249">
            <v>0</v>
          </cell>
          <cell r="AC1249">
            <v>0</v>
          </cell>
          <cell r="AD1249">
            <v>0</v>
          </cell>
          <cell r="AE1249">
            <v>-96219542</v>
          </cell>
          <cell r="AF1249">
            <v>0</v>
          </cell>
          <cell r="AG1249">
            <v>-7527550</v>
          </cell>
          <cell r="AH1249">
            <v>0</v>
          </cell>
          <cell r="AI1249">
            <v>0</v>
          </cell>
        </row>
        <row r="1250">
          <cell r="A1250">
            <v>107020000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1845705769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</row>
        <row r="1251">
          <cell r="A1251">
            <v>107020100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</row>
        <row r="1252">
          <cell r="A1252">
            <v>107020101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</row>
        <row r="1253">
          <cell r="A1253">
            <v>107020200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1845705769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</row>
        <row r="1254">
          <cell r="A1254">
            <v>107020201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1845705769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</row>
        <row r="1255">
          <cell r="A1255">
            <v>107020202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</row>
        <row r="1256">
          <cell r="A1256">
            <v>107020300</v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</row>
        <row r="1257">
          <cell r="A1257">
            <v>107020301</v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</row>
        <row r="1258">
          <cell r="A1258">
            <v>107020400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</row>
        <row r="1259">
          <cell r="A1259">
            <v>107020401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</row>
        <row r="1260">
          <cell r="A1260">
            <v>107020500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</row>
        <row r="1261">
          <cell r="A1261">
            <v>107020501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</row>
        <row r="1262">
          <cell r="A1262">
            <v>107024000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</row>
        <row r="1263">
          <cell r="A1263">
            <v>107024001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</row>
        <row r="1264">
          <cell r="A1264">
            <v>107024002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</row>
        <row r="1265">
          <cell r="A1265">
            <v>107025000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</row>
        <row r="1266">
          <cell r="A1266">
            <v>107025001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</row>
        <row r="1267">
          <cell r="A1267">
            <v>107030000</v>
          </cell>
          <cell r="C1267">
            <v>0</v>
          </cell>
          <cell r="D1267">
            <v>0</v>
          </cell>
          <cell r="E1267">
            <v>0</v>
          </cell>
          <cell r="F1267">
            <v>996230000</v>
          </cell>
          <cell r="G1267">
            <v>1633890412</v>
          </cell>
          <cell r="H1267">
            <v>1000000000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100000000</v>
          </cell>
          <cell r="S1267">
            <v>0</v>
          </cell>
          <cell r="T1267">
            <v>0</v>
          </cell>
          <cell r="U1267">
            <v>141100000</v>
          </cell>
          <cell r="V1267">
            <v>1000000000</v>
          </cell>
          <cell r="W1267">
            <v>816856540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</row>
        <row r="1268">
          <cell r="A1268">
            <v>107030100</v>
          </cell>
          <cell r="C1268">
            <v>0</v>
          </cell>
          <cell r="D1268">
            <v>0</v>
          </cell>
          <cell r="E1268">
            <v>0</v>
          </cell>
          <cell r="F1268">
            <v>500000000</v>
          </cell>
          <cell r="G1268">
            <v>0</v>
          </cell>
          <cell r="H1268">
            <v>1000000000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100000000</v>
          </cell>
          <cell r="S1268">
            <v>0</v>
          </cell>
          <cell r="T1268">
            <v>0</v>
          </cell>
          <cell r="U1268">
            <v>0</v>
          </cell>
          <cell r="V1268">
            <v>1000000000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</row>
        <row r="1269">
          <cell r="A1269">
            <v>107030101</v>
          </cell>
          <cell r="C1269">
            <v>0</v>
          </cell>
          <cell r="D1269">
            <v>0</v>
          </cell>
          <cell r="E1269">
            <v>0</v>
          </cell>
          <cell r="F1269">
            <v>500000000</v>
          </cell>
          <cell r="G1269">
            <v>0</v>
          </cell>
          <cell r="H1269">
            <v>1000000000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100000000</v>
          </cell>
          <cell r="S1269">
            <v>0</v>
          </cell>
          <cell r="T1269">
            <v>0</v>
          </cell>
          <cell r="U1269">
            <v>0</v>
          </cell>
          <cell r="V1269">
            <v>1000000000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</row>
        <row r="1270">
          <cell r="A1270">
            <v>107030200</v>
          </cell>
          <cell r="C1270">
            <v>0</v>
          </cell>
          <cell r="D1270">
            <v>0</v>
          </cell>
          <cell r="E1270">
            <v>0</v>
          </cell>
          <cell r="F1270">
            <v>496230000</v>
          </cell>
          <cell r="G1270">
            <v>1500000000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141100000</v>
          </cell>
          <cell r="V1270">
            <v>0</v>
          </cell>
          <cell r="W1270">
            <v>856202119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</row>
        <row r="1271">
          <cell r="A1271">
            <v>107030201</v>
          </cell>
          <cell r="C1271">
            <v>0</v>
          </cell>
          <cell r="D1271">
            <v>0</v>
          </cell>
          <cell r="E1271">
            <v>0</v>
          </cell>
          <cell r="F1271">
            <v>496230000</v>
          </cell>
          <cell r="G1271">
            <v>1500000000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141100000</v>
          </cell>
          <cell r="V1271">
            <v>0</v>
          </cell>
          <cell r="W1271">
            <v>856202119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</row>
        <row r="1272">
          <cell r="A1272">
            <v>107030300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</row>
        <row r="1273">
          <cell r="A1273">
            <v>107030301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</row>
        <row r="1274">
          <cell r="A1274">
            <v>107030400</v>
          </cell>
          <cell r="C1274">
            <v>655736982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</row>
        <row r="1275">
          <cell r="A1275">
            <v>107030401</v>
          </cell>
          <cell r="C1275">
            <v>655736982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</row>
        <row r="1276">
          <cell r="A1276">
            <v>107034000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133890412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</row>
        <row r="1277">
          <cell r="A1277">
            <v>107034001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</row>
        <row r="1278">
          <cell r="A1278">
            <v>107034002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133890412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</row>
        <row r="1279">
          <cell r="A1279">
            <v>107034003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</row>
        <row r="1280">
          <cell r="A1280">
            <v>107035000</v>
          </cell>
          <cell r="C1280">
            <v>-655736982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-39345579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</row>
        <row r="1281">
          <cell r="A1281">
            <v>107035001</v>
          </cell>
          <cell r="C1281">
            <v>-655736982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-39345579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</row>
        <row r="1282">
          <cell r="A1282">
            <v>107040000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</row>
        <row r="1283">
          <cell r="A1283">
            <v>107040100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</row>
        <row r="1284">
          <cell r="A1284">
            <v>107040101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</row>
        <row r="1285">
          <cell r="A1285">
            <v>107040200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</row>
        <row r="1286">
          <cell r="A1286">
            <v>107040201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</row>
        <row r="1287">
          <cell r="A1287">
            <v>107040300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</row>
        <row r="1288">
          <cell r="A1288">
            <v>107040301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</row>
        <row r="1289">
          <cell r="A1289">
            <v>107040400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</row>
        <row r="1290">
          <cell r="A1290">
            <v>107040401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</row>
        <row r="1291">
          <cell r="A1291">
            <v>107044000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</row>
        <row r="1292">
          <cell r="A1292">
            <v>107044001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</row>
        <row r="1293">
          <cell r="A1293">
            <v>107044002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</row>
        <row r="1294">
          <cell r="A1294">
            <v>107044003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</row>
        <row r="1295">
          <cell r="A1295">
            <v>107045000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</row>
        <row r="1296">
          <cell r="A1296">
            <v>107045001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</row>
        <row r="1297">
          <cell r="A1297">
            <v>107050000</v>
          </cell>
          <cell r="C1297">
            <v>0</v>
          </cell>
          <cell r="D1297">
            <v>0</v>
          </cell>
          <cell r="E1297">
            <v>0</v>
          </cell>
          <cell r="F1297">
            <v>27879149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222644400</v>
          </cell>
          <cell r="AD1297">
            <v>0</v>
          </cell>
          <cell r="AE1297">
            <v>0</v>
          </cell>
          <cell r="AF1297">
            <v>0</v>
          </cell>
          <cell r="AG1297">
            <v>51276000</v>
          </cell>
          <cell r="AH1297">
            <v>0</v>
          </cell>
          <cell r="AI1297">
            <v>0</v>
          </cell>
        </row>
        <row r="1298">
          <cell r="A1298">
            <v>107050100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490951108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</row>
        <row r="1299">
          <cell r="A1299">
            <v>107050101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</row>
        <row r="1300">
          <cell r="A1300">
            <v>107050102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</row>
        <row r="1301">
          <cell r="A1301">
            <v>107050103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</row>
        <row r="1302">
          <cell r="A1302">
            <v>107050104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490951108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</row>
        <row r="1303">
          <cell r="A1303">
            <v>107050200</v>
          </cell>
          <cell r="C1303">
            <v>0</v>
          </cell>
          <cell r="D1303">
            <v>0</v>
          </cell>
          <cell r="E1303">
            <v>0</v>
          </cell>
          <cell r="F1303">
            <v>30382161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</row>
        <row r="1304">
          <cell r="A1304">
            <v>107050201</v>
          </cell>
          <cell r="C1304">
            <v>0</v>
          </cell>
          <cell r="D1304">
            <v>0</v>
          </cell>
          <cell r="E1304">
            <v>0</v>
          </cell>
          <cell r="F1304">
            <v>13459500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</row>
        <row r="1305">
          <cell r="A1305">
            <v>107050202</v>
          </cell>
          <cell r="C1305">
            <v>0</v>
          </cell>
          <cell r="D1305">
            <v>0</v>
          </cell>
          <cell r="E1305">
            <v>0</v>
          </cell>
          <cell r="F1305">
            <v>16922661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</row>
        <row r="1306">
          <cell r="A1306">
            <v>107050300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15000000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52274700</v>
          </cell>
          <cell r="AH1306">
            <v>0</v>
          </cell>
          <cell r="AI1306">
            <v>0</v>
          </cell>
        </row>
        <row r="1307">
          <cell r="A1307">
            <v>107050301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15000000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52274700</v>
          </cell>
          <cell r="AH1307">
            <v>0</v>
          </cell>
          <cell r="AI1307">
            <v>0</v>
          </cell>
        </row>
        <row r="1308">
          <cell r="A1308">
            <v>107050302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</row>
        <row r="1309">
          <cell r="A1309">
            <v>107054000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29059048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</row>
        <row r="1310">
          <cell r="A1310">
            <v>107054001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68809048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</row>
        <row r="1311">
          <cell r="A1311">
            <v>107054002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-39750000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</row>
        <row r="1312">
          <cell r="A1312">
            <v>107054200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</row>
        <row r="1313">
          <cell r="A1313">
            <v>107054201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</row>
        <row r="1314">
          <cell r="A1314">
            <v>107054202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</row>
        <row r="1315">
          <cell r="A1315">
            <v>107054400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-3701884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-998700</v>
          </cell>
          <cell r="AH1315">
            <v>0</v>
          </cell>
          <cell r="AI1315">
            <v>0</v>
          </cell>
        </row>
        <row r="1316">
          <cell r="A1316">
            <v>107054401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18975800</v>
          </cell>
          <cell r="AH1316">
            <v>0</v>
          </cell>
          <cell r="AI1316">
            <v>0</v>
          </cell>
        </row>
        <row r="1317">
          <cell r="A1317">
            <v>107054402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-3701884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-19974500</v>
          </cell>
          <cell r="AH1317">
            <v>0</v>
          </cell>
          <cell r="AI1317">
            <v>0</v>
          </cell>
        </row>
        <row r="1318">
          <cell r="A1318">
            <v>107055000</v>
          </cell>
          <cell r="C1318">
            <v>0</v>
          </cell>
          <cell r="D1318">
            <v>0</v>
          </cell>
          <cell r="E1318">
            <v>0</v>
          </cell>
          <cell r="F1318">
            <v>-2503012</v>
          </cell>
          <cell r="G1318">
            <v>-11298116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-297365756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</row>
        <row r="1319">
          <cell r="A1319">
            <v>107055001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-297365756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</row>
        <row r="1320">
          <cell r="A1320">
            <v>107055002</v>
          </cell>
          <cell r="C1320">
            <v>0</v>
          </cell>
          <cell r="D1320">
            <v>0</v>
          </cell>
          <cell r="E1320">
            <v>0</v>
          </cell>
          <cell r="F1320">
            <v>-2503012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</row>
        <row r="1321">
          <cell r="A1321">
            <v>107055003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-11298116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</row>
        <row r="1322">
          <cell r="A1322">
            <v>107060000</v>
          </cell>
          <cell r="C1322">
            <v>6632617992</v>
          </cell>
          <cell r="D1322">
            <v>0</v>
          </cell>
          <cell r="E1322">
            <v>7464091551</v>
          </cell>
          <cell r="F1322">
            <v>2235592253</v>
          </cell>
          <cell r="G1322">
            <v>0</v>
          </cell>
          <cell r="H1322">
            <v>5930204632</v>
          </cell>
          <cell r="I1322">
            <v>739812431</v>
          </cell>
          <cell r="J1322">
            <v>7422570000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911551168</v>
          </cell>
          <cell r="P1322">
            <v>47310241</v>
          </cell>
          <cell r="Q1322">
            <v>0</v>
          </cell>
          <cell r="R1322">
            <v>1393655287</v>
          </cell>
          <cell r="S1322">
            <v>0</v>
          </cell>
          <cell r="T1322">
            <v>0</v>
          </cell>
          <cell r="U1322">
            <v>5740680272</v>
          </cell>
          <cell r="V1322">
            <v>0</v>
          </cell>
          <cell r="W1322">
            <v>0</v>
          </cell>
          <cell r="X1322">
            <v>5523430657</v>
          </cell>
          <cell r="Y1322">
            <v>0</v>
          </cell>
          <cell r="Z1322">
            <v>4311367017</v>
          </cell>
          <cell r="AA1322">
            <v>831141188</v>
          </cell>
          <cell r="AB1322">
            <v>4270214081</v>
          </cell>
          <cell r="AC1322">
            <v>0</v>
          </cell>
          <cell r="AD1322">
            <v>0</v>
          </cell>
          <cell r="AE1322">
            <v>0</v>
          </cell>
          <cell r="AF1322">
            <v>557128956</v>
          </cell>
          <cell r="AG1322">
            <v>868232058</v>
          </cell>
          <cell r="AH1322">
            <v>231841173</v>
          </cell>
          <cell r="AI1322">
            <v>0</v>
          </cell>
        </row>
        <row r="1323">
          <cell r="A1323">
            <v>107060100</v>
          </cell>
          <cell r="C1323">
            <v>3792828360</v>
          </cell>
          <cell r="D1323">
            <v>0</v>
          </cell>
          <cell r="E1323">
            <v>769714498</v>
          </cell>
          <cell r="F1323">
            <v>1906016667</v>
          </cell>
          <cell r="G1323">
            <v>0</v>
          </cell>
          <cell r="H1323">
            <v>3932756333</v>
          </cell>
          <cell r="I1323">
            <v>90430143</v>
          </cell>
          <cell r="J1323">
            <v>5075000000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1001333666</v>
          </cell>
          <cell r="P1323">
            <v>47310241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4740336834</v>
          </cell>
          <cell r="V1323">
            <v>0</v>
          </cell>
          <cell r="W1323">
            <v>0</v>
          </cell>
          <cell r="X1323">
            <v>202149139</v>
          </cell>
          <cell r="Y1323">
            <v>0</v>
          </cell>
          <cell r="Z1323">
            <v>4311367017</v>
          </cell>
          <cell r="AA1323">
            <v>0</v>
          </cell>
          <cell r="AB1323">
            <v>2334109656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422297148</v>
          </cell>
          <cell r="AH1323">
            <v>0</v>
          </cell>
          <cell r="AI1323">
            <v>0</v>
          </cell>
        </row>
        <row r="1324">
          <cell r="A1324">
            <v>107060101</v>
          </cell>
          <cell r="C1324">
            <v>3792828360</v>
          </cell>
          <cell r="D1324">
            <v>0</v>
          </cell>
          <cell r="E1324">
            <v>769714498</v>
          </cell>
          <cell r="F1324">
            <v>1906016667</v>
          </cell>
          <cell r="G1324">
            <v>0</v>
          </cell>
          <cell r="H1324">
            <v>3932756333</v>
          </cell>
          <cell r="I1324">
            <v>90430143</v>
          </cell>
          <cell r="J1324">
            <v>5075000000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1001333666</v>
          </cell>
          <cell r="P1324">
            <v>47310241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4740336834</v>
          </cell>
          <cell r="V1324">
            <v>0</v>
          </cell>
          <cell r="W1324">
            <v>0</v>
          </cell>
          <cell r="X1324">
            <v>202149139</v>
          </cell>
          <cell r="Y1324">
            <v>0</v>
          </cell>
          <cell r="Z1324">
            <v>4311367017</v>
          </cell>
          <cell r="AA1324">
            <v>0</v>
          </cell>
          <cell r="AB1324">
            <v>2334109656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422297148</v>
          </cell>
          <cell r="AH1324">
            <v>0</v>
          </cell>
          <cell r="AI1324">
            <v>0</v>
          </cell>
        </row>
        <row r="1325">
          <cell r="A1325">
            <v>107060200</v>
          </cell>
          <cell r="C1325">
            <v>4037815121</v>
          </cell>
          <cell r="D1325">
            <v>0</v>
          </cell>
          <cell r="E1325">
            <v>12334508080</v>
          </cell>
          <cell r="F1325">
            <v>1745072527</v>
          </cell>
          <cell r="G1325">
            <v>0</v>
          </cell>
          <cell r="H1325">
            <v>2343601356</v>
          </cell>
          <cell r="I1325">
            <v>1573327151</v>
          </cell>
          <cell r="J1325">
            <v>2969560000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1979168927</v>
          </cell>
          <cell r="S1325">
            <v>0</v>
          </cell>
          <cell r="T1325">
            <v>0</v>
          </cell>
          <cell r="U1325">
            <v>2509701770</v>
          </cell>
          <cell r="V1325">
            <v>0</v>
          </cell>
          <cell r="W1325">
            <v>0</v>
          </cell>
          <cell r="X1325">
            <v>7126914923</v>
          </cell>
          <cell r="Y1325">
            <v>0</v>
          </cell>
          <cell r="Z1325">
            <v>0</v>
          </cell>
          <cell r="AA1325">
            <v>944671400</v>
          </cell>
          <cell r="AB1325">
            <v>1977546860</v>
          </cell>
          <cell r="AC1325">
            <v>0</v>
          </cell>
          <cell r="AD1325">
            <v>0</v>
          </cell>
          <cell r="AE1325">
            <v>0</v>
          </cell>
          <cell r="AF1325">
            <v>613953988</v>
          </cell>
          <cell r="AG1325">
            <v>521885394</v>
          </cell>
          <cell r="AH1325">
            <v>240552504</v>
          </cell>
          <cell r="AI1325">
            <v>0</v>
          </cell>
        </row>
        <row r="1326">
          <cell r="A1326">
            <v>107060201</v>
          </cell>
          <cell r="C1326">
            <v>4037815121</v>
          </cell>
          <cell r="D1326">
            <v>0</v>
          </cell>
          <cell r="E1326">
            <v>12334508080</v>
          </cell>
          <cell r="F1326">
            <v>1745072527</v>
          </cell>
          <cell r="G1326">
            <v>0</v>
          </cell>
          <cell r="H1326">
            <v>2343601356</v>
          </cell>
          <cell r="I1326">
            <v>1573327151</v>
          </cell>
          <cell r="J1326">
            <v>2969560000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1979168927</v>
          </cell>
          <cell r="S1326">
            <v>0</v>
          </cell>
          <cell r="T1326">
            <v>0</v>
          </cell>
          <cell r="U1326">
            <v>2509701770</v>
          </cell>
          <cell r="V1326">
            <v>0</v>
          </cell>
          <cell r="W1326">
            <v>0</v>
          </cell>
          <cell r="X1326">
            <v>7126914923</v>
          </cell>
          <cell r="Y1326">
            <v>0</v>
          </cell>
          <cell r="Z1326">
            <v>0</v>
          </cell>
          <cell r="AA1326">
            <v>944671400</v>
          </cell>
          <cell r="AB1326">
            <v>1977546860</v>
          </cell>
          <cell r="AC1326">
            <v>0</v>
          </cell>
          <cell r="AD1326">
            <v>0</v>
          </cell>
          <cell r="AE1326">
            <v>0</v>
          </cell>
          <cell r="AF1326">
            <v>613953988</v>
          </cell>
          <cell r="AG1326">
            <v>521885394</v>
          </cell>
          <cell r="AH1326">
            <v>240552504</v>
          </cell>
          <cell r="AI1326">
            <v>0</v>
          </cell>
        </row>
        <row r="1327">
          <cell r="A1327">
            <v>107060300</v>
          </cell>
          <cell r="C1327">
            <v>0</v>
          </cell>
          <cell r="D1327">
            <v>0</v>
          </cell>
          <cell r="E1327">
            <v>0</v>
          </cell>
          <cell r="F1327">
            <v>56150738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</row>
        <row r="1328">
          <cell r="A1328">
            <v>107060301</v>
          </cell>
          <cell r="C1328">
            <v>0</v>
          </cell>
          <cell r="D1328">
            <v>0</v>
          </cell>
          <cell r="E1328">
            <v>0</v>
          </cell>
          <cell r="F1328">
            <v>56150738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</row>
        <row r="1329">
          <cell r="A1329">
            <v>107060400</v>
          </cell>
          <cell r="C1329">
            <v>0</v>
          </cell>
          <cell r="D1329">
            <v>0</v>
          </cell>
          <cell r="E1329">
            <v>0</v>
          </cell>
          <cell r="F1329">
            <v>35000000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</row>
        <row r="1330">
          <cell r="A1330">
            <v>107060401</v>
          </cell>
          <cell r="C1330">
            <v>0</v>
          </cell>
          <cell r="D1330">
            <v>0</v>
          </cell>
          <cell r="E1330">
            <v>0</v>
          </cell>
          <cell r="F1330">
            <v>35000000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</row>
        <row r="1331">
          <cell r="A1331">
            <v>107063000</v>
          </cell>
          <cell r="C1331">
            <v>-1198025489</v>
          </cell>
          <cell r="D1331">
            <v>0</v>
          </cell>
          <cell r="E1331">
            <v>-5640131027</v>
          </cell>
          <cell r="F1331">
            <v>-1506647679</v>
          </cell>
          <cell r="G1331">
            <v>0</v>
          </cell>
          <cell r="H1331">
            <v>-346153057</v>
          </cell>
          <cell r="I1331">
            <v>-923944863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-32693883</v>
          </cell>
          <cell r="P1331">
            <v>0</v>
          </cell>
          <cell r="Q1331">
            <v>0</v>
          </cell>
          <cell r="R1331">
            <v>-497513640</v>
          </cell>
          <cell r="S1331">
            <v>0</v>
          </cell>
          <cell r="T1331">
            <v>0</v>
          </cell>
          <cell r="U1331">
            <v>-1509358332</v>
          </cell>
          <cell r="V1331">
            <v>0</v>
          </cell>
          <cell r="W1331">
            <v>0</v>
          </cell>
          <cell r="X1331">
            <v>-1805633405</v>
          </cell>
          <cell r="Y1331">
            <v>0</v>
          </cell>
          <cell r="Z1331">
            <v>0</v>
          </cell>
          <cell r="AA1331">
            <v>-113530212</v>
          </cell>
          <cell r="AB1331">
            <v>-41442435</v>
          </cell>
          <cell r="AC1331">
            <v>0</v>
          </cell>
          <cell r="AD1331">
            <v>0</v>
          </cell>
          <cell r="AE1331">
            <v>0</v>
          </cell>
          <cell r="AF1331">
            <v>-56825032</v>
          </cell>
          <cell r="AG1331">
            <v>-52188539</v>
          </cell>
          <cell r="AH1331">
            <v>-8711331</v>
          </cell>
          <cell r="AI1331">
            <v>0</v>
          </cell>
        </row>
        <row r="1332">
          <cell r="A1332">
            <v>107063001</v>
          </cell>
          <cell r="C1332">
            <v>-1198025489</v>
          </cell>
          <cell r="D1332">
            <v>0</v>
          </cell>
          <cell r="E1332">
            <v>-5640131027</v>
          </cell>
          <cell r="F1332">
            <v>-1506647679</v>
          </cell>
          <cell r="G1332">
            <v>0</v>
          </cell>
          <cell r="H1332">
            <v>-346153057</v>
          </cell>
          <cell r="I1332">
            <v>-923944863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-32693883</v>
          </cell>
          <cell r="P1332">
            <v>0</v>
          </cell>
          <cell r="Q1332">
            <v>0</v>
          </cell>
          <cell r="R1332">
            <v>-497513640</v>
          </cell>
          <cell r="S1332">
            <v>0</v>
          </cell>
          <cell r="T1332">
            <v>0</v>
          </cell>
          <cell r="U1332">
            <v>-1509358332</v>
          </cell>
          <cell r="V1332">
            <v>0</v>
          </cell>
          <cell r="W1332">
            <v>0</v>
          </cell>
          <cell r="X1332">
            <v>-1805633405</v>
          </cell>
          <cell r="Y1332">
            <v>0</v>
          </cell>
          <cell r="Z1332">
            <v>0</v>
          </cell>
          <cell r="AA1332">
            <v>-113530212</v>
          </cell>
          <cell r="AB1332">
            <v>-41442435</v>
          </cell>
          <cell r="AC1332">
            <v>0</v>
          </cell>
          <cell r="AD1332">
            <v>0</v>
          </cell>
          <cell r="AE1332">
            <v>0</v>
          </cell>
          <cell r="AF1332">
            <v>-56825032</v>
          </cell>
          <cell r="AG1332">
            <v>-52188539</v>
          </cell>
          <cell r="AH1332">
            <v>-8711331</v>
          </cell>
          <cell r="AI1332">
            <v>0</v>
          </cell>
        </row>
        <row r="1333">
          <cell r="A1333">
            <v>107065000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-621990000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-57088615</v>
          </cell>
          <cell r="P1333">
            <v>0</v>
          </cell>
          <cell r="Q1333">
            <v>0</v>
          </cell>
          <cell r="R1333">
            <v>-88000000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-23761945</v>
          </cell>
          <cell r="AH1333">
            <v>0</v>
          </cell>
          <cell r="AI1333">
            <v>0</v>
          </cell>
        </row>
        <row r="1334">
          <cell r="A1334">
            <v>107065001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-621990000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-57088615</v>
          </cell>
          <cell r="P1334">
            <v>0</v>
          </cell>
          <cell r="Q1334">
            <v>0</v>
          </cell>
          <cell r="R1334">
            <v>-88000000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-23761945</v>
          </cell>
          <cell r="AH1334">
            <v>0</v>
          </cell>
          <cell r="AI1334">
            <v>0</v>
          </cell>
        </row>
        <row r="1335">
          <cell r="A1335">
            <v>108000000</v>
          </cell>
          <cell r="C1335">
            <v>677354876</v>
          </cell>
          <cell r="D1335">
            <v>3603321099</v>
          </cell>
          <cell r="E1335">
            <v>346077256</v>
          </cell>
          <cell r="F1335">
            <v>866359754</v>
          </cell>
          <cell r="G1335">
            <v>5025195087</v>
          </cell>
          <cell r="H1335">
            <v>9997321923</v>
          </cell>
          <cell r="I1335">
            <v>820030765</v>
          </cell>
          <cell r="J1335">
            <v>482063204</v>
          </cell>
          <cell r="K1335">
            <v>296265819</v>
          </cell>
          <cell r="L1335">
            <v>125338329</v>
          </cell>
          <cell r="M1335">
            <v>1062774721</v>
          </cell>
          <cell r="N1335">
            <v>278941274</v>
          </cell>
          <cell r="O1335">
            <v>2597440737</v>
          </cell>
          <cell r="P1335">
            <v>1202577803</v>
          </cell>
          <cell r="Q1335">
            <v>49183990</v>
          </cell>
          <cell r="R1335">
            <v>2928345632</v>
          </cell>
          <cell r="S1335">
            <v>1586567518</v>
          </cell>
          <cell r="T1335">
            <v>13259355694</v>
          </cell>
          <cell r="U1335">
            <v>47904337</v>
          </cell>
          <cell r="V1335">
            <v>4423646860</v>
          </cell>
          <cell r="W1335">
            <v>4794475328</v>
          </cell>
          <cell r="X1335">
            <v>459098573</v>
          </cell>
          <cell r="Y1335">
            <v>955087954</v>
          </cell>
          <cell r="Z1335">
            <v>584571979</v>
          </cell>
          <cell r="AA1335">
            <v>69564633</v>
          </cell>
          <cell r="AB1335">
            <v>1031601964</v>
          </cell>
          <cell r="AC1335">
            <v>1160044554</v>
          </cell>
          <cell r="AD1335">
            <v>6292991645</v>
          </cell>
          <cell r="AE1335">
            <v>19612987824</v>
          </cell>
          <cell r="AF1335">
            <v>1234213286</v>
          </cell>
          <cell r="AG1335">
            <v>575249186</v>
          </cell>
          <cell r="AH1335">
            <v>861282061</v>
          </cell>
          <cell r="AI1335">
            <v>1135541875</v>
          </cell>
        </row>
        <row r="1336">
          <cell r="A1336">
            <v>108010000</v>
          </cell>
          <cell r="C1336">
            <v>677354876</v>
          </cell>
          <cell r="D1336">
            <v>3603321099</v>
          </cell>
          <cell r="E1336">
            <v>346077256</v>
          </cell>
          <cell r="F1336">
            <v>866359754</v>
          </cell>
          <cell r="G1336">
            <v>5025195087</v>
          </cell>
          <cell r="H1336">
            <v>9997321923</v>
          </cell>
          <cell r="I1336">
            <v>820030765</v>
          </cell>
          <cell r="J1336">
            <v>462863204</v>
          </cell>
          <cell r="K1336">
            <v>296265819</v>
          </cell>
          <cell r="L1336">
            <v>125338329</v>
          </cell>
          <cell r="M1336">
            <v>1062774721</v>
          </cell>
          <cell r="N1336">
            <v>278941274</v>
          </cell>
          <cell r="O1336">
            <v>2597440737</v>
          </cell>
          <cell r="P1336">
            <v>1202577803</v>
          </cell>
          <cell r="Q1336">
            <v>49183990</v>
          </cell>
          <cell r="R1336">
            <v>2898518528</v>
          </cell>
          <cell r="S1336">
            <v>1586567518</v>
          </cell>
          <cell r="T1336">
            <v>13259355694</v>
          </cell>
          <cell r="U1336">
            <v>47904337</v>
          </cell>
          <cell r="V1336">
            <v>4423646860</v>
          </cell>
          <cell r="W1336">
            <v>4785764128</v>
          </cell>
          <cell r="X1336">
            <v>459098573</v>
          </cell>
          <cell r="Y1336">
            <v>955087954</v>
          </cell>
          <cell r="Z1336">
            <v>584571979</v>
          </cell>
          <cell r="AA1336">
            <v>69564633</v>
          </cell>
          <cell r="AB1336">
            <v>1031601964</v>
          </cell>
          <cell r="AC1336">
            <v>1160044554</v>
          </cell>
          <cell r="AD1336">
            <v>6157295645</v>
          </cell>
          <cell r="AE1336">
            <v>19308543824</v>
          </cell>
          <cell r="AF1336">
            <v>1234213286</v>
          </cell>
          <cell r="AG1336">
            <v>513331952</v>
          </cell>
          <cell r="AH1336">
            <v>861282061</v>
          </cell>
          <cell r="AI1336">
            <v>1135541875</v>
          </cell>
        </row>
        <row r="1337">
          <cell r="A1337">
            <v>108010100</v>
          </cell>
          <cell r="C1337">
            <v>0</v>
          </cell>
          <cell r="D1337">
            <v>1132034636</v>
          </cell>
          <cell r="E1337">
            <v>0</v>
          </cell>
          <cell r="F1337">
            <v>2459137703</v>
          </cell>
          <cell r="G1337">
            <v>5305175722</v>
          </cell>
          <cell r="H1337">
            <v>9043436619</v>
          </cell>
          <cell r="I1337">
            <v>0</v>
          </cell>
          <cell r="J1337">
            <v>660169084</v>
          </cell>
          <cell r="K1337">
            <v>0</v>
          </cell>
          <cell r="L1337">
            <v>0</v>
          </cell>
          <cell r="M1337">
            <v>947500013</v>
          </cell>
          <cell r="N1337">
            <v>0</v>
          </cell>
          <cell r="O1337">
            <v>2846228675</v>
          </cell>
          <cell r="P1337">
            <v>978384862</v>
          </cell>
          <cell r="Q1337">
            <v>0</v>
          </cell>
          <cell r="R1337">
            <v>2634636972</v>
          </cell>
          <cell r="S1337">
            <v>2006849035</v>
          </cell>
          <cell r="T1337">
            <v>13266372394</v>
          </cell>
          <cell r="U1337">
            <v>0</v>
          </cell>
          <cell r="V1337">
            <v>4457775621</v>
          </cell>
          <cell r="W1337">
            <v>5312747204</v>
          </cell>
          <cell r="X1337">
            <v>0</v>
          </cell>
          <cell r="Y1337">
            <v>1173399686</v>
          </cell>
          <cell r="Z1337">
            <v>0</v>
          </cell>
          <cell r="AA1337">
            <v>0</v>
          </cell>
          <cell r="AB1337">
            <v>0</v>
          </cell>
          <cell r="AC1337">
            <v>1321955868</v>
          </cell>
          <cell r="AD1337">
            <v>4726837038</v>
          </cell>
          <cell r="AE1337">
            <v>13688257878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</row>
        <row r="1338">
          <cell r="A1338">
            <v>108010101</v>
          </cell>
          <cell r="C1338">
            <v>0</v>
          </cell>
          <cell r="D1338">
            <v>0</v>
          </cell>
          <cell r="E1338">
            <v>0</v>
          </cell>
          <cell r="F1338">
            <v>2029306183</v>
          </cell>
          <cell r="G1338">
            <v>3043053600</v>
          </cell>
          <cell r="H1338">
            <v>7891277656</v>
          </cell>
          <cell r="I1338">
            <v>0</v>
          </cell>
          <cell r="J1338">
            <v>660169084</v>
          </cell>
          <cell r="K1338">
            <v>0</v>
          </cell>
          <cell r="L1338">
            <v>0</v>
          </cell>
          <cell r="M1338">
            <v>900955641</v>
          </cell>
          <cell r="N1338">
            <v>0</v>
          </cell>
          <cell r="O1338">
            <v>2499569339</v>
          </cell>
          <cell r="P1338">
            <v>978384862</v>
          </cell>
          <cell r="Q1338">
            <v>0</v>
          </cell>
          <cell r="R1338">
            <v>2634636972</v>
          </cell>
          <cell r="S1338">
            <v>1556528223</v>
          </cell>
          <cell r="T1338">
            <v>11824819505</v>
          </cell>
          <cell r="U1338">
            <v>0</v>
          </cell>
          <cell r="V1338">
            <v>3773882235</v>
          </cell>
          <cell r="W1338">
            <v>2400347385</v>
          </cell>
          <cell r="X1338">
            <v>0</v>
          </cell>
          <cell r="Y1338">
            <v>1173399686</v>
          </cell>
          <cell r="Z1338">
            <v>0</v>
          </cell>
          <cell r="AA1338">
            <v>0</v>
          </cell>
          <cell r="AB1338">
            <v>0</v>
          </cell>
          <cell r="AC1338">
            <v>845950465</v>
          </cell>
          <cell r="AD1338">
            <v>2896339696</v>
          </cell>
          <cell r="AE1338">
            <v>11920649451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</row>
        <row r="1339">
          <cell r="A1339">
            <v>108010102</v>
          </cell>
          <cell r="C1339">
            <v>0</v>
          </cell>
          <cell r="D1339">
            <v>1132034636</v>
          </cell>
          <cell r="E1339">
            <v>0</v>
          </cell>
          <cell r="F1339">
            <v>429831520</v>
          </cell>
          <cell r="G1339">
            <v>2262122122</v>
          </cell>
          <cell r="H1339">
            <v>1152158963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46544372</v>
          </cell>
          <cell r="N1339">
            <v>0</v>
          </cell>
          <cell r="O1339">
            <v>346659336</v>
          </cell>
          <cell r="P1339">
            <v>0</v>
          </cell>
          <cell r="Q1339">
            <v>0</v>
          </cell>
          <cell r="R1339">
            <v>0</v>
          </cell>
          <cell r="S1339">
            <v>450320812</v>
          </cell>
          <cell r="T1339">
            <v>1441552889</v>
          </cell>
          <cell r="U1339">
            <v>0</v>
          </cell>
          <cell r="V1339">
            <v>683893386</v>
          </cell>
          <cell r="W1339">
            <v>2912399819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476005403</v>
          </cell>
          <cell r="AD1339">
            <v>1830497342</v>
          </cell>
          <cell r="AE1339">
            <v>1767608427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</row>
        <row r="1340">
          <cell r="A1340">
            <v>108010200</v>
          </cell>
          <cell r="C1340">
            <v>461545451</v>
          </cell>
          <cell r="D1340">
            <v>362577658</v>
          </cell>
          <cell r="E1340">
            <v>665404686</v>
          </cell>
          <cell r="F1340">
            <v>333167021</v>
          </cell>
          <cell r="G1340">
            <v>714788471</v>
          </cell>
          <cell r="H1340">
            <v>2415498262</v>
          </cell>
          <cell r="I1340">
            <v>626240796</v>
          </cell>
          <cell r="J1340">
            <v>115288707</v>
          </cell>
          <cell r="K1340">
            <v>177208564</v>
          </cell>
          <cell r="L1340">
            <v>243734209</v>
          </cell>
          <cell r="M1340">
            <v>112939175</v>
          </cell>
          <cell r="N1340">
            <v>475236137</v>
          </cell>
          <cell r="O1340">
            <v>1415892832</v>
          </cell>
          <cell r="P1340">
            <v>169639441</v>
          </cell>
          <cell r="Q1340">
            <v>97959006</v>
          </cell>
          <cell r="R1340">
            <v>453395644</v>
          </cell>
          <cell r="S1340">
            <v>144381502</v>
          </cell>
          <cell r="T1340">
            <v>1603779995</v>
          </cell>
          <cell r="U1340">
            <v>792563207</v>
          </cell>
          <cell r="V1340">
            <v>1820015578</v>
          </cell>
          <cell r="W1340">
            <v>369992983</v>
          </cell>
          <cell r="X1340">
            <v>523913297</v>
          </cell>
          <cell r="Y1340">
            <v>291085199</v>
          </cell>
          <cell r="Z1340">
            <v>659424265</v>
          </cell>
          <cell r="AA1340">
            <v>54701714</v>
          </cell>
          <cell r="AB1340">
            <v>706181014</v>
          </cell>
          <cell r="AC1340">
            <v>267542290</v>
          </cell>
          <cell r="AD1340">
            <v>1708575612</v>
          </cell>
          <cell r="AE1340">
            <v>5877824348</v>
          </cell>
          <cell r="AF1340">
            <v>636292307</v>
          </cell>
          <cell r="AG1340">
            <v>545972651</v>
          </cell>
          <cell r="AH1340">
            <v>564824935</v>
          </cell>
          <cell r="AI1340">
            <v>698606416</v>
          </cell>
        </row>
        <row r="1341">
          <cell r="A1341">
            <v>108010201</v>
          </cell>
          <cell r="C1341">
            <v>332849977</v>
          </cell>
          <cell r="D1341">
            <v>258381286</v>
          </cell>
          <cell r="E1341">
            <v>180089142</v>
          </cell>
          <cell r="F1341">
            <v>89187975</v>
          </cell>
          <cell r="G1341">
            <v>610772739</v>
          </cell>
          <cell r="H1341">
            <v>1173207710</v>
          </cell>
          <cell r="I1341">
            <v>383447675</v>
          </cell>
          <cell r="J1341">
            <v>115288707</v>
          </cell>
          <cell r="K1341">
            <v>173075977</v>
          </cell>
          <cell r="L1341">
            <v>177223518</v>
          </cell>
          <cell r="M1341">
            <v>97664391</v>
          </cell>
          <cell r="N1341">
            <v>370079949</v>
          </cell>
          <cell r="O1341">
            <v>518088176</v>
          </cell>
          <cell r="P1341">
            <v>104248236</v>
          </cell>
          <cell r="Q1341">
            <v>58174431</v>
          </cell>
          <cell r="R1341">
            <v>289951385</v>
          </cell>
          <cell r="S1341">
            <v>144381502</v>
          </cell>
          <cell r="T1341">
            <v>774503697</v>
          </cell>
          <cell r="U1341">
            <v>186953278</v>
          </cell>
          <cell r="V1341">
            <v>1211123090</v>
          </cell>
          <cell r="W1341">
            <v>174665195</v>
          </cell>
          <cell r="X1341">
            <v>204239415</v>
          </cell>
          <cell r="Y1341">
            <v>190744618</v>
          </cell>
          <cell r="Z1341">
            <v>278692924</v>
          </cell>
          <cell r="AA1341">
            <v>45322411</v>
          </cell>
          <cell r="AB1341">
            <v>496774847</v>
          </cell>
          <cell r="AC1341">
            <v>156953165</v>
          </cell>
          <cell r="AD1341">
            <v>629060318</v>
          </cell>
          <cell r="AE1341">
            <v>2408971583</v>
          </cell>
          <cell r="AF1341">
            <v>346987227</v>
          </cell>
          <cell r="AG1341">
            <v>353229793</v>
          </cell>
          <cell r="AH1341">
            <v>478506610</v>
          </cell>
          <cell r="AI1341">
            <v>565514497</v>
          </cell>
        </row>
        <row r="1342">
          <cell r="A1342">
            <v>108010202</v>
          </cell>
          <cell r="C1342">
            <v>128695474</v>
          </cell>
          <cell r="D1342">
            <v>104196372</v>
          </cell>
          <cell r="E1342">
            <v>485315544</v>
          </cell>
          <cell r="F1342">
            <v>243979046</v>
          </cell>
          <cell r="G1342">
            <v>104015732</v>
          </cell>
          <cell r="H1342">
            <v>1242290552</v>
          </cell>
          <cell r="I1342">
            <v>242793121</v>
          </cell>
          <cell r="J1342">
            <v>0</v>
          </cell>
          <cell r="K1342">
            <v>4132587</v>
          </cell>
          <cell r="L1342">
            <v>66510691</v>
          </cell>
          <cell r="M1342">
            <v>15274784</v>
          </cell>
          <cell r="N1342">
            <v>105156188</v>
          </cell>
          <cell r="O1342">
            <v>897804656</v>
          </cell>
          <cell r="P1342">
            <v>65391205</v>
          </cell>
          <cell r="Q1342">
            <v>39784575</v>
          </cell>
          <cell r="R1342">
            <v>163444259</v>
          </cell>
          <cell r="S1342">
            <v>0</v>
          </cell>
          <cell r="T1342">
            <v>829276298</v>
          </cell>
          <cell r="U1342">
            <v>605609929</v>
          </cell>
          <cell r="V1342">
            <v>608892488</v>
          </cell>
          <cell r="W1342">
            <v>195327788</v>
          </cell>
          <cell r="X1342">
            <v>319673882</v>
          </cell>
          <cell r="Y1342">
            <v>100340581</v>
          </cell>
          <cell r="Z1342">
            <v>380731341</v>
          </cell>
          <cell r="AA1342">
            <v>9379303</v>
          </cell>
          <cell r="AB1342">
            <v>209406167</v>
          </cell>
          <cell r="AC1342">
            <v>110589125</v>
          </cell>
          <cell r="AD1342">
            <v>1079515294</v>
          </cell>
          <cell r="AE1342">
            <v>3468852765</v>
          </cell>
          <cell r="AF1342">
            <v>289305080</v>
          </cell>
          <cell r="AG1342">
            <v>192742858</v>
          </cell>
          <cell r="AH1342">
            <v>86318325</v>
          </cell>
          <cell r="AI1342">
            <v>133091919</v>
          </cell>
        </row>
        <row r="1343">
          <cell r="A1343">
            <v>108010300</v>
          </cell>
          <cell r="C1343">
            <v>590743773</v>
          </cell>
          <cell r="D1343">
            <v>236046679</v>
          </cell>
          <cell r="E1343">
            <v>44100029</v>
          </cell>
          <cell r="F1343">
            <v>270922934</v>
          </cell>
          <cell r="G1343">
            <v>504490870</v>
          </cell>
          <cell r="H1343">
            <v>1324230797</v>
          </cell>
          <cell r="I1343">
            <v>1322797197</v>
          </cell>
          <cell r="J1343">
            <v>803439427</v>
          </cell>
          <cell r="K1343">
            <v>518941435</v>
          </cell>
          <cell r="L1343">
            <v>219959248</v>
          </cell>
          <cell r="M1343">
            <v>32083027</v>
          </cell>
          <cell r="N1343">
            <v>1287846101</v>
          </cell>
          <cell r="O1343">
            <v>414618153</v>
          </cell>
          <cell r="P1343">
            <v>95049005</v>
          </cell>
          <cell r="Q1343">
            <v>435399793</v>
          </cell>
          <cell r="R1343">
            <v>274358013</v>
          </cell>
          <cell r="S1343">
            <v>30141825</v>
          </cell>
          <cell r="T1343">
            <v>1271747354</v>
          </cell>
          <cell r="U1343">
            <v>286052636</v>
          </cell>
          <cell r="V1343">
            <v>239751679</v>
          </cell>
          <cell r="W1343">
            <v>164255538</v>
          </cell>
          <cell r="X1343">
            <v>14041282</v>
          </cell>
          <cell r="Y1343">
            <v>51305797</v>
          </cell>
          <cell r="Z1343">
            <v>359637715</v>
          </cell>
          <cell r="AA1343">
            <v>226435956</v>
          </cell>
          <cell r="AB1343">
            <v>134135243</v>
          </cell>
          <cell r="AC1343">
            <v>14755457</v>
          </cell>
          <cell r="AD1343">
            <v>267017381</v>
          </cell>
          <cell r="AE1343">
            <v>3367320275</v>
          </cell>
          <cell r="AF1343">
            <v>270592514</v>
          </cell>
          <cell r="AG1343">
            <v>162517629</v>
          </cell>
          <cell r="AH1343">
            <v>322586485</v>
          </cell>
          <cell r="AI1343">
            <v>9164859</v>
          </cell>
        </row>
        <row r="1344">
          <cell r="A1344">
            <v>108010301</v>
          </cell>
          <cell r="C1344">
            <v>44213869</v>
          </cell>
          <cell r="D1344">
            <v>0</v>
          </cell>
          <cell r="E1344">
            <v>44100029</v>
          </cell>
          <cell r="F1344">
            <v>253096193</v>
          </cell>
          <cell r="G1344">
            <v>0</v>
          </cell>
          <cell r="H1344">
            <v>922931231</v>
          </cell>
          <cell r="I1344">
            <v>592050056</v>
          </cell>
          <cell r="J1344">
            <v>803439427</v>
          </cell>
          <cell r="K1344">
            <v>0</v>
          </cell>
          <cell r="L1344">
            <v>219959248</v>
          </cell>
          <cell r="M1344">
            <v>8181818</v>
          </cell>
          <cell r="N1344">
            <v>0</v>
          </cell>
          <cell r="O1344">
            <v>3500126</v>
          </cell>
          <cell r="P1344">
            <v>0</v>
          </cell>
          <cell r="Q1344">
            <v>0</v>
          </cell>
          <cell r="R1344">
            <v>0</v>
          </cell>
          <cell r="S1344">
            <v>30141825</v>
          </cell>
          <cell r="T1344">
            <v>1216226458</v>
          </cell>
          <cell r="U1344">
            <v>0</v>
          </cell>
          <cell r="V1344">
            <v>192762185</v>
          </cell>
          <cell r="W1344">
            <v>0</v>
          </cell>
          <cell r="X1344">
            <v>0</v>
          </cell>
          <cell r="Y1344">
            <v>2451818</v>
          </cell>
          <cell r="Z1344">
            <v>5158428</v>
          </cell>
          <cell r="AA1344">
            <v>223774327</v>
          </cell>
          <cell r="AB1344">
            <v>0</v>
          </cell>
          <cell r="AC1344">
            <v>0</v>
          </cell>
          <cell r="AD1344">
            <v>32577551</v>
          </cell>
          <cell r="AE1344">
            <v>593621294</v>
          </cell>
          <cell r="AF1344">
            <v>242463375</v>
          </cell>
          <cell r="AG1344">
            <v>0</v>
          </cell>
          <cell r="AH1344">
            <v>0</v>
          </cell>
          <cell r="AI1344">
            <v>-23620302</v>
          </cell>
        </row>
        <row r="1345">
          <cell r="A1345">
            <v>108010302</v>
          </cell>
          <cell r="C1345">
            <v>546529904</v>
          </cell>
          <cell r="D1345">
            <v>236046679</v>
          </cell>
          <cell r="E1345">
            <v>0</v>
          </cell>
          <cell r="F1345">
            <v>17826741</v>
          </cell>
          <cell r="G1345">
            <v>504490870</v>
          </cell>
          <cell r="H1345">
            <v>401299566</v>
          </cell>
          <cell r="I1345">
            <v>730747141</v>
          </cell>
          <cell r="J1345">
            <v>0</v>
          </cell>
          <cell r="K1345">
            <v>518941435</v>
          </cell>
          <cell r="L1345">
            <v>0</v>
          </cell>
          <cell r="M1345">
            <v>23901209</v>
          </cell>
          <cell r="N1345">
            <v>1287846101</v>
          </cell>
          <cell r="O1345">
            <v>411118027</v>
          </cell>
          <cell r="P1345">
            <v>95049005</v>
          </cell>
          <cell r="Q1345">
            <v>435399793</v>
          </cell>
          <cell r="R1345">
            <v>274358013</v>
          </cell>
          <cell r="S1345">
            <v>0</v>
          </cell>
          <cell r="T1345">
            <v>55520896</v>
          </cell>
          <cell r="U1345">
            <v>286052636</v>
          </cell>
          <cell r="V1345">
            <v>46989494</v>
          </cell>
          <cell r="W1345">
            <v>164255538</v>
          </cell>
          <cell r="X1345">
            <v>14041282</v>
          </cell>
          <cell r="Y1345">
            <v>48853979</v>
          </cell>
          <cell r="Z1345">
            <v>354479287</v>
          </cell>
          <cell r="AA1345">
            <v>2661629</v>
          </cell>
          <cell r="AB1345">
            <v>134135243</v>
          </cell>
          <cell r="AC1345">
            <v>14755457</v>
          </cell>
          <cell r="AD1345">
            <v>234439830</v>
          </cell>
          <cell r="AE1345">
            <v>2773698981</v>
          </cell>
          <cell r="AF1345">
            <v>28129139</v>
          </cell>
          <cell r="AG1345">
            <v>162517629</v>
          </cell>
          <cell r="AH1345">
            <v>322586485</v>
          </cell>
          <cell r="AI1345">
            <v>32785161</v>
          </cell>
        </row>
        <row r="1346">
          <cell r="A1346">
            <v>108010400</v>
          </cell>
          <cell r="C1346">
            <v>1461088702</v>
          </cell>
          <cell r="D1346">
            <v>423154903</v>
          </cell>
          <cell r="E1346">
            <v>110264575</v>
          </cell>
          <cell r="F1346">
            <v>113012694</v>
          </cell>
          <cell r="G1346">
            <v>790688047</v>
          </cell>
          <cell r="H1346">
            <v>587453826</v>
          </cell>
          <cell r="I1346">
            <v>1102670142</v>
          </cell>
          <cell r="J1346">
            <v>0</v>
          </cell>
          <cell r="K1346">
            <v>116562129</v>
          </cell>
          <cell r="L1346">
            <v>158577249</v>
          </cell>
          <cell r="M1346">
            <v>85005362</v>
          </cell>
          <cell r="N1346">
            <v>0</v>
          </cell>
          <cell r="O1346">
            <v>286208432</v>
          </cell>
          <cell r="P1346">
            <v>145966361</v>
          </cell>
          <cell r="Q1346">
            <v>0</v>
          </cell>
          <cell r="R1346">
            <v>218337342</v>
          </cell>
          <cell r="S1346">
            <v>84358273</v>
          </cell>
          <cell r="T1346">
            <v>705362758</v>
          </cell>
          <cell r="U1346">
            <v>0</v>
          </cell>
          <cell r="V1346">
            <v>569243659</v>
          </cell>
          <cell r="W1346">
            <v>459475597</v>
          </cell>
          <cell r="X1346">
            <v>432691081</v>
          </cell>
          <cell r="Y1346">
            <v>313160657</v>
          </cell>
          <cell r="Z1346">
            <v>421574701</v>
          </cell>
          <cell r="AA1346">
            <v>55057846</v>
          </cell>
          <cell r="AB1346">
            <v>498342891</v>
          </cell>
          <cell r="AC1346">
            <v>195589767</v>
          </cell>
          <cell r="AD1346">
            <v>1113569759</v>
          </cell>
          <cell r="AE1346">
            <v>4311609352</v>
          </cell>
          <cell r="AF1346">
            <v>547076039</v>
          </cell>
          <cell r="AG1346">
            <v>386438295</v>
          </cell>
          <cell r="AH1346">
            <v>1001802566</v>
          </cell>
          <cell r="AI1346">
            <v>343372459</v>
          </cell>
        </row>
        <row r="1347">
          <cell r="A1347">
            <v>108010401</v>
          </cell>
          <cell r="C1347">
            <v>1461088702</v>
          </cell>
          <cell r="D1347">
            <v>423154903</v>
          </cell>
          <cell r="E1347">
            <v>110264575</v>
          </cell>
          <cell r="F1347">
            <v>113012694</v>
          </cell>
          <cell r="G1347">
            <v>790688047</v>
          </cell>
          <cell r="H1347">
            <v>587453826</v>
          </cell>
          <cell r="I1347">
            <v>1102670142</v>
          </cell>
          <cell r="J1347">
            <v>0</v>
          </cell>
          <cell r="K1347">
            <v>116562129</v>
          </cell>
          <cell r="L1347">
            <v>158577249</v>
          </cell>
          <cell r="M1347">
            <v>85005362</v>
          </cell>
          <cell r="N1347">
            <v>0</v>
          </cell>
          <cell r="O1347">
            <v>286208432</v>
          </cell>
          <cell r="P1347">
            <v>145966361</v>
          </cell>
          <cell r="Q1347">
            <v>0</v>
          </cell>
          <cell r="R1347">
            <v>218337342</v>
          </cell>
          <cell r="S1347">
            <v>84358273</v>
          </cell>
          <cell r="T1347">
            <v>705362758</v>
          </cell>
          <cell r="U1347">
            <v>0</v>
          </cell>
          <cell r="V1347">
            <v>569243659</v>
          </cell>
          <cell r="W1347">
            <v>459475597</v>
          </cell>
          <cell r="X1347">
            <v>432691081</v>
          </cell>
          <cell r="Y1347">
            <v>313160657</v>
          </cell>
          <cell r="Z1347">
            <v>421574701</v>
          </cell>
          <cell r="AA1347">
            <v>55057846</v>
          </cell>
          <cell r="AB1347">
            <v>498342891</v>
          </cell>
          <cell r="AC1347">
            <v>195589767</v>
          </cell>
          <cell r="AD1347">
            <v>1113569759</v>
          </cell>
          <cell r="AE1347">
            <v>4311609352</v>
          </cell>
          <cell r="AF1347">
            <v>547076039</v>
          </cell>
          <cell r="AG1347">
            <v>386438295</v>
          </cell>
          <cell r="AH1347">
            <v>1001802566</v>
          </cell>
          <cell r="AI1347">
            <v>343372459</v>
          </cell>
        </row>
        <row r="1348">
          <cell r="A1348">
            <v>108010500</v>
          </cell>
          <cell r="C1348">
            <v>328413644</v>
          </cell>
          <cell r="D1348">
            <v>499345694</v>
          </cell>
          <cell r="E1348">
            <v>138717628</v>
          </cell>
          <cell r="F1348">
            <v>204835332</v>
          </cell>
          <cell r="G1348">
            <v>634574898</v>
          </cell>
          <cell r="H1348">
            <v>1273092986</v>
          </cell>
          <cell r="I1348">
            <v>441732589</v>
          </cell>
          <cell r="J1348">
            <v>1171920451</v>
          </cell>
          <cell r="K1348">
            <v>157383134</v>
          </cell>
          <cell r="L1348">
            <v>3048018</v>
          </cell>
          <cell r="M1348">
            <v>175556613</v>
          </cell>
          <cell r="N1348">
            <v>150426830</v>
          </cell>
          <cell r="O1348">
            <v>159378347</v>
          </cell>
          <cell r="P1348">
            <v>79172707</v>
          </cell>
          <cell r="Q1348">
            <v>3204528</v>
          </cell>
          <cell r="R1348">
            <v>47994200</v>
          </cell>
          <cell r="S1348">
            <v>0</v>
          </cell>
          <cell r="T1348">
            <v>1450248614</v>
          </cell>
          <cell r="U1348">
            <v>183513302</v>
          </cell>
          <cell r="V1348">
            <v>596354238</v>
          </cell>
          <cell r="W1348">
            <v>17202657</v>
          </cell>
          <cell r="X1348">
            <v>100791915</v>
          </cell>
          <cell r="Y1348">
            <v>0</v>
          </cell>
          <cell r="Z1348">
            <v>0</v>
          </cell>
          <cell r="AA1348">
            <v>0</v>
          </cell>
          <cell r="AB1348">
            <v>336605433</v>
          </cell>
          <cell r="AC1348">
            <v>55503200</v>
          </cell>
          <cell r="AD1348">
            <v>122777196</v>
          </cell>
          <cell r="AE1348">
            <v>1982653362</v>
          </cell>
          <cell r="AF1348">
            <v>606366702</v>
          </cell>
          <cell r="AG1348">
            <v>58002742</v>
          </cell>
          <cell r="AH1348">
            <v>435492919</v>
          </cell>
          <cell r="AI1348">
            <v>333200498</v>
          </cell>
        </row>
        <row r="1349">
          <cell r="A1349">
            <v>108010501</v>
          </cell>
          <cell r="C1349">
            <v>328413644</v>
          </cell>
          <cell r="D1349">
            <v>499345694</v>
          </cell>
          <cell r="E1349">
            <v>138717628</v>
          </cell>
          <cell r="F1349">
            <v>204835332</v>
          </cell>
          <cell r="G1349">
            <v>634574898</v>
          </cell>
          <cell r="H1349">
            <v>1273092986</v>
          </cell>
          <cell r="I1349">
            <v>441732589</v>
          </cell>
          <cell r="J1349">
            <v>1171920451</v>
          </cell>
          <cell r="K1349">
            <v>157383134</v>
          </cell>
          <cell r="L1349">
            <v>3048018</v>
          </cell>
          <cell r="M1349">
            <v>175556613</v>
          </cell>
          <cell r="N1349">
            <v>150426830</v>
          </cell>
          <cell r="O1349">
            <v>159378347</v>
          </cell>
          <cell r="P1349">
            <v>79172707</v>
          </cell>
          <cell r="Q1349">
            <v>3204528</v>
          </cell>
          <cell r="R1349">
            <v>47994200</v>
          </cell>
          <cell r="S1349">
            <v>0</v>
          </cell>
          <cell r="T1349">
            <v>1450248614</v>
          </cell>
          <cell r="U1349">
            <v>183513302</v>
          </cell>
          <cell r="V1349">
            <v>596354238</v>
          </cell>
          <cell r="W1349">
            <v>17202657</v>
          </cell>
          <cell r="X1349">
            <v>100791915</v>
          </cell>
          <cell r="Y1349">
            <v>0</v>
          </cell>
          <cell r="Z1349">
            <v>0</v>
          </cell>
          <cell r="AA1349">
            <v>0</v>
          </cell>
          <cell r="AB1349">
            <v>336605433</v>
          </cell>
          <cell r="AC1349">
            <v>55503200</v>
          </cell>
          <cell r="AD1349">
            <v>122777196</v>
          </cell>
          <cell r="AE1349">
            <v>1982653362</v>
          </cell>
          <cell r="AF1349">
            <v>606366702</v>
          </cell>
          <cell r="AG1349">
            <v>58002742</v>
          </cell>
          <cell r="AH1349">
            <v>435492919</v>
          </cell>
          <cell r="AI1349">
            <v>333200498</v>
          </cell>
        </row>
        <row r="1350">
          <cell r="A1350">
            <v>108010600</v>
          </cell>
          <cell r="C1350">
            <v>0</v>
          </cell>
          <cell r="D1350">
            <v>1699708923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10549224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17651205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</row>
        <row r="1351">
          <cell r="A1351">
            <v>108010601</v>
          </cell>
          <cell r="C1351">
            <v>0</v>
          </cell>
          <cell r="D1351">
            <v>1699708923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10549224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17651205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</row>
        <row r="1352">
          <cell r="A1352">
            <v>108012000</v>
          </cell>
          <cell r="C1352">
            <v>-2164436694</v>
          </cell>
          <cell r="D1352">
            <v>-749547394</v>
          </cell>
          <cell r="E1352">
            <v>-612409662</v>
          </cell>
          <cell r="F1352">
            <v>-2514715930</v>
          </cell>
          <cell r="G1352">
            <v>-2924522921</v>
          </cell>
          <cell r="H1352">
            <v>-4646390567</v>
          </cell>
          <cell r="I1352">
            <v>-2673409959</v>
          </cell>
          <cell r="J1352">
            <v>-2287954465</v>
          </cell>
          <cell r="K1352">
            <v>-673829443</v>
          </cell>
          <cell r="L1352">
            <v>-499980395</v>
          </cell>
          <cell r="M1352">
            <v>-290309469</v>
          </cell>
          <cell r="N1352">
            <v>-1634567794</v>
          </cell>
          <cell r="O1352">
            <v>-2524885702</v>
          </cell>
          <cell r="P1352">
            <v>-265634573</v>
          </cell>
          <cell r="Q1352">
            <v>-487379337</v>
          </cell>
          <cell r="R1352">
            <v>-740752867</v>
          </cell>
          <cell r="S1352">
            <v>-679163117</v>
          </cell>
          <cell r="T1352">
            <v>-5038155421</v>
          </cell>
          <cell r="U1352">
            <v>-1214224808</v>
          </cell>
          <cell r="V1352">
            <v>-3259493915</v>
          </cell>
          <cell r="W1352">
            <v>-1537909851</v>
          </cell>
          <cell r="X1352">
            <v>-612339002</v>
          </cell>
          <cell r="Y1352">
            <v>-873863385</v>
          </cell>
          <cell r="Z1352">
            <v>-856064702</v>
          </cell>
          <cell r="AA1352">
            <v>-266630883</v>
          </cell>
          <cell r="AB1352">
            <v>-643662617</v>
          </cell>
          <cell r="AC1352">
            <v>-695302028</v>
          </cell>
          <cell r="AD1352">
            <v>-1781481341</v>
          </cell>
          <cell r="AE1352">
            <v>-9936772596</v>
          </cell>
          <cell r="AF1352">
            <v>-826114276</v>
          </cell>
          <cell r="AG1352">
            <v>-639599365</v>
          </cell>
          <cell r="AH1352">
            <v>-1463424844</v>
          </cell>
          <cell r="AI1352">
            <v>-248802357</v>
          </cell>
        </row>
        <row r="1353">
          <cell r="A1353">
            <v>108012001</v>
          </cell>
          <cell r="C1353">
            <v>0</v>
          </cell>
          <cell r="D1353">
            <v>0</v>
          </cell>
          <cell r="E1353">
            <v>0</v>
          </cell>
          <cell r="F1353">
            <v>-1844977326</v>
          </cell>
          <cell r="G1353">
            <v>-893488019</v>
          </cell>
          <cell r="H1353">
            <v>-1174443806</v>
          </cell>
          <cell r="I1353">
            <v>-154189242</v>
          </cell>
          <cell r="J1353">
            <v>-463442007</v>
          </cell>
          <cell r="K1353">
            <v>0</v>
          </cell>
          <cell r="L1353">
            <v>0</v>
          </cell>
          <cell r="M1353">
            <v>-227454015</v>
          </cell>
          <cell r="N1353">
            <v>0</v>
          </cell>
          <cell r="O1353">
            <v>-795617034</v>
          </cell>
          <cell r="P1353">
            <v>-159540208</v>
          </cell>
          <cell r="Q1353">
            <v>0</v>
          </cell>
          <cell r="R1353">
            <v>-169443673</v>
          </cell>
          <cell r="S1353">
            <v>-435179916</v>
          </cell>
          <cell r="T1353">
            <v>-1520339760</v>
          </cell>
          <cell r="U1353">
            <v>0</v>
          </cell>
          <cell r="V1353">
            <v>-843251278</v>
          </cell>
          <cell r="W1353">
            <v>-705856572</v>
          </cell>
          <cell r="X1353">
            <v>0</v>
          </cell>
          <cell r="Y1353">
            <v>-309027812</v>
          </cell>
          <cell r="Z1353">
            <v>0</v>
          </cell>
          <cell r="AA1353">
            <v>0</v>
          </cell>
          <cell r="AB1353">
            <v>0</v>
          </cell>
          <cell r="AC1353">
            <v>-223926280</v>
          </cell>
          <cell r="AD1353">
            <v>-290615170</v>
          </cell>
          <cell r="AE1353">
            <v>-1550602493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</row>
        <row r="1354">
          <cell r="A1354">
            <v>108012002</v>
          </cell>
          <cell r="C1354">
            <v>-267074060</v>
          </cell>
          <cell r="D1354">
            <v>-132595071</v>
          </cell>
          <cell r="E1354">
            <v>-135559496</v>
          </cell>
          <cell r="F1354">
            <v>-78589624</v>
          </cell>
          <cell r="G1354">
            <v>-513187231</v>
          </cell>
          <cell r="H1354">
            <v>-551541903</v>
          </cell>
          <cell r="I1354">
            <v>-279110349</v>
          </cell>
          <cell r="J1354">
            <v>-104344294</v>
          </cell>
          <cell r="K1354">
            <v>-142869459</v>
          </cell>
          <cell r="L1354">
            <v>-115768590</v>
          </cell>
          <cell r="M1354">
            <v>-8516899</v>
          </cell>
          <cell r="N1354">
            <v>-264307598</v>
          </cell>
          <cell r="O1354">
            <v>-337538009</v>
          </cell>
          <cell r="P1354">
            <v>-17722139</v>
          </cell>
          <cell r="Q1354">
            <v>-50767463</v>
          </cell>
          <cell r="R1354">
            <v>-164537969</v>
          </cell>
          <cell r="S1354">
            <v>-134939500</v>
          </cell>
          <cell r="T1354">
            <v>-574422570</v>
          </cell>
          <cell r="U1354">
            <v>-185126447</v>
          </cell>
          <cell r="V1354">
            <v>-968106270</v>
          </cell>
          <cell r="W1354">
            <v>-134838103</v>
          </cell>
          <cell r="X1354">
            <v>-152577194</v>
          </cell>
          <cell r="Y1354">
            <v>-154847605</v>
          </cell>
          <cell r="Z1354">
            <v>-192970034</v>
          </cell>
          <cell r="AA1354">
            <v>-43588698</v>
          </cell>
          <cell r="AB1354">
            <v>-88739694</v>
          </cell>
          <cell r="AC1354">
            <v>-145169283</v>
          </cell>
          <cell r="AD1354">
            <v>-300141860</v>
          </cell>
          <cell r="AE1354">
            <v>-1556092366</v>
          </cell>
          <cell r="AF1354">
            <v>-112094678</v>
          </cell>
          <cell r="AG1354">
            <v>-172591041</v>
          </cell>
          <cell r="AH1354">
            <v>-151601110</v>
          </cell>
          <cell r="AI1354">
            <v>-50223377</v>
          </cell>
        </row>
        <row r="1355">
          <cell r="A1355">
            <v>108012003</v>
          </cell>
          <cell r="C1355">
            <v>-111062363</v>
          </cell>
          <cell r="D1355">
            <v>-44143113</v>
          </cell>
          <cell r="E1355">
            <v>-263809071</v>
          </cell>
          <cell r="F1355">
            <v>-215529744</v>
          </cell>
          <cell r="G1355">
            <v>-66473258</v>
          </cell>
          <cell r="H1355">
            <v>-855041752</v>
          </cell>
          <cell r="I1355">
            <v>-155136551</v>
          </cell>
          <cell r="J1355">
            <v>0</v>
          </cell>
          <cell r="K1355">
            <v>-2052499</v>
          </cell>
          <cell r="L1355">
            <v>-61371836</v>
          </cell>
          <cell r="M1355">
            <v>-3173217</v>
          </cell>
          <cell r="N1355">
            <v>-102573315</v>
          </cell>
          <cell r="O1355">
            <v>-840774352</v>
          </cell>
          <cell r="P1355">
            <v>-7164276</v>
          </cell>
          <cell r="Q1355">
            <v>-37988701</v>
          </cell>
          <cell r="R1355">
            <v>-120538431</v>
          </cell>
          <cell r="S1355">
            <v>0</v>
          </cell>
          <cell r="T1355">
            <v>-562573572</v>
          </cell>
          <cell r="U1355">
            <v>-565577060</v>
          </cell>
          <cell r="V1355">
            <v>-378132354</v>
          </cell>
          <cell r="W1355">
            <v>-151324321</v>
          </cell>
          <cell r="X1355">
            <v>-74316751</v>
          </cell>
          <cell r="Y1355">
            <v>-92026080</v>
          </cell>
          <cell r="Z1355">
            <v>-137922513</v>
          </cell>
          <cell r="AA1355">
            <v>0</v>
          </cell>
          <cell r="AB1355">
            <v>-59396734</v>
          </cell>
          <cell r="AC1355">
            <v>-96482865</v>
          </cell>
          <cell r="AD1355">
            <v>-516311539</v>
          </cell>
          <cell r="AE1355">
            <v>-1471934247</v>
          </cell>
          <cell r="AF1355">
            <v>-78173978</v>
          </cell>
          <cell r="AG1355">
            <v>-102926266</v>
          </cell>
          <cell r="AH1355">
            <v>-37053129</v>
          </cell>
          <cell r="AI1355">
            <v>-31216431</v>
          </cell>
        </row>
        <row r="1356">
          <cell r="A1356">
            <v>108012004</v>
          </cell>
          <cell r="C1356">
            <v>-2198276</v>
          </cell>
          <cell r="D1356">
            <v>0</v>
          </cell>
          <cell r="E1356">
            <v>-40491773</v>
          </cell>
          <cell r="F1356">
            <v>-211668210</v>
          </cell>
          <cell r="G1356">
            <v>0</v>
          </cell>
          <cell r="H1356">
            <v>-1593070755</v>
          </cell>
          <cell r="I1356">
            <v>-401857888</v>
          </cell>
          <cell r="J1356">
            <v>-726337236</v>
          </cell>
          <cell r="K1356">
            <v>0</v>
          </cell>
          <cell r="L1356">
            <v>-207506219</v>
          </cell>
          <cell r="M1356">
            <v>0</v>
          </cell>
          <cell r="N1356">
            <v>-1156099981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-28285106</v>
          </cell>
          <cell r="T1356">
            <v>-1070523575</v>
          </cell>
          <cell r="U1356">
            <v>0</v>
          </cell>
          <cell r="V1356">
            <v>-113709771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-202170823</v>
          </cell>
          <cell r="AB1356">
            <v>-2654681</v>
          </cell>
          <cell r="AC1356">
            <v>0</v>
          </cell>
          <cell r="AD1356">
            <v>-29155505</v>
          </cell>
          <cell r="AE1356">
            <v>-414877606</v>
          </cell>
          <cell r="AF1356">
            <v>-124564429</v>
          </cell>
          <cell r="AG1356">
            <v>0</v>
          </cell>
          <cell r="AH1356">
            <v>0</v>
          </cell>
          <cell r="AI1356">
            <v>0</v>
          </cell>
        </row>
        <row r="1357">
          <cell r="A1357">
            <v>108012005</v>
          </cell>
          <cell r="C1357">
            <v>-516068017</v>
          </cell>
          <cell r="D1357">
            <v>-95523217</v>
          </cell>
          <cell r="E1357">
            <v>0</v>
          </cell>
          <cell r="F1357">
            <v>-5650035</v>
          </cell>
          <cell r="G1357">
            <v>-397221150</v>
          </cell>
          <cell r="H1357">
            <v>0</v>
          </cell>
          <cell r="I1357">
            <v>-480691851</v>
          </cell>
          <cell r="J1357">
            <v>0</v>
          </cell>
          <cell r="K1357">
            <v>-446615016</v>
          </cell>
          <cell r="L1357">
            <v>0</v>
          </cell>
          <cell r="M1357">
            <v>-5239778</v>
          </cell>
          <cell r="N1357">
            <v>0</v>
          </cell>
          <cell r="O1357">
            <v>-339790823</v>
          </cell>
          <cell r="P1357">
            <v>-22649379</v>
          </cell>
          <cell r="Q1357">
            <v>-398623173</v>
          </cell>
          <cell r="R1357">
            <v>-132735712</v>
          </cell>
          <cell r="S1357">
            <v>0</v>
          </cell>
          <cell r="T1357">
            <v>0</v>
          </cell>
          <cell r="U1357">
            <v>-280007999</v>
          </cell>
          <cell r="V1357">
            <v>-18591273</v>
          </cell>
          <cell r="W1357">
            <v>-144950368</v>
          </cell>
          <cell r="X1357">
            <v>-8658721</v>
          </cell>
          <cell r="Y1357">
            <v>-26457345</v>
          </cell>
          <cell r="Z1357">
            <v>-275210708</v>
          </cell>
          <cell r="AA1357">
            <v>0</v>
          </cell>
          <cell r="AB1357">
            <v>-56148642</v>
          </cell>
          <cell r="AC1357">
            <v>-9218016</v>
          </cell>
          <cell r="AD1357">
            <v>-152803417</v>
          </cell>
          <cell r="AE1357">
            <v>-1612434637</v>
          </cell>
          <cell r="AF1357">
            <v>0</v>
          </cell>
          <cell r="AG1357">
            <v>-100928109</v>
          </cell>
          <cell r="AH1357">
            <v>-206382520</v>
          </cell>
          <cell r="AI1357">
            <v>-5226107</v>
          </cell>
        </row>
        <row r="1358">
          <cell r="A1358">
            <v>108012006</v>
          </cell>
          <cell r="C1358">
            <v>-915981859</v>
          </cell>
          <cell r="D1358">
            <v>-302025894</v>
          </cell>
          <cell r="E1358">
            <v>-83236514</v>
          </cell>
          <cell r="F1358">
            <v>-63215908</v>
          </cell>
          <cell r="G1358">
            <v>-687384204</v>
          </cell>
          <cell r="H1358">
            <v>0</v>
          </cell>
          <cell r="I1358">
            <v>-1025413967</v>
          </cell>
          <cell r="J1358">
            <v>0</v>
          </cell>
          <cell r="K1358">
            <v>-58193877</v>
          </cell>
          <cell r="L1358">
            <v>-114129679</v>
          </cell>
          <cell r="M1358">
            <v>-24828987</v>
          </cell>
          <cell r="N1358">
            <v>0</v>
          </cell>
          <cell r="O1358">
            <v>-181641534</v>
          </cell>
          <cell r="P1358">
            <v>-33089953</v>
          </cell>
          <cell r="Q1358">
            <v>0</v>
          </cell>
          <cell r="R1358">
            <v>-153497082</v>
          </cell>
          <cell r="S1358">
            <v>-80758595</v>
          </cell>
          <cell r="T1358">
            <v>-533852457</v>
          </cell>
          <cell r="U1358">
            <v>0</v>
          </cell>
          <cell r="V1358">
            <v>-405438736</v>
          </cell>
          <cell r="W1358">
            <v>-394144853</v>
          </cell>
          <cell r="X1358">
            <v>-326757126</v>
          </cell>
          <cell r="Y1358">
            <v>-291504543</v>
          </cell>
          <cell r="Z1358">
            <v>-249961386</v>
          </cell>
          <cell r="AA1358">
            <v>-20871362</v>
          </cell>
          <cell r="AB1358">
            <v>-346463226</v>
          </cell>
          <cell r="AC1358">
            <v>-165002384</v>
          </cell>
          <cell r="AD1358">
            <v>-455962928</v>
          </cell>
          <cell r="AE1358">
            <v>-2920503588</v>
          </cell>
          <cell r="AF1358">
            <v>-307718538</v>
          </cell>
          <cell r="AG1358">
            <v>-239952852</v>
          </cell>
          <cell r="AH1358">
            <v>-855551981</v>
          </cell>
          <cell r="AI1358">
            <v>-84389659</v>
          </cell>
        </row>
        <row r="1359">
          <cell r="A1359">
            <v>108012007</v>
          </cell>
          <cell r="C1359">
            <v>-352052119</v>
          </cell>
          <cell r="D1359">
            <v>-175260099</v>
          </cell>
          <cell r="E1359">
            <v>-89312808</v>
          </cell>
          <cell r="F1359">
            <v>-95085083</v>
          </cell>
          <cell r="G1359">
            <v>-366769059</v>
          </cell>
          <cell r="H1359">
            <v>-472292351</v>
          </cell>
          <cell r="I1359">
            <v>-177010111</v>
          </cell>
          <cell r="J1359">
            <v>-993830928</v>
          </cell>
          <cell r="K1359">
            <v>-24098592</v>
          </cell>
          <cell r="L1359">
            <v>-1204071</v>
          </cell>
          <cell r="M1359">
            <v>-21096573</v>
          </cell>
          <cell r="N1359">
            <v>-111586900</v>
          </cell>
          <cell r="O1359">
            <v>-29523950</v>
          </cell>
          <cell r="P1359">
            <v>-25468618</v>
          </cell>
          <cell r="Q1359">
            <v>0</v>
          </cell>
          <cell r="R1359">
            <v>0</v>
          </cell>
          <cell r="S1359">
            <v>0</v>
          </cell>
          <cell r="T1359">
            <v>-776443487</v>
          </cell>
          <cell r="U1359">
            <v>-183513302</v>
          </cell>
          <cell r="V1359">
            <v>-532264233</v>
          </cell>
          <cell r="W1359">
            <v>-6795634</v>
          </cell>
          <cell r="X1359">
            <v>-50029210</v>
          </cell>
          <cell r="Y1359">
            <v>0</v>
          </cell>
          <cell r="Z1359">
            <v>-61</v>
          </cell>
          <cell r="AA1359">
            <v>0</v>
          </cell>
          <cell r="AB1359">
            <v>-90259640</v>
          </cell>
          <cell r="AC1359">
            <v>-55503200</v>
          </cell>
          <cell r="AD1359">
            <v>-36490922</v>
          </cell>
          <cell r="AE1359">
            <v>-410327659</v>
          </cell>
          <cell r="AF1359">
            <v>-203562653</v>
          </cell>
          <cell r="AG1359">
            <v>-23201097</v>
          </cell>
          <cell r="AH1359">
            <v>-212836104</v>
          </cell>
          <cell r="AI1359">
            <v>-77746783</v>
          </cell>
        </row>
        <row r="1360">
          <cell r="A1360">
            <v>108020000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19200000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29827104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8711200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135696000</v>
          </cell>
          <cell r="AE1360">
            <v>304444000</v>
          </cell>
          <cell r="AF1360">
            <v>0</v>
          </cell>
          <cell r="AG1360">
            <v>61917234</v>
          </cell>
          <cell r="AH1360">
            <v>0</v>
          </cell>
          <cell r="AI1360">
            <v>0</v>
          </cell>
        </row>
        <row r="1361">
          <cell r="A1361">
            <v>108020100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53888400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32559197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13316800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304444000</v>
          </cell>
          <cell r="AF1361">
            <v>0</v>
          </cell>
          <cell r="AG1361">
            <v>70750865</v>
          </cell>
          <cell r="AH1361">
            <v>0</v>
          </cell>
          <cell r="AI1361">
            <v>0</v>
          </cell>
        </row>
        <row r="1362">
          <cell r="A1362">
            <v>108020101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304444000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</row>
        <row r="1363">
          <cell r="A1363">
            <v>108020102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53888400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32559197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13316800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70750865</v>
          </cell>
          <cell r="AH1363">
            <v>0</v>
          </cell>
          <cell r="AI1363">
            <v>0</v>
          </cell>
        </row>
        <row r="1364">
          <cell r="A1364">
            <v>108020200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</row>
        <row r="1365">
          <cell r="A1365">
            <v>108020201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</row>
        <row r="1366">
          <cell r="A1366">
            <v>108020300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135696000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</row>
        <row r="1367">
          <cell r="A1367">
            <v>108020301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135696000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</row>
        <row r="1368">
          <cell r="A1368">
            <v>108022000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-34688400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-2732093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-4605600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-8833631</v>
          </cell>
          <cell r="AH1368">
            <v>0</v>
          </cell>
          <cell r="AI1368">
            <v>0</v>
          </cell>
        </row>
        <row r="1369">
          <cell r="A1369">
            <v>108022001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-8833631</v>
          </cell>
          <cell r="AH1369">
            <v>0</v>
          </cell>
          <cell r="AI1369">
            <v>0</v>
          </cell>
        </row>
        <row r="1370">
          <cell r="A1370">
            <v>108022002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-34688400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-2732093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-4605600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</row>
        <row r="1371">
          <cell r="A1371">
            <v>108022003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</row>
        <row r="1372">
          <cell r="A1372">
            <v>108022004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</row>
        <row r="1373">
          <cell r="A1373">
            <v>109000000</v>
          </cell>
          <cell r="C1373">
            <v>6159375220</v>
          </cell>
          <cell r="D1373">
            <v>2755589714</v>
          </cell>
          <cell r="E1373">
            <v>3371744217</v>
          </cell>
          <cell r="F1373">
            <v>2525334112</v>
          </cell>
          <cell r="G1373">
            <v>3504718842</v>
          </cell>
          <cell r="H1373">
            <v>10569926842</v>
          </cell>
          <cell r="I1373">
            <v>4427921387</v>
          </cell>
          <cell r="J1373">
            <v>483533789</v>
          </cell>
          <cell r="K1373">
            <v>723604960</v>
          </cell>
          <cell r="L1373">
            <v>803558465</v>
          </cell>
          <cell r="M1373">
            <v>1884786301</v>
          </cell>
          <cell r="N1373">
            <v>10822434459</v>
          </cell>
          <cell r="O1373">
            <v>4813045940</v>
          </cell>
          <cell r="P1373">
            <v>1478326116</v>
          </cell>
          <cell r="Q1373">
            <v>754172034</v>
          </cell>
          <cell r="R1373">
            <v>2778636400</v>
          </cell>
          <cell r="S1373">
            <v>303125932</v>
          </cell>
          <cell r="T1373">
            <v>3015877860</v>
          </cell>
          <cell r="U1373">
            <v>0</v>
          </cell>
          <cell r="V1373">
            <v>20254626262</v>
          </cell>
          <cell r="W1373">
            <v>1352731174</v>
          </cell>
          <cell r="X1373">
            <v>2444194153</v>
          </cell>
          <cell r="Y1373">
            <v>408424310</v>
          </cell>
          <cell r="Z1373">
            <v>2746468865</v>
          </cell>
          <cell r="AA1373">
            <v>1346069878</v>
          </cell>
          <cell r="AB1373">
            <v>4034288680</v>
          </cell>
          <cell r="AC1373">
            <v>496290198</v>
          </cell>
          <cell r="AD1373">
            <v>2892727976</v>
          </cell>
          <cell r="AE1373">
            <v>32047845377</v>
          </cell>
          <cell r="AF1373">
            <v>2019859106</v>
          </cell>
          <cell r="AG1373">
            <v>1452087835</v>
          </cell>
          <cell r="AH1373">
            <v>1764752290</v>
          </cell>
          <cell r="AI1373">
            <v>3530791950</v>
          </cell>
        </row>
        <row r="1374">
          <cell r="A1374">
            <v>109010000</v>
          </cell>
          <cell r="C1374">
            <v>35927478</v>
          </cell>
          <cell r="D1374">
            <v>225051625</v>
          </cell>
          <cell r="E1374">
            <v>354651262</v>
          </cell>
          <cell r="F1374">
            <v>6919263</v>
          </cell>
          <cell r="G1374">
            <v>23238565</v>
          </cell>
          <cell r="H1374">
            <v>0</v>
          </cell>
          <cell r="I1374">
            <v>358728000</v>
          </cell>
          <cell r="J1374">
            <v>0</v>
          </cell>
          <cell r="K1374">
            <v>93591228</v>
          </cell>
          <cell r="L1374">
            <v>0</v>
          </cell>
          <cell r="M1374">
            <v>48146263</v>
          </cell>
          <cell r="N1374">
            <v>158473757</v>
          </cell>
          <cell r="O1374">
            <v>77628143</v>
          </cell>
          <cell r="P1374">
            <v>296499246</v>
          </cell>
          <cell r="Q1374">
            <v>0</v>
          </cell>
          <cell r="R1374">
            <v>19667378</v>
          </cell>
          <cell r="S1374">
            <v>2688750</v>
          </cell>
          <cell r="T1374">
            <v>195780590</v>
          </cell>
          <cell r="U1374">
            <v>0</v>
          </cell>
          <cell r="V1374">
            <v>277381346</v>
          </cell>
          <cell r="W1374">
            <v>11024199</v>
          </cell>
          <cell r="X1374">
            <v>593178330</v>
          </cell>
          <cell r="Y1374">
            <v>9510294</v>
          </cell>
          <cell r="Z1374">
            <v>185531335</v>
          </cell>
          <cell r="AA1374">
            <v>9343787</v>
          </cell>
          <cell r="AB1374">
            <v>72470197</v>
          </cell>
          <cell r="AC1374">
            <v>36363630</v>
          </cell>
          <cell r="AD1374">
            <v>392666010</v>
          </cell>
          <cell r="AE1374">
            <v>1913345980</v>
          </cell>
          <cell r="AF1374">
            <v>233022472</v>
          </cell>
          <cell r="AG1374">
            <v>78084063</v>
          </cell>
          <cell r="AH1374">
            <v>199215878</v>
          </cell>
          <cell r="AI1374">
            <v>304486925</v>
          </cell>
        </row>
        <row r="1375">
          <cell r="A1375">
            <v>109010100</v>
          </cell>
          <cell r="C1375">
            <v>1933546</v>
          </cell>
          <cell r="D1375">
            <v>0</v>
          </cell>
          <cell r="E1375">
            <v>0</v>
          </cell>
          <cell r="F1375">
            <v>6919263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43494000</v>
          </cell>
          <cell r="Q1375">
            <v>0</v>
          </cell>
          <cell r="R1375">
            <v>16059385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60422623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3020216444</v>
          </cell>
          <cell r="AI1375">
            <v>183948122</v>
          </cell>
        </row>
        <row r="1376">
          <cell r="A1376">
            <v>109010101</v>
          </cell>
          <cell r="C1376">
            <v>1933546</v>
          </cell>
          <cell r="D1376">
            <v>0</v>
          </cell>
          <cell r="E1376">
            <v>0</v>
          </cell>
          <cell r="F1376">
            <v>6919263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16059385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183948122</v>
          </cell>
        </row>
        <row r="1377">
          <cell r="A1377">
            <v>109010102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43494000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60422623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3020216444</v>
          </cell>
          <cell r="AI1377">
            <v>0</v>
          </cell>
        </row>
        <row r="1378">
          <cell r="A1378">
            <v>109010200</v>
          </cell>
          <cell r="C1378">
            <v>33993932</v>
          </cell>
          <cell r="D1378">
            <v>129295885</v>
          </cell>
          <cell r="E1378">
            <v>249636924</v>
          </cell>
          <cell r="F1378">
            <v>0</v>
          </cell>
          <cell r="G1378">
            <v>62594690</v>
          </cell>
          <cell r="H1378">
            <v>0</v>
          </cell>
          <cell r="I1378">
            <v>608623361</v>
          </cell>
          <cell r="J1378">
            <v>0</v>
          </cell>
          <cell r="K1378">
            <v>11674904</v>
          </cell>
          <cell r="L1378">
            <v>0</v>
          </cell>
          <cell r="M1378">
            <v>78062959</v>
          </cell>
          <cell r="N1378">
            <v>55512182</v>
          </cell>
          <cell r="O1378">
            <v>78314702</v>
          </cell>
          <cell r="P1378">
            <v>0</v>
          </cell>
          <cell r="Q1378">
            <v>0</v>
          </cell>
          <cell r="R1378">
            <v>43003450</v>
          </cell>
          <cell r="S1378">
            <v>10755000</v>
          </cell>
          <cell r="T1378">
            <v>454721926</v>
          </cell>
          <cell r="U1378">
            <v>0</v>
          </cell>
          <cell r="V1378">
            <v>149030914</v>
          </cell>
          <cell r="W1378">
            <v>11024199</v>
          </cell>
          <cell r="X1378">
            <v>39443577</v>
          </cell>
          <cell r="Y1378">
            <v>21692854</v>
          </cell>
          <cell r="Z1378">
            <v>72103274</v>
          </cell>
          <cell r="AA1378">
            <v>55604856</v>
          </cell>
          <cell r="AB1378">
            <v>111555559</v>
          </cell>
          <cell r="AC1378">
            <v>54545454</v>
          </cell>
          <cell r="AD1378">
            <v>88493712</v>
          </cell>
          <cell r="AE1378">
            <v>5069018540</v>
          </cell>
          <cell r="AF1378">
            <v>360576858</v>
          </cell>
          <cell r="AG1378">
            <v>114955015</v>
          </cell>
          <cell r="AH1378">
            <v>814041630</v>
          </cell>
          <cell r="AI1378">
            <v>0</v>
          </cell>
        </row>
        <row r="1379">
          <cell r="A1379">
            <v>109010201</v>
          </cell>
          <cell r="C1379">
            <v>33993932</v>
          </cell>
          <cell r="D1379">
            <v>129295885</v>
          </cell>
          <cell r="E1379">
            <v>249636924</v>
          </cell>
          <cell r="F1379">
            <v>0</v>
          </cell>
          <cell r="G1379">
            <v>62594690</v>
          </cell>
          <cell r="H1379">
            <v>0</v>
          </cell>
          <cell r="I1379">
            <v>608623361</v>
          </cell>
          <cell r="J1379">
            <v>0</v>
          </cell>
          <cell r="K1379">
            <v>11674904</v>
          </cell>
          <cell r="L1379">
            <v>0</v>
          </cell>
          <cell r="M1379">
            <v>78062959</v>
          </cell>
          <cell r="N1379">
            <v>55512182</v>
          </cell>
          <cell r="O1379">
            <v>78314702</v>
          </cell>
          <cell r="P1379">
            <v>0</v>
          </cell>
          <cell r="Q1379">
            <v>0</v>
          </cell>
          <cell r="R1379">
            <v>43003450</v>
          </cell>
          <cell r="S1379">
            <v>10755000</v>
          </cell>
          <cell r="T1379">
            <v>454721926</v>
          </cell>
          <cell r="U1379">
            <v>0</v>
          </cell>
          <cell r="V1379">
            <v>149030914</v>
          </cell>
          <cell r="W1379">
            <v>11024199</v>
          </cell>
          <cell r="X1379">
            <v>39443577</v>
          </cell>
          <cell r="Y1379">
            <v>21692854</v>
          </cell>
          <cell r="Z1379">
            <v>72103274</v>
          </cell>
          <cell r="AA1379">
            <v>55604856</v>
          </cell>
          <cell r="AB1379">
            <v>111555559</v>
          </cell>
          <cell r="AC1379">
            <v>54545454</v>
          </cell>
          <cell r="AD1379">
            <v>88493712</v>
          </cell>
          <cell r="AE1379">
            <v>5069018540</v>
          </cell>
          <cell r="AF1379">
            <v>360576858</v>
          </cell>
          <cell r="AG1379">
            <v>114955015</v>
          </cell>
          <cell r="AH1379">
            <v>814041630</v>
          </cell>
          <cell r="AI1379">
            <v>0</v>
          </cell>
        </row>
        <row r="1380">
          <cell r="A1380">
            <v>109010300</v>
          </cell>
          <cell r="C1380">
            <v>0</v>
          </cell>
          <cell r="D1380">
            <v>148373388</v>
          </cell>
          <cell r="E1380">
            <v>364210022</v>
          </cell>
          <cell r="F1380">
            <v>0</v>
          </cell>
          <cell r="G1380">
            <v>0</v>
          </cell>
          <cell r="H1380">
            <v>0</v>
          </cell>
          <cell r="I1380">
            <v>487192115</v>
          </cell>
          <cell r="J1380">
            <v>0</v>
          </cell>
          <cell r="K1380">
            <v>209582849</v>
          </cell>
          <cell r="L1380">
            <v>0</v>
          </cell>
          <cell r="M1380">
            <v>0</v>
          </cell>
          <cell r="N1380">
            <v>321206089</v>
          </cell>
          <cell r="O1380">
            <v>17059514</v>
          </cell>
          <cell r="P1380">
            <v>253005246</v>
          </cell>
          <cell r="Q1380">
            <v>0</v>
          </cell>
          <cell r="R1380">
            <v>0</v>
          </cell>
          <cell r="S1380">
            <v>0</v>
          </cell>
          <cell r="T1380">
            <v>145222492</v>
          </cell>
          <cell r="U1380">
            <v>0</v>
          </cell>
          <cell r="V1380">
            <v>655228065</v>
          </cell>
          <cell r="W1380">
            <v>0</v>
          </cell>
          <cell r="X1380">
            <v>781460141</v>
          </cell>
          <cell r="Y1380">
            <v>0</v>
          </cell>
          <cell r="Z1380">
            <v>412377035</v>
          </cell>
          <cell r="AA1380">
            <v>0</v>
          </cell>
          <cell r="AB1380">
            <v>0</v>
          </cell>
          <cell r="AC1380">
            <v>0</v>
          </cell>
          <cell r="AD1380">
            <v>466222274</v>
          </cell>
          <cell r="AE1380">
            <v>1223342962</v>
          </cell>
          <cell r="AF1380">
            <v>166548304</v>
          </cell>
          <cell r="AG1380">
            <v>0</v>
          </cell>
          <cell r="AH1380">
            <v>166432480</v>
          </cell>
          <cell r="AI1380">
            <v>322862857</v>
          </cell>
        </row>
        <row r="1381">
          <cell r="A1381">
            <v>109010301</v>
          </cell>
          <cell r="C1381">
            <v>0</v>
          </cell>
          <cell r="D1381">
            <v>148373388</v>
          </cell>
          <cell r="E1381">
            <v>364210022</v>
          </cell>
          <cell r="F1381">
            <v>0</v>
          </cell>
          <cell r="G1381">
            <v>0</v>
          </cell>
          <cell r="H1381">
            <v>0</v>
          </cell>
          <cell r="I1381">
            <v>487192115</v>
          </cell>
          <cell r="J1381">
            <v>0</v>
          </cell>
          <cell r="K1381">
            <v>209582849</v>
          </cell>
          <cell r="L1381">
            <v>0</v>
          </cell>
          <cell r="M1381">
            <v>0</v>
          </cell>
          <cell r="N1381">
            <v>321206089</v>
          </cell>
          <cell r="O1381">
            <v>17059514</v>
          </cell>
          <cell r="P1381">
            <v>253005246</v>
          </cell>
          <cell r="Q1381">
            <v>0</v>
          </cell>
          <cell r="R1381">
            <v>0</v>
          </cell>
          <cell r="S1381">
            <v>0</v>
          </cell>
          <cell r="T1381">
            <v>145222492</v>
          </cell>
          <cell r="U1381">
            <v>0</v>
          </cell>
          <cell r="V1381">
            <v>655228065</v>
          </cell>
          <cell r="W1381">
            <v>0</v>
          </cell>
          <cell r="X1381">
            <v>781460141</v>
          </cell>
          <cell r="Y1381">
            <v>0</v>
          </cell>
          <cell r="Z1381">
            <v>412377035</v>
          </cell>
          <cell r="AA1381">
            <v>0</v>
          </cell>
          <cell r="AB1381">
            <v>0</v>
          </cell>
          <cell r="AC1381">
            <v>0</v>
          </cell>
          <cell r="AD1381">
            <v>466222274</v>
          </cell>
          <cell r="AE1381">
            <v>1223342962</v>
          </cell>
          <cell r="AF1381">
            <v>166548304</v>
          </cell>
          <cell r="AG1381">
            <v>0</v>
          </cell>
          <cell r="AH1381">
            <v>166432480</v>
          </cell>
          <cell r="AI1381">
            <v>322862857</v>
          </cell>
        </row>
        <row r="1382">
          <cell r="A1382">
            <v>109010400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183039000</v>
          </cell>
          <cell r="AH1382">
            <v>0</v>
          </cell>
          <cell r="AI1382">
            <v>0</v>
          </cell>
        </row>
        <row r="1383">
          <cell r="A1383">
            <v>109010401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183039000</v>
          </cell>
          <cell r="AH1383">
            <v>0</v>
          </cell>
          <cell r="AI1383">
            <v>0</v>
          </cell>
        </row>
        <row r="1384">
          <cell r="A1384">
            <v>109010402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</row>
        <row r="1385">
          <cell r="A1385">
            <v>109010500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455828251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</row>
        <row r="1386">
          <cell r="A1386">
            <v>109010501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455828251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</row>
        <row r="1387">
          <cell r="A1387">
            <v>109010600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8400000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</row>
        <row r="1388">
          <cell r="A1388">
            <v>109010601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8400000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</row>
        <row r="1389">
          <cell r="A1389">
            <v>109011500</v>
          </cell>
          <cell r="C1389">
            <v>0</v>
          </cell>
          <cell r="D1389">
            <v>-52617648</v>
          </cell>
          <cell r="E1389">
            <v>-259195684</v>
          </cell>
          <cell r="F1389">
            <v>0</v>
          </cell>
          <cell r="G1389">
            <v>-39356125</v>
          </cell>
          <cell r="H1389">
            <v>0</v>
          </cell>
          <cell r="I1389">
            <v>-737087476</v>
          </cell>
          <cell r="J1389">
            <v>-455828251</v>
          </cell>
          <cell r="K1389">
            <v>-127666525</v>
          </cell>
          <cell r="L1389">
            <v>0</v>
          </cell>
          <cell r="M1389">
            <v>-29916696</v>
          </cell>
          <cell r="N1389">
            <v>-218244514</v>
          </cell>
          <cell r="O1389">
            <v>-17746073</v>
          </cell>
          <cell r="P1389">
            <v>0</v>
          </cell>
          <cell r="Q1389">
            <v>0</v>
          </cell>
          <cell r="R1389">
            <v>-39395457</v>
          </cell>
          <cell r="S1389">
            <v>-8066250</v>
          </cell>
          <cell r="T1389">
            <v>-412563828</v>
          </cell>
          <cell r="U1389">
            <v>0</v>
          </cell>
          <cell r="V1389">
            <v>-526877633</v>
          </cell>
          <cell r="W1389">
            <v>0</v>
          </cell>
          <cell r="X1389">
            <v>-288148011</v>
          </cell>
          <cell r="Y1389">
            <v>-12182560</v>
          </cell>
          <cell r="Z1389">
            <v>-298948974</v>
          </cell>
          <cell r="AA1389">
            <v>-46261069</v>
          </cell>
          <cell r="AB1389">
            <v>-39085362</v>
          </cell>
          <cell r="AC1389">
            <v>-18181824</v>
          </cell>
          <cell r="AD1389">
            <v>-162049976</v>
          </cell>
          <cell r="AE1389">
            <v>-4379015522</v>
          </cell>
          <cell r="AF1389">
            <v>-294102690</v>
          </cell>
          <cell r="AG1389">
            <v>-219909952</v>
          </cell>
          <cell r="AH1389">
            <v>-3801474676</v>
          </cell>
          <cell r="AI1389">
            <v>-202324054</v>
          </cell>
        </row>
        <row r="1390">
          <cell r="A1390">
            <v>109011501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-16059385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-106428903</v>
          </cell>
        </row>
        <row r="1391">
          <cell r="A1391">
            <v>109011502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-18139677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-3020216444</v>
          </cell>
          <cell r="AI1391">
            <v>0</v>
          </cell>
        </row>
        <row r="1392">
          <cell r="A1392">
            <v>109011503</v>
          </cell>
          <cell r="C1392">
            <v>0</v>
          </cell>
          <cell r="D1392">
            <v>-32102196</v>
          </cell>
          <cell r="E1392">
            <v>-247154253</v>
          </cell>
          <cell r="F1392">
            <v>0</v>
          </cell>
          <cell r="G1392">
            <v>-39356125</v>
          </cell>
          <cell r="H1392">
            <v>0</v>
          </cell>
          <cell r="I1392">
            <v>-555083365</v>
          </cell>
          <cell r="J1392">
            <v>0</v>
          </cell>
          <cell r="K1392">
            <v>-7004943</v>
          </cell>
          <cell r="L1392">
            <v>0</v>
          </cell>
          <cell r="M1392">
            <v>-29916696</v>
          </cell>
          <cell r="N1392">
            <v>0</v>
          </cell>
          <cell r="O1392">
            <v>-16398555</v>
          </cell>
          <cell r="P1392">
            <v>0</v>
          </cell>
          <cell r="Q1392">
            <v>0</v>
          </cell>
          <cell r="R1392">
            <v>-23336072</v>
          </cell>
          <cell r="S1392">
            <v>-8066250</v>
          </cell>
          <cell r="T1392">
            <v>-353348897</v>
          </cell>
          <cell r="U1392">
            <v>0</v>
          </cell>
          <cell r="V1392">
            <v>-35312244</v>
          </cell>
          <cell r="W1392">
            <v>0</v>
          </cell>
          <cell r="X1392">
            <v>-8324724</v>
          </cell>
          <cell r="Y1392">
            <v>-12182560</v>
          </cell>
          <cell r="Z1392">
            <v>-36701003</v>
          </cell>
          <cell r="AA1392">
            <v>-46261069</v>
          </cell>
          <cell r="AB1392">
            <v>-39085362</v>
          </cell>
          <cell r="AC1392">
            <v>-18181824</v>
          </cell>
          <cell r="AD1392">
            <v>-47514161</v>
          </cell>
          <cell r="AE1392">
            <v>-3430445256</v>
          </cell>
          <cell r="AF1392">
            <v>-277341325</v>
          </cell>
          <cell r="AG1392">
            <v>-60897211</v>
          </cell>
          <cell r="AH1392">
            <v>-655297882</v>
          </cell>
          <cell r="AI1392">
            <v>0</v>
          </cell>
        </row>
        <row r="1393">
          <cell r="A1393">
            <v>109011504</v>
          </cell>
          <cell r="C1393">
            <v>0</v>
          </cell>
          <cell r="D1393">
            <v>-20515452</v>
          </cell>
          <cell r="E1393">
            <v>-12041431</v>
          </cell>
          <cell r="F1393">
            <v>0</v>
          </cell>
          <cell r="G1393">
            <v>0</v>
          </cell>
          <cell r="H1393">
            <v>0</v>
          </cell>
          <cell r="I1393">
            <v>-182004111</v>
          </cell>
          <cell r="J1393">
            <v>0</v>
          </cell>
          <cell r="K1393">
            <v>-120661582</v>
          </cell>
          <cell r="L1393">
            <v>0</v>
          </cell>
          <cell r="M1393">
            <v>0</v>
          </cell>
          <cell r="N1393">
            <v>-218244514</v>
          </cell>
          <cell r="O1393">
            <v>-1347518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-59214931</v>
          </cell>
          <cell r="U1393">
            <v>0</v>
          </cell>
          <cell r="V1393">
            <v>-491565389</v>
          </cell>
          <cell r="W1393">
            <v>0</v>
          </cell>
          <cell r="X1393">
            <v>-261683610</v>
          </cell>
          <cell r="Y1393">
            <v>0</v>
          </cell>
          <cell r="Z1393">
            <v>-262247971</v>
          </cell>
          <cell r="AA1393">
            <v>0</v>
          </cell>
          <cell r="AB1393">
            <v>0</v>
          </cell>
          <cell r="AC1393">
            <v>0</v>
          </cell>
          <cell r="AD1393">
            <v>-114535815</v>
          </cell>
          <cell r="AE1393">
            <v>-948570266</v>
          </cell>
          <cell r="AF1393">
            <v>-16761365</v>
          </cell>
          <cell r="AG1393">
            <v>0</v>
          </cell>
          <cell r="AH1393">
            <v>-125960350</v>
          </cell>
          <cell r="AI1393">
            <v>-95895151</v>
          </cell>
        </row>
        <row r="1394">
          <cell r="A1394">
            <v>109011505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-159012741</v>
          </cell>
          <cell r="AH1394">
            <v>0</v>
          </cell>
          <cell r="AI1394">
            <v>0</v>
          </cell>
        </row>
        <row r="1395">
          <cell r="A1395">
            <v>109011506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</row>
        <row r="1396">
          <cell r="A1396">
            <v>109011507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-455828251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</row>
        <row r="1397">
          <cell r="A1397">
            <v>109011508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</row>
        <row r="1398">
          <cell r="A1398">
            <v>109020000</v>
          </cell>
          <cell r="C1398">
            <v>2082673327</v>
          </cell>
          <cell r="D1398">
            <v>1771790315</v>
          </cell>
          <cell r="E1398">
            <v>945075994</v>
          </cell>
          <cell r="F1398">
            <v>484743227</v>
          </cell>
          <cell r="G1398">
            <v>1852454824</v>
          </cell>
          <cell r="H1398">
            <v>5855895011</v>
          </cell>
          <cell r="I1398">
            <v>1370202358</v>
          </cell>
          <cell r="J1398">
            <v>401517697</v>
          </cell>
          <cell r="K1398">
            <v>239016511</v>
          </cell>
          <cell r="L1398">
            <v>181963988</v>
          </cell>
          <cell r="M1398">
            <v>369970599</v>
          </cell>
          <cell r="N1398">
            <v>1540529339</v>
          </cell>
          <cell r="O1398">
            <v>1083016043</v>
          </cell>
          <cell r="P1398">
            <v>902672028</v>
          </cell>
          <cell r="Q1398">
            <v>527463265</v>
          </cell>
          <cell r="R1398">
            <v>684883367</v>
          </cell>
          <cell r="S1398">
            <v>223282460</v>
          </cell>
          <cell r="T1398">
            <v>1517651682</v>
          </cell>
          <cell r="U1398">
            <v>0</v>
          </cell>
          <cell r="V1398">
            <v>3359837661</v>
          </cell>
          <cell r="W1398">
            <v>1122254364</v>
          </cell>
          <cell r="X1398">
            <v>1613816929</v>
          </cell>
          <cell r="Y1398">
            <v>220873830</v>
          </cell>
          <cell r="Z1398">
            <v>2331620826</v>
          </cell>
          <cell r="AA1398">
            <v>383199161</v>
          </cell>
          <cell r="AB1398">
            <v>2638353167</v>
          </cell>
          <cell r="AC1398">
            <v>446032484</v>
          </cell>
          <cell r="AD1398">
            <v>2047434948</v>
          </cell>
          <cell r="AE1398">
            <v>10497603489</v>
          </cell>
          <cell r="AF1398">
            <v>907546991</v>
          </cell>
          <cell r="AG1398">
            <v>1270622445</v>
          </cell>
          <cell r="AH1398">
            <v>414339423</v>
          </cell>
          <cell r="AI1398">
            <v>618372134</v>
          </cell>
        </row>
        <row r="1399">
          <cell r="A1399">
            <v>109020100</v>
          </cell>
          <cell r="C1399">
            <v>2082673327</v>
          </cell>
          <cell r="D1399">
            <v>1766771481</v>
          </cell>
          <cell r="E1399">
            <v>904076139</v>
          </cell>
          <cell r="F1399">
            <v>483672095</v>
          </cell>
          <cell r="G1399">
            <v>1849894566</v>
          </cell>
          <cell r="H1399">
            <v>5833318656</v>
          </cell>
          <cell r="I1399">
            <v>1369409880</v>
          </cell>
          <cell r="J1399">
            <v>401517697</v>
          </cell>
          <cell r="K1399">
            <v>239016511</v>
          </cell>
          <cell r="L1399">
            <v>176897761</v>
          </cell>
          <cell r="M1399">
            <v>369970599</v>
          </cell>
          <cell r="N1399">
            <v>1534186877</v>
          </cell>
          <cell r="O1399">
            <v>1083016043</v>
          </cell>
          <cell r="P1399">
            <v>902672028</v>
          </cell>
          <cell r="Q1399">
            <v>527463265</v>
          </cell>
          <cell r="R1399">
            <v>684724528</v>
          </cell>
          <cell r="S1399">
            <v>223282460</v>
          </cell>
          <cell r="T1399">
            <v>1457317483</v>
          </cell>
          <cell r="U1399">
            <v>0</v>
          </cell>
          <cell r="V1399">
            <v>3292326313</v>
          </cell>
          <cell r="W1399">
            <v>1121002289</v>
          </cell>
          <cell r="X1399">
            <v>1599639910</v>
          </cell>
          <cell r="Y1399">
            <v>220873830</v>
          </cell>
          <cell r="Z1399">
            <v>1630197193</v>
          </cell>
          <cell r="AA1399">
            <v>382907443</v>
          </cell>
          <cell r="AB1399">
            <v>2621665939</v>
          </cell>
          <cell r="AC1399">
            <v>444969879</v>
          </cell>
          <cell r="AD1399">
            <v>1873653744</v>
          </cell>
          <cell r="AE1399">
            <v>8337443218</v>
          </cell>
          <cell r="AF1399">
            <v>900652308</v>
          </cell>
          <cell r="AG1399">
            <v>1269566326</v>
          </cell>
          <cell r="AH1399">
            <v>381951423</v>
          </cell>
          <cell r="AI1399">
            <v>615503021</v>
          </cell>
        </row>
        <row r="1400">
          <cell r="A1400">
            <v>109020101</v>
          </cell>
          <cell r="C1400">
            <v>142407144</v>
          </cell>
          <cell r="D1400">
            <v>459383204</v>
          </cell>
          <cell r="E1400">
            <v>444844684</v>
          </cell>
          <cell r="F1400">
            <v>57172110</v>
          </cell>
          <cell r="G1400">
            <v>99366110</v>
          </cell>
          <cell r="H1400">
            <v>269434539</v>
          </cell>
          <cell r="I1400">
            <v>114414790</v>
          </cell>
          <cell r="J1400">
            <v>37647164</v>
          </cell>
          <cell r="K1400">
            <v>20991218</v>
          </cell>
          <cell r="L1400">
            <v>53230344</v>
          </cell>
          <cell r="M1400">
            <v>3293354</v>
          </cell>
          <cell r="N1400">
            <v>248322366</v>
          </cell>
          <cell r="O1400">
            <v>226714866</v>
          </cell>
          <cell r="P1400">
            <v>88950403</v>
          </cell>
          <cell r="Q1400">
            <v>87856949</v>
          </cell>
          <cell r="R1400">
            <v>50615763</v>
          </cell>
          <cell r="S1400">
            <v>5312993</v>
          </cell>
          <cell r="T1400">
            <v>83876151</v>
          </cell>
          <cell r="U1400">
            <v>0</v>
          </cell>
          <cell r="V1400">
            <v>359931037</v>
          </cell>
          <cell r="W1400">
            <v>91498480</v>
          </cell>
          <cell r="X1400">
            <v>248315255</v>
          </cell>
          <cell r="Y1400">
            <v>28184909</v>
          </cell>
          <cell r="Z1400">
            <v>85424573</v>
          </cell>
          <cell r="AA1400">
            <v>90325303</v>
          </cell>
          <cell r="AB1400">
            <v>199175051</v>
          </cell>
          <cell r="AC1400">
            <v>39599739</v>
          </cell>
          <cell r="AD1400">
            <v>225335619</v>
          </cell>
          <cell r="AE1400">
            <v>1479433761</v>
          </cell>
          <cell r="AF1400">
            <v>63585088</v>
          </cell>
          <cell r="AG1400">
            <v>49797676</v>
          </cell>
          <cell r="AH1400">
            <v>59814133</v>
          </cell>
          <cell r="AI1400">
            <v>3276818</v>
          </cell>
        </row>
        <row r="1401">
          <cell r="A1401">
            <v>109020102</v>
          </cell>
          <cell r="C1401">
            <v>11998740</v>
          </cell>
          <cell r="D1401">
            <v>46155749</v>
          </cell>
          <cell r="E1401">
            <v>11934296</v>
          </cell>
          <cell r="F1401">
            <v>5582084</v>
          </cell>
          <cell r="G1401">
            <v>29784969</v>
          </cell>
          <cell r="H1401">
            <v>49731366</v>
          </cell>
          <cell r="I1401">
            <v>19247476</v>
          </cell>
          <cell r="J1401">
            <v>1844040</v>
          </cell>
          <cell r="K1401">
            <v>1238229</v>
          </cell>
          <cell r="L1401">
            <v>1059844</v>
          </cell>
          <cell r="M1401">
            <v>1641018</v>
          </cell>
          <cell r="N1401">
            <v>31361989</v>
          </cell>
          <cell r="O1401">
            <v>9520402</v>
          </cell>
          <cell r="P1401">
            <v>27064909</v>
          </cell>
          <cell r="Q1401">
            <v>24966178</v>
          </cell>
          <cell r="R1401">
            <v>13438634</v>
          </cell>
          <cell r="S1401">
            <v>66800</v>
          </cell>
          <cell r="T1401">
            <v>25616233</v>
          </cell>
          <cell r="U1401">
            <v>0</v>
          </cell>
          <cell r="V1401">
            <v>59847786</v>
          </cell>
          <cell r="W1401">
            <v>3995363</v>
          </cell>
          <cell r="X1401">
            <v>15803546</v>
          </cell>
          <cell r="Y1401">
            <v>1964364</v>
          </cell>
          <cell r="Z1401">
            <v>4138377</v>
          </cell>
          <cell r="AA1401">
            <v>3562226</v>
          </cell>
          <cell r="AB1401">
            <v>29377053</v>
          </cell>
          <cell r="AC1401">
            <v>976275</v>
          </cell>
          <cell r="AD1401">
            <v>14915502</v>
          </cell>
          <cell r="AE1401">
            <v>109374921</v>
          </cell>
          <cell r="AF1401">
            <v>5096354</v>
          </cell>
          <cell r="AG1401">
            <v>13665820</v>
          </cell>
          <cell r="AH1401">
            <v>2073095</v>
          </cell>
          <cell r="AI1401">
            <v>6178238</v>
          </cell>
        </row>
        <row r="1402">
          <cell r="A1402">
            <v>109020103</v>
          </cell>
          <cell r="C1402">
            <v>12176612</v>
          </cell>
          <cell r="D1402">
            <v>18102560</v>
          </cell>
          <cell r="E1402">
            <v>32895496</v>
          </cell>
          <cell r="F1402">
            <v>34669497</v>
          </cell>
          <cell r="G1402">
            <v>9561601</v>
          </cell>
          <cell r="H1402">
            <v>38172382</v>
          </cell>
          <cell r="I1402">
            <v>1185237</v>
          </cell>
          <cell r="J1402">
            <v>21541598</v>
          </cell>
          <cell r="K1402">
            <v>152894</v>
          </cell>
          <cell r="L1402">
            <v>9556321</v>
          </cell>
          <cell r="M1402">
            <v>354274</v>
          </cell>
          <cell r="N1402">
            <v>10130422</v>
          </cell>
          <cell r="O1402">
            <v>14623032</v>
          </cell>
          <cell r="P1402">
            <v>1205942</v>
          </cell>
          <cell r="Q1402">
            <v>21554730</v>
          </cell>
          <cell r="R1402">
            <v>39343099</v>
          </cell>
          <cell r="S1402">
            <v>2670632</v>
          </cell>
          <cell r="T1402">
            <v>35904725</v>
          </cell>
          <cell r="U1402">
            <v>0</v>
          </cell>
          <cell r="V1402">
            <v>217005304</v>
          </cell>
          <cell r="W1402">
            <v>3500591</v>
          </cell>
          <cell r="X1402">
            <v>23020671</v>
          </cell>
          <cell r="Y1402">
            <v>1221901</v>
          </cell>
          <cell r="Z1402">
            <v>6396179</v>
          </cell>
          <cell r="AA1402">
            <v>3701956</v>
          </cell>
          <cell r="AB1402">
            <v>42904433</v>
          </cell>
          <cell r="AC1402">
            <v>2770556</v>
          </cell>
          <cell r="AD1402">
            <v>5524006</v>
          </cell>
          <cell r="AE1402">
            <v>45218114</v>
          </cell>
          <cell r="AF1402">
            <v>175387176</v>
          </cell>
          <cell r="AG1402">
            <v>25945230</v>
          </cell>
          <cell r="AH1402">
            <v>11618178</v>
          </cell>
          <cell r="AI1402">
            <v>4730223</v>
          </cell>
        </row>
        <row r="1403">
          <cell r="A1403">
            <v>109020104</v>
          </cell>
          <cell r="C1403">
            <v>1499913477</v>
          </cell>
          <cell r="D1403">
            <v>1166505385</v>
          </cell>
          <cell r="E1403">
            <v>278738696</v>
          </cell>
          <cell r="F1403">
            <v>317212955</v>
          </cell>
          <cell r="G1403">
            <v>1557971874</v>
          </cell>
          <cell r="H1403">
            <v>4956121118</v>
          </cell>
          <cell r="I1403">
            <v>1159597702</v>
          </cell>
          <cell r="J1403">
            <v>328271271</v>
          </cell>
          <cell r="K1403">
            <v>212728177</v>
          </cell>
          <cell r="L1403">
            <v>102002106</v>
          </cell>
          <cell r="M1403">
            <v>93358271</v>
          </cell>
          <cell r="N1403">
            <v>861942561</v>
          </cell>
          <cell r="O1403">
            <v>598549896</v>
          </cell>
          <cell r="P1403">
            <v>742866114</v>
          </cell>
          <cell r="Q1403">
            <v>302215110</v>
          </cell>
          <cell r="R1403">
            <v>316239553</v>
          </cell>
          <cell r="S1403">
            <v>202963778</v>
          </cell>
          <cell r="T1403">
            <v>1200469271</v>
          </cell>
          <cell r="U1403">
            <v>0</v>
          </cell>
          <cell r="V1403">
            <v>2192378173</v>
          </cell>
          <cell r="W1403">
            <v>913551981</v>
          </cell>
          <cell r="X1403">
            <v>1081300239</v>
          </cell>
          <cell r="Y1403">
            <v>168915863</v>
          </cell>
          <cell r="Z1403">
            <v>962133533</v>
          </cell>
          <cell r="AA1403">
            <v>225249903</v>
          </cell>
          <cell r="AB1403">
            <v>2098095186</v>
          </cell>
          <cell r="AC1403">
            <v>315209984</v>
          </cell>
          <cell r="AD1403">
            <v>1500255307</v>
          </cell>
          <cell r="AE1403">
            <v>5074969738</v>
          </cell>
          <cell r="AF1403">
            <v>584365900</v>
          </cell>
          <cell r="AG1403">
            <v>1121255146</v>
          </cell>
          <cell r="AH1403">
            <v>278419525</v>
          </cell>
          <cell r="AI1403">
            <v>20273540</v>
          </cell>
        </row>
        <row r="1404">
          <cell r="A1404">
            <v>109020105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56217968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7480400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</row>
        <row r="1405">
          <cell r="A1405">
            <v>109020106</v>
          </cell>
          <cell r="C1405">
            <v>9828841</v>
          </cell>
          <cell r="D1405">
            <v>51947888</v>
          </cell>
          <cell r="E1405">
            <v>64072844</v>
          </cell>
          <cell r="F1405">
            <v>15370747</v>
          </cell>
          <cell r="G1405">
            <v>33697757</v>
          </cell>
          <cell r="H1405">
            <v>68502461</v>
          </cell>
          <cell r="I1405">
            <v>44253215</v>
          </cell>
          <cell r="J1405">
            <v>4060626</v>
          </cell>
          <cell r="K1405">
            <v>2267112</v>
          </cell>
          <cell r="L1405">
            <v>5266016</v>
          </cell>
          <cell r="M1405">
            <v>21648082</v>
          </cell>
          <cell r="N1405">
            <v>97006356</v>
          </cell>
          <cell r="O1405">
            <v>41096744</v>
          </cell>
          <cell r="P1405">
            <v>24558692</v>
          </cell>
          <cell r="Q1405">
            <v>28368536</v>
          </cell>
          <cell r="R1405">
            <v>26270174</v>
          </cell>
          <cell r="S1405">
            <v>4436434</v>
          </cell>
          <cell r="T1405">
            <v>43225794</v>
          </cell>
          <cell r="U1405">
            <v>0</v>
          </cell>
          <cell r="V1405">
            <v>115619970</v>
          </cell>
          <cell r="W1405">
            <v>23465302</v>
          </cell>
          <cell r="X1405">
            <v>109609759</v>
          </cell>
          <cell r="Y1405">
            <v>2030527</v>
          </cell>
          <cell r="Z1405">
            <v>548646531</v>
          </cell>
          <cell r="AA1405">
            <v>12632249</v>
          </cell>
          <cell r="AB1405">
            <v>74049602</v>
          </cell>
          <cell r="AC1405">
            <v>10718026</v>
          </cell>
          <cell r="AD1405">
            <v>32844414</v>
          </cell>
          <cell r="AE1405">
            <v>1310166858</v>
          </cell>
          <cell r="AF1405">
            <v>22077543</v>
          </cell>
          <cell r="AG1405">
            <v>12959131</v>
          </cell>
          <cell r="AH1405">
            <v>14857847</v>
          </cell>
          <cell r="AI1405">
            <v>236579</v>
          </cell>
        </row>
        <row r="1406">
          <cell r="A1406">
            <v>109020107</v>
          </cell>
          <cell r="C1406">
            <v>932613</v>
          </cell>
          <cell r="D1406">
            <v>5419664</v>
          </cell>
          <cell r="E1406">
            <v>0</v>
          </cell>
          <cell r="F1406">
            <v>1695257</v>
          </cell>
          <cell r="G1406">
            <v>1558869</v>
          </cell>
          <cell r="H1406">
            <v>6633713</v>
          </cell>
          <cell r="I1406">
            <v>1248329</v>
          </cell>
          <cell r="J1406">
            <v>146527</v>
          </cell>
          <cell r="K1406">
            <v>0</v>
          </cell>
          <cell r="L1406">
            <v>15532</v>
          </cell>
          <cell r="M1406">
            <v>76320</v>
          </cell>
          <cell r="N1406">
            <v>6444516</v>
          </cell>
          <cell r="O1406">
            <v>803941</v>
          </cell>
          <cell r="P1406">
            <v>555700</v>
          </cell>
          <cell r="Q1406">
            <v>1547284</v>
          </cell>
          <cell r="R1406">
            <v>1038453</v>
          </cell>
          <cell r="S1406">
            <v>98980</v>
          </cell>
          <cell r="T1406">
            <v>577348</v>
          </cell>
          <cell r="U1406">
            <v>0</v>
          </cell>
          <cell r="V1406">
            <v>1569963</v>
          </cell>
          <cell r="W1406">
            <v>494070</v>
          </cell>
          <cell r="X1406">
            <v>5202936</v>
          </cell>
          <cell r="Y1406">
            <v>0</v>
          </cell>
          <cell r="Z1406">
            <v>4559144</v>
          </cell>
          <cell r="AA1406">
            <v>742002</v>
          </cell>
          <cell r="AB1406">
            <v>6334208</v>
          </cell>
          <cell r="AC1406">
            <v>2103348</v>
          </cell>
          <cell r="AD1406">
            <v>2051223</v>
          </cell>
          <cell r="AE1406">
            <v>13893106</v>
          </cell>
          <cell r="AF1406">
            <v>1206992</v>
          </cell>
          <cell r="AG1406">
            <v>1539910</v>
          </cell>
          <cell r="AH1406">
            <v>861213</v>
          </cell>
          <cell r="AI1406">
            <v>0</v>
          </cell>
        </row>
        <row r="1407">
          <cell r="A1407">
            <v>109020108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246624535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7812</v>
          </cell>
          <cell r="AG1407">
            <v>0</v>
          </cell>
          <cell r="AH1407">
            <v>0</v>
          </cell>
          <cell r="AI1407">
            <v>511617719</v>
          </cell>
        </row>
        <row r="1408">
          <cell r="A1408">
            <v>109020109</v>
          </cell>
          <cell r="C1408">
            <v>14759547</v>
          </cell>
          <cell r="D1408">
            <v>1397882</v>
          </cell>
          <cell r="E1408">
            <v>7408188</v>
          </cell>
          <cell r="F1408">
            <v>2838670</v>
          </cell>
          <cell r="G1408">
            <v>1160184</v>
          </cell>
          <cell r="H1408">
            <v>17072265</v>
          </cell>
          <cell r="I1408">
            <v>861704</v>
          </cell>
          <cell r="J1408">
            <v>3671194</v>
          </cell>
          <cell r="K1408">
            <v>1485382</v>
          </cell>
          <cell r="L1408">
            <v>2939040</v>
          </cell>
          <cell r="M1408">
            <v>0</v>
          </cell>
          <cell r="N1408">
            <v>44752400</v>
          </cell>
          <cell r="O1408">
            <v>56060849</v>
          </cell>
          <cell r="P1408">
            <v>0</v>
          </cell>
          <cell r="Q1408">
            <v>220572</v>
          </cell>
          <cell r="R1408">
            <v>34967</v>
          </cell>
          <cell r="S1408">
            <v>108590</v>
          </cell>
          <cell r="T1408">
            <v>9533076</v>
          </cell>
          <cell r="U1408">
            <v>0</v>
          </cell>
          <cell r="V1408">
            <v>83158898</v>
          </cell>
          <cell r="W1408">
            <v>65998571</v>
          </cell>
          <cell r="X1408">
            <v>28800447</v>
          </cell>
          <cell r="Y1408">
            <v>87741</v>
          </cell>
          <cell r="Z1408">
            <v>4328702</v>
          </cell>
          <cell r="AA1408">
            <v>39939569</v>
          </cell>
          <cell r="AB1408">
            <v>26344099</v>
          </cell>
          <cell r="AC1408">
            <v>1523686</v>
          </cell>
          <cell r="AD1408">
            <v>22330854</v>
          </cell>
          <cell r="AE1408">
            <v>178257150</v>
          </cell>
          <cell r="AF1408">
            <v>8400410</v>
          </cell>
          <cell r="AG1408">
            <v>2437547</v>
          </cell>
          <cell r="AH1408">
            <v>5699760</v>
          </cell>
          <cell r="AI1408">
            <v>41838256</v>
          </cell>
        </row>
        <row r="1409">
          <cell r="A1409">
            <v>109020110</v>
          </cell>
          <cell r="C1409">
            <v>111533731</v>
          </cell>
          <cell r="D1409">
            <v>7562770</v>
          </cell>
          <cell r="E1409">
            <v>41605849</v>
          </cell>
          <cell r="F1409">
            <v>1870679</v>
          </cell>
          <cell r="G1409">
            <v>8862989</v>
          </cell>
          <cell r="H1409">
            <v>34566144</v>
          </cell>
          <cell r="I1409">
            <v>23668133</v>
          </cell>
          <cell r="J1409">
            <v>2021721</v>
          </cell>
          <cell r="K1409">
            <v>146151</v>
          </cell>
          <cell r="L1409">
            <v>178318</v>
          </cell>
          <cell r="M1409">
            <v>594966</v>
          </cell>
          <cell r="N1409">
            <v>38759366</v>
          </cell>
          <cell r="O1409">
            <v>13132477</v>
          </cell>
          <cell r="P1409">
            <v>2559405</v>
          </cell>
          <cell r="Q1409">
            <v>7976003</v>
          </cell>
          <cell r="R1409">
            <v>21336424</v>
          </cell>
          <cell r="S1409">
            <v>932582</v>
          </cell>
          <cell r="T1409">
            <v>22332322</v>
          </cell>
          <cell r="U1409">
            <v>0</v>
          </cell>
          <cell r="V1409">
            <v>82671845</v>
          </cell>
          <cell r="W1409">
            <v>4497601</v>
          </cell>
          <cell r="X1409">
            <v>9424776</v>
          </cell>
          <cell r="Y1409">
            <v>1516841</v>
          </cell>
          <cell r="Z1409">
            <v>6885532</v>
          </cell>
          <cell r="AA1409">
            <v>3503654</v>
          </cell>
          <cell r="AB1409">
            <v>24531126</v>
          </cell>
          <cell r="AC1409">
            <v>4011835</v>
          </cell>
          <cell r="AD1409">
            <v>8094170</v>
          </cell>
          <cell r="AE1409">
            <v>53911992</v>
          </cell>
          <cell r="AF1409">
            <v>6213099</v>
          </cell>
          <cell r="AG1409">
            <v>6636781</v>
          </cell>
          <cell r="AH1409">
            <v>1049158</v>
          </cell>
          <cell r="AI1409">
            <v>1735245</v>
          </cell>
        </row>
        <row r="1410">
          <cell r="A1410">
            <v>109020111</v>
          </cell>
          <cell r="C1410">
            <v>783846</v>
          </cell>
          <cell r="D1410">
            <v>2435621</v>
          </cell>
          <cell r="E1410">
            <v>51320</v>
          </cell>
          <cell r="F1410">
            <v>0</v>
          </cell>
          <cell r="G1410">
            <v>2235872</v>
          </cell>
          <cell r="H1410">
            <v>7961372</v>
          </cell>
          <cell r="I1410">
            <v>0</v>
          </cell>
          <cell r="J1410">
            <v>1432774</v>
          </cell>
          <cell r="K1410">
            <v>0</v>
          </cell>
          <cell r="L1410">
            <v>1358364</v>
          </cell>
          <cell r="M1410">
            <v>0</v>
          </cell>
          <cell r="N1410">
            <v>2045246</v>
          </cell>
          <cell r="O1410">
            <v>552778</v>
          </cell>
          <cell r="P1410">
            <v>3596442</v>
          </cell>
          <cell r="Q1410">
            <v>253546</v>
          </cell>
          <cell r="R1410">
            <v>891535</v>
          </cell>
          <cell r="S1410">
            <v>0</v>
          </cell>
          <cell r="T1410">
            <v>785459</v>
          </cell>
          <cell r="U1410">
            <v>0</v>
          </cell>
          <cell r="V1410">
            <v>72604</v>
          </cell>
          <cell r="W1410">
            <v>518008</v>
          </cell>
          <cell r="X1410">
            <v>3969617</v>
          </cell>
          <cell r="Y1410">
            <v>0</v>
          </cell>
          <cell r="Z1410">
            <v>1542346</v>
          </cell>
          <cell r="AA1410">
            <v>0</v>
          </cell>
          <cell r="AB1410">
            <v>3769131</v>
          </cell>
          <cell r="AC1410">
            <v>0</v>
          </cell>
          <cell r="AD1410">
            <v>0</v>
          </cell>
          <cell r="AE1410">
            <v>28798763</v>
          </cell>
          <cell r="AF1410">
            <v>0</v>
          </cell>
          <cell r="AG1410">
            <v>289987</v>
          </cell>
          <cell r="AH1410">
            <v>0</v>
          </cell>
          <cell r="AI1410">
            <v>1704417</v>
          </cell>
        </row>
        <row r="1411">
          <cell r="A1411">
            <v>109020112</v>
          </cell>
          <cell r="C1411">
            <v>50054065</v>
          </cell>
          <cell r="D1411">
            <v>7860758</v>
          </cell>
          <cell r="E1411">
            <v>10843251</v>
          </cell>
          <cell r="F1411">
            <v>37916024</v>
          </cell>
          <cell r="G1411">
            <v>12999761</v>
          </cell>
          <cell r="H1411">
            <v>44858157</v>
          </cell>
          <cell r="I1411">
            <v>2032119</v>
          </cell>
          <cell r="J1411">
            <v>0</v>
          </cell>
          <cell r="K1411">
            <v>7348</v>
          </cell>
          <cell r="L1411">
            <v>31063</v>
          </cell>
          <cell r="M1411">
            <v>536011</v>
          </cell>
          <cell r="N1411">
            <v>15816078</v>
          </cell>
          <cell r="O1411">
            <v>85419976</v>
          </cell>
          <cell r="P1411">
            <v>2668578</v>
          </cell>
          <cell r="Q1411">
            <v>5229296</v>
          </cell>
          <cell r="R1411">
            <v>124450375</v>
          </cell>
          <cell r="S1411">
            <v>1035086</v>
          </cell>
          <cell r="T1411">
            <v>26127655</v>
          </cell>
          <cell r="U1411">
            <v>0</v>
          </cell>
          <cell r="V1411">
            <v>159781474</v>
          </cell>
          <cell r="W1411">
            <v>4009883</v>
          </cell>
          <cell r="X1411">
            <v>18827845</v>
          </cell>
          <cell r="Y1411">
            <v>340890</v>
          </cell>
          <cell r="Z1411">
            <v>4522520</v>
          </cell>
          <cell r="AA1411">
            <v>270201</v>
          </cell>
          <cell r="AB1411">
            <v>45624396</v>
          </cell>
          <cell r="AC1411">
            <v>1461471</v>
          </cell>
          <cell r="AD1411">
            <v>47924662</v>
          </cell>
          <cell r="AE1411">
            <v>24722125</v>
          </cell>
          <cell r="AF1411">
            <v>23475016</v>
          </cell>
          <cell r="AG1411">
            <v>1394881</v>
          </cell>
          <cell r="AH1411">
            <v>2474804</v>
          </cell>
          <cell r="AI1411">
            <v>7915543</v>
          </cell>
        </row>
        <row r="1412">
          <cell r="A1412">
            <v>109020113</v>
          </cell>
          <cell r="C1412">
            <v>228284711</v>
          </cell>
          <cell r="D1412">
            <v>0</v>
          </cell>
          <cell r="E1412">
            <v>11681515</v>
          </cell>
          <cell r="F1412">
            <v>9344072</v>
          </cell>
          <cell r="G1412">
            <v>36476612</v>
          </cell>
          <cell r="H1412">
            <v>340265139</v>
          </cell>
          <cell r="I1412">
            <v>2901175</v>
          </cell>
          <cell r="J1412">
            <v>880782</v>
          </cell>
          <cell r="K1412">
            <v>0</v>
          </cell>
          <cell r="L1412">
            <v>1260813</v>
          </cell>
          <cell r="M1412">
            <v>1843768</v>
          </cell>
          <cell r="N1412">
            <v>177605577</v>
          </cell>
          <cell r="O1412">
            <v>36541082</v>
          </cell>
          <cell r="P1412">
            <v>8645843</v>
          </cell>
          <cell r="Q1412">
            <v>47275061</v>
          </cell>
          <cell r="R1412">
            <v>91065551</v>
          </cell>
          <cell r="S1412">
            <v>5656585</v>
          </cell>
          <cell r="T1412">
            <v>8869449</v>
          </cell>
          <cell r="U1412">
            <v>0</v>
          </cell>
          <cell r="V1412">
            <v>20289259</v>
          </cell>
          <cell r="W1412">
            <v>9472439</v>
          </cell>
          <cell r="X1412">
            <v>55364819</v>
          </cell>
          <cell r="Y1412">
            <v>9130394</v>
          </cell>
          <cell r="Z1412">
            <v>1619756</v>
          </cell>
          <cell r="AA1412">
            <v>2980380</v>
          </cell>
          <cell r="AB1412">
            <v>71461654</v>
          </cell>
          <cell r="AC1412">
            <v>66594959</v>
          </cell>
          <cell r="AD1412">
            <v>14377987</v>
          </cell>
          <cell r="AE1412">
            <v>18696690</v>
          </cell>
          <cell r="AF1412">
            <v>10836918</v>
          </cell>
          <cell r="AG1412">
            <v>33644217</v>
          </cell>
          <cell r="AH1412">
            <v>5083710</v>
          </cell>
          <cell r="AI1412">
            <v>15996443</v>
          </cell>
        </row>
        <row r="1413">
          <cell r="A1413">
            <v>109020200</v>
          </cell>
          <cell r="C1413">
            <v>0</v>
          </cell>
          <cell r="D1413">
            <v>5018834</v>
          </cell>
          <cell r="E1413">
            <v>40999855</v>
          </cell>
          <cell r="F1413">
            <v>1071132</v>
          </cell>
          <cell r="G1413">
            <v>2560258</v>
          </cell>
          <cell r="H1413">
            <v>22576355</v>
          </cell>
          <cell r="I1413">
            <v>792478</v>
          </cell>
          <cell r="J1413">
            <v>0</v>
          </cell>
          <cell r="K1413">
            <v>0</v>
          </cell>
          <cell r="L1413">
            <v>5066227</v>
          </cell>
          <cell r="M1413">
            <v>0</v>
          </cell>
          <cell r="N1413">
            <v>6342462</v>
          </cell>
          <cell r="O1413">
            <v>0</v>
          </cell>
          <cell r="P1413">
            <v>0</v>
          </cell>
          <cell r="Q1413">
            <v>0</v>
          </cell>
          <cell r="R1413">
            <v>158839</v>
          </cell>
          <cell r="S1413">
            <v>0</v>
          </cell>
          <cell r="T1413">
            <v>60334199</v>
          </cell>
          <cell r="U1413">
            <v>0</v>
          </cell>
          <cell r="V1413">
            <v>67511348</v>
          </cell>
          <cell r="W1413">
            <v>1252075</v>
          </cell>
          <cell r="X1413">
            <v>14177019</v>
          </cell>
          <cell r="Y1413">
            <v>0</v>
          </cell>
          <cell r="Z1413">
            <v>701423633</v>
          </cell>
          <cell r="AA1413">
            <v>291718</v>
          </cell>
          <cell r="AB1413">
            <v>16687228</v>
          </cell>
          <cell r="AC1413">
            <v>1062605</v>
          </cell>
          <cell r="AD1413">
            <v>173781204</v>
          </cell>
          <cell r="AE1413">
            <v>2160160271</v>
          </cell>
          <cell r="AF1413">
            <v>6894683</v>
          </cell>
          <cell r="AG1413">
            <v>1056119</v>
          </cell>
          <cell r="AH1413">
            <v>32388000</v>
          </cell>
          <cell r="AI1413">
            <v>2869113</v>
          </cell>
        </row>
        <row r="1414">
          <cell r="A1414">
            <v>109020201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</row>
        <row r="1415">
          <cell r="A1415">
            <v>109020202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</row>
        <row r="1416">
          <cell r="A1416">
            <v>109020203</v>
          </cell>
          <cell r="C1416">
            <v>0</v>
          </cell>
          <cell r="D1416">
            <v>5018834</v>
          </cell>
          <cell r="E1416">
            <v>40999855</v>
          </cell>
          <cell r="F1416">
            <v>1071132</v>
          </cell>
          <cell r="G1416">
            <v>2560258</v>
          </cell>
          <cell r="H1416">
            <v>22576355</v>
          </cell>
          <cell r="I1416">
            <v>792478</v>
          </cell>
          <cell r="J1416">
            <v>0</v>
          </cell>
          <cell r="K1416">
            <v>0</v>
          </cell>
          <cell r="L1416">
            <v>5066227</v>
          </cell>
          <cell r="M1416">
            <v>0</v>
          </cell>
          <cell r="N1416">
            <v>6342462</v>
          </cell>
          <cell r="O1416">
            <v>0</v>
          </cell>
          <cell r="P1416">
            <v>0</v>
          </cell>
          <cell r="Q1416">
            <v>0</v>
          </cell>
          <cell r="R1416">
            <v>158839</v>
          </cell>
          <cell r="S1416">
            <v>0</v>
          </cell>
          <cell r="T1416">
            <v>15819662</v>
          </cell>
          <cell r="U1416">
            <v>0</v>
          </cell>
          <cell r="V1416">
            <v>67511348</v>
          </cell>
          <cell r="W1416">
            <v>1252075</v>
          </cell>
          <cell r="X1416">
            <v>14177019</v>
          </cell>
          <cell r="Y1416">
            <v>0</v>
          </cell>
          <cell r="Z1416">
            <v>701423633</v>
          </cell>
          <cell r="AA1416">
            <v>291718</v>
          </cell>
          <cell r="AB1416">
            <v>16687228</v>
          </cell>
          <cell r="AC1416">
            <v>1062605</v>
          </cell>
          <cell r="AD1416">
            <v>173781204</v>
          </cell>
          <cell r="AE1416">
            <v>2160160271</v>
          </cell>
          <cell r="AF1416">
            <v>6894683</v>
          </cell>
          <cell r="AG1416">
            <v>1056119</v>
          </cell>
          <cell r="AH1416">
            <v>32388000</v>
          </cell>
          <cell r="AI1416">
            <v>2869113</v>
          </cell>
        </row>
        <row r="1417">
          <cell r="A1417">
            <v>109020204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</row>
        <row r="1418">
          <cell r="A1418">
            <v>109020205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</row>
        <row r="1419">
          <cell r="A1419">
            <v>109020206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1032751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</row>
        <row r="1420">
          <cell r="A1420">
            <v>109020207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43207905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</row>
        <row r="1421">
          <cell r="A1421">
            <v>109020208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273881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</row>
        <row r="1422">
          <cell r="A1422">
            <v>109020209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</row>
        <row r="1423">
          <cell r="A1423">
            <v>109030000</v>
          </cell>
          <cell r="C1423">
            <v>0</v>
          </cell>
          <cell r="D1423">
            <v>521791945</v>
          </cell>
          <cell r="E1423">
            <v>450657682</v>
          </cell>
          <cell r="F1423">
            <v>65889020</v>
          </cell>
          <cell r="G1423">
            <v>77901139</v>
          </cell>
          <cell r="H1423">
            <v>316528307</v>
          </cell>
          <cell r="I1423">
            <v>720920240</v>
          </cell>
          <cell r="J1423">
            <v>54168970</v>
          </cell>
          <cell r="K1423">
            <v>18881317</v>
          </cell>
          <cell r="L1423">
            <v>36274613</v>
          </cell>
          <cell r="M1423">
            <v>26251275</v>
          </cell>
          <cell r="N1423">
            <v>1346528975</v>
          </cell>
          <cell r="O1423">
            <v>189087929</v>
          </cell>
          <cell r="P1423">
            <v>43263214</v>
          </cell>
          <cell r="Q1423">
            <v>201731685</v>
          </cell>
          <cell r="R1423">
            <v>151182743</v>
          </cell>
          <cell r="S1423">
            <v>8512205</v>
          </cell>
          <cell r="T1423">
            <v>0</v>
          </cell>
          <cell r="U1423">
            <v>0</v>
          </cell>
          <cell r="V1423">
            <v>148381075</v>
          </cell>
          <cell r="W1423">
            <v>138696376</v>
          </cell>
          <cell r="X1423">
            <v>49883238</v>
          </cell>
          <cell r="Y1423">
            <v>5087476</v>
          </cell>
          <cell r="Z1423">
            <v>889862</v>
          </cell>
          <cell r="AA1423">
            <v>117205710</v>
          </cell>
          <cell r="AB1423">
            <v>601764814</v>
          </cell>
          <cell r="AC1423">
            <v>6054047</v>
          </cell>
          <cell r="AD1423">
            <v>9174562</v>
          </cell>
          <cell r="AE1423">
            <v>0</v>
          </cell>
          <cell r="AF1423">
            <v>0</v>
          </cell>
          <cell r="AG1423">
            <v>27913879</v>
          </cell>
          <cell r="AH1423">
            <v>13547281</v>
          </cell>
          <cell r="AI1423">
            <v>0</v>
          </cell>
        </row>
        <row r="1424">
          <cell r="A1424">
            <v>109030100</v>
          </cell>
          <cell r="C1424">
            <v>0</v>
          </cell>
          <cell r="D1424">
            <v>521791945</v>
          </cell>
          <cell r="E1424">
            <v>450657682</v>
          </cell>
          <cell r="F1424">
            <v>65889020</v>
          </cell>
          <cell r="G1424">
            <v>77901139</v>
          </cell>
          <cell r="H1424">
            <v>301855299</v>
          </cell>
          <cell r="I1424">
            <v>720920240</v>
          </cell>
          <cell r="J1424">
            <v>54168970</v>
          </cell>
          <cell r="K1424">
            <v>18881317</v>
          </cell>
          <cell r="L1424">
            <v>36274613</v>
          </cell>
          <cell r="M1424">
            <v>26251275</v>
          </cell>
          <cell r="N1424">
            <v>1176969272</v>
          </cell>
          <cell r="O1424">
            <v>189087929</v>
          </cell>
          <cell r="P1424">
            <v>43263214</v>
          </cell>
          <cell r="Q1424">
            <v>201731685</v>
          </cell>
          <cell r="R1424">
            <v>151182743</v>
          </cell>
          <cell r="S1424">
            <v>8512205</v>
          </cell>
          <cell r="T1424">
            <v>0</v>
          </cell>
          <cell r="U1424">
            <v>0</v>
          </cell>
          <cell r="V1424">
            <v>148381075</v>
          </cell>
          <cell r="W1424">
            <v>138696376</v>
          </cell>
          <cell r="X1424">
            <v>49883238</v>
          </cell>
          <cell r="Y1424">
            <v>5087476</v>
          </cell>
          <cell r="Z1424">
            <v>889862</v>
          </cell>
          <cell r="AA1424">
            <v>117205710</v>
          </cell>
          <cell r="AB1424">
            <v>175329408</v>
          </cell>
          <cell r="AC1424">
            <v>6054047</v>
          </cell>
          <cell r="AD1424">
            <v>9174562</v>
          </cell>
          <cell r="AE1424">
            <v>0</v>
          </cell>
          <cell r="AF1424">
            <v>0</v>
          </cell>
          <cell r="AG1424">
            <v>27913879</v>
          </cell>
          <cell r="AH1424">
            <v>13547281</v>
          </cell>
          <cell r="AI1424">
            <v>0</v>
          </cell>
        </row>
        <row r="1425">
          <cell r="A1425">
            <v>109030101</v>
          </cell>
          <cell r="C1425">
            <v>0</v>
          </cell>
          <cell r="D1425">
            <v>147012120</v>
          </cell>
          <cell r="E1425">
            <v>192584936</v>
          </cell>
          <cell r="F1425">
            <v>38539948</v>
          </cell>
          <cell r="G1425">
            <v>20818636</v>
          </cell>
          <cell r="H1425">
            <v>113897879</v>
          </cell>
          <cell r="I1425">
            <v>199791797</v>
          </cell>
          <cell r="J1425">
            <v>41652108</v>
          </cell>
          <cell r="K1425">
            <v>11130164</v>
          </cell>
          <cell r="L1425">
            <v>21347299</v>
          </cell>
          <cell r="M1425">
            <v>6299498</v>
          </cell>
          <cell r="N1425">
            <v>214065083</v>
          </cell>
          <cell r="O1425">
            <v>52257665</v>
          </cell>
          <cell r="P1425">
            <v>24182956</v>
          </cell>
          <cell r="Q1425">
            <v>54333637</v>
          </cell>
          <cell r="R1425">
            <v>16534683</v>
          </cell>
          <cell r="S1425">
            <v>2112701</v>
          </cell>
          <cell r="T1425">
            <v>0</v>
          </cell>
          <cell r="U1425">
            <v>0</v>
          </cell>
          <cell r="V1425">
            <v>69841322</v>
          </cell>
          <cell r="W1425">
            <v>48174315</v>
          </cell>
          <cell r="X1425">
            <v>17852686</v>
          </cell>
          <cell r="Y1425">
            <v>2541307</v>
          </cell>
          <cell r="Z1425">
            <v>889862</v>
          </cell>
          <cell r="AA1425">
            <v>92944979</v>
          </cell>
          <cell r="AB1425">
            <v>9741516</v>
          </cell>
          <cell r="AC1425">
            <v>6054047</v>
          </cell>
          <cell r="AD1425">
            <v>1998587</v>
          </cell>
          <cell r="AE1425">
            <v>0</v>
          </cell>
          <cell r="AF1425">
            <v>0</v>
          </cell>
          <cell r="AG1425">
            <v>9955211</v>
          </cell>
          <cell r="AH1425">
            <v>643431</v>
          </cell>
          <cell r="AI1425">
            <v>0</v>
          </cell>
        </row>
        <row r="1426">
          <cell r="A1426">
            <v>109030102</v>
          </cell>
          <cell r="C1426">
            <v>0</v>
          </cell>
          <cell r="D1426">
            <v>0</v>
          </cell>
          <cell r="E1426">
            <v>1790931</v>
          </cell>
          <cell r="F1426">
            <v>0</v>
          </cell>
          <cell r="G1426">
            <v>0</v>
          </cell>
          <cell r="H1426">
            <v>528370</v>
          </cell>
          <cell r="I1426">
            <v>1091502</v>
          </cell>
          <cell r="J1426">
            <v>148867</v>
          </cell>
          <cell r="K1426">
            <v>1832976</v>
          </cell>
          <cell r="L1426">
            <v>0</v>
          </cell>
          <cell r="M1426">
            <v>2786300</v>
          </cell>
          <cell r="N1426">
            <v>101507891</v>
          </cell>
          <cell r="O1426">
            <v>0</v>
          </cell>
          <cell r="P1426">
            <v>2135136</v>
          </cell>
          <cell r="Q1426">
            <v>44709340</v>
          </cell>
          <cell r="R1426">
            <v>28120570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9127038</v>
          </cell>
          <cell r="AB1426">
            <v>133658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</row>
        <row r="1427">
          <cell r="A1427">
            <v>109030103</v>
          </cell>
          <cell r="C1427">
            <v>0</v>
          </cell>
          <cell r="D1427">
            <v>184203</v>
          </cell>
          <cell r="E1427">
            <v>12938575</v>
          </cell>
          <cell r="F1427">
            <v>308043</v>
          </cell>
          <cell r="G1427">
            <v>0</v>
          </cell>
          <cell r="H1427">
            <v>44840164</v>
          </cell>
          <cell r="I1427">
            <v>0</v>
          </cell>
          <cell r="J1427">
            <v>2355017</v>
          </cell>
          <cell r="K1427">
            <v>191120</v>
          </cell>
          <cell r="L1427">
            <v>0</v>
          </cell>
          <cell r="M1427">
            <v>0</v>
          </cell>
          <cell r="N1427">
            <v>7727461</v>
          </cell>
          <cell r="O1427">
            <v>236714</v>
          </cell>
          <cell r="P1427">
            <v>0</v>
          </cell>
          <cell r="Q1427">
            <v>310686</v>
          </cell>
          <cell r="R1427">
            <v>0</v>
          </cell>
          <cell r="S1427">
            <v>87644</v>
          </cell>
          <cell r="T1427">
            <v>0</v>
          </cell>
          <cell r="U1427">
            <v>0</v>
          </cell>
          <cell r="V1427">
            <v>1381709</v>
          </cell>
          <cell r="W1427">
            <v>51390</v>
          </cell>
          <cell r="X1427">
            <v>0</v>
          </cell>
          <cell r="Y1427">
            <v>0</v>
          </cell>
          <cell r="Z1427">
            <v>0</v>
          </cell>
          <cell r="AA1427">
            <v>293569</v>
          </cell>
          <cell r="AB1427">
            <v>2899213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</row>
        <row r="1428">
          <cell r="A1428">
            <v>109030104</v>
          </cell>
          <cell r="C1428">
            <v>0</v>
          </cell>
          <cell r="D1428">
            <v>275372185</v>
          </cell>
          <cell r="E1428">
            <v>105533889</v>
          </cell>
          <cell r="F1428">
            <v>358023</v>
          </cell>
          <cell r="G1428">
            <v>26585502</v>
          </cell>
          <cell r="H1428">
            <v>25786227</v>
          </cell>
          <cell r="I1428">
            <v>420427482</v>
          </cell>
          <cell r="J1428">
            <v>8563167</v>
          </cell>
          <cell r="K1428">
            <v>0</v>
          </cell>
          <cell r="L1428">
            <v>1177729</v>
          </cell>
          <cell r="M1428">
            <v>1618949</v>
          </cell>
          <cell r="N1428">
            <v>385829732</v>
          </cell>
          <cell r="O1428">
            <v>0</v>
          </cell>
          <cell r="P1428">
            <v>16390899</v>
          </cell>
          <cell r="Q1428">
            <v>9048020</v>
          </cell>
          <cell r="R1428">
            <v>22868025</v>
          </cell>
          <cell r="S1428">
            <v>0</v>
          </cell>
          <cell r="T1428">
            <v>0</v>
          </cell>
          <cell r="U1428">
            <v>0</v>
          </cell>
          <cell r="V1428">
            <v>68113881</v>
          </cell>
          <cell r="W1428">
            <v>60783453</v>
          </cell>
          <cell r="X1428">
            <v>5999201</v>
          </cell>
          <cell r="Y1428">
            <v>0</v>
          </cell>
          <cell r="Z1428">
            <v>0</v>
          </cell>
          <cell r="AA1428">
            <v>133973</v>
          </cell>
          <cell r="AB1428">
            <v>95710372</v>
          </cell>
          <cell r="AC1428">
            <v>0</v>
          </cell>
          <cell r="AD1428">
            <v>7175975</v>
          </cell>
          <cell r="AE1428">
            <v>0</v>
          </cell>
          <cell r="AF1428">
            <v>0</v>
          </cell>
          <cell r="AG1428">
            <v>5845963</v>
          </cell>
          <cell r="AH1428">
            <v>328723</v>
          </cell>
          <cell r="AI1428">
            <v>0</v>
          </cell>
        </row>
        <row r="1429">
          <cell r="A1429">
            <v>109030105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</row>
        <row r="1430">
          <cell r="A1430">
            <v>109030106</v>
          </cell>
          <cell r="C1430">
            <v>0</v>
          </cell>
          <cell r="D1430">
            <v>8902333</v>
          </cell>
          <cell r="E1430">
            <v>67851051</v>
          </cell>
          <cell r="F1430">
            <v>6291287</v>
          </cell>
          <cell r="G1430">
            <v>3389909</v>
          </cell>
          <cell r="H1430">
            <v>3509702</v>
          </cell>
          <cell r="I1430">
            <v>77333084</v>
          </cell>
          <cell r="J1430">
            <v>0</v>
          </cell>
          <cell r="K1430">
            <v>2387253</v>
          </cell>
          <cell r="L1430">
            <v>0</v>
          </cell>
          <cell r="M1430">
            <v>15546528</v>
          </cell>
          <cell r="N1430">
            <v>119269574</v>
          </cell>
          <cell r="O1430">
            <v>4315884</v>
          </cell>
          <cell r="P1430">
            <v>0</v>
          </cell>
          <cell r="Q1430">
            <v>5143908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107027</v>
          </cell>
          <cell r="W1430">
            <v>2852771</v>
          </cell>
          <cell r="X1430">
            <v>11165234</v>
          </cell>
          <cell r="Y1430">
            <v>0</v>
          </cell>
          <cell r="Z1430">
            <v>0</v>
          </cell>
          <cell r="AA1430">
            <v>7825917</v>
          </cell>
          <cell r="AB1430">
            <v>12532687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4785072</v>
          </cell>
          <cell r="AI1430">
            <v>0</v>
          </cell>
        </row>
        <row r="1431">
          <cell r="A1431">
            <v>109030107</v>
          </cell>
          <cell r="C1431">
            <v>0</v>
          </cell>
          <cell r="D1431">
            <v>0</v>
          </cell>
          <cell r="E1431">
            <v>0</v>
          </cell>
          <cell r="F1431">
            <v>871131</v>
          </cell>
          <cell r="G1431">
            <v>1204000</v>
          </cell>
          <cell r="H1431">
            <v>3648980</v>
          </cell>
          <cell r="I1431">
            <v>0</v>
          </cell>
          <cell r="J1431">
            <v>0</v>
          </cell>
          <cell r="K1431">
            <v>40945</v>
          </cell>
          <cell r="L1431">
            <v>0</v>
          </cell>
          <cell r="M1431">
            <v>0</v>
          </cell>
          <cell r="N1431">
            <v>226611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</row>
        <row r="1432">
          <cell r="A1432">
            <v>109030108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</row>
        <row r="1433">
          <cell r="A1433">
            <v>109030109</v>
          </cell>
          <cell r="C1433">
            <v>0</v>
          </cell>
          <cell r="D1433">
            <v>0</v>
          </cell>
          <cell r="E1433">
            <v>1880548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575785</v>
          </cell>
          <cell r="L1433">
            <v>0</v>
          </cell>
          <cell r="M1433">
            <v>0</v>
          </cell>
          <cell r="N1433">
            <v>43686481</v>
          </cell>
          <cell r="O1433">
            <v>21099112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8055780</v>
          </cell>
          <cell r="W1433">
            <v>610060</v>
          </cell>
          <cell r="X1433">
            <v>523300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</row>
        <row r="1434">
          <cell r="A1434">
            <v>109030110</v>
          </cell>
          <cell r="C1434">
            <v>0</v>
          </cell>
          <cell r="D1434">
            <v>0</v>
          </cell>
          <cell r="E1434">
            <v>61010521</v>
          </cell>
          <cell r="F1434">
            <v>117589</v>
          </cell>
          <cell r="G1434">
            <v>2486909</v>
          </cell>
          <cell r="H1434">
            <v>19380478</v>
          </cell>
          <cell r="I1434">
            <v>1395000</v>
          </cell>
          <cell r="J1434">
            <v>1449811</v>
          </cell>
          <cell r="K1434">
            <v>84392</v>
          </cell>
          <cell r="L1434">
            <v>0</v>
          </cell>
          <cell r="M1434">
            <v>0</v>
          </cell>
          <cell r="N1434">
            <v>33446522</v>
          </cell>
          <cell r="O1434">
            <v>32058048</v>
          </cell>
          <cell r="P1434">
            <v>0</v>
          </cell>
          <cell r="Q1434">
            <v>2145206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2723328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12112705</v>
          </cell>
          <cell r="AH1434">
            <v>0</v>
          </cell>
          <cell r="AI1434">
            <v>0</v>
          </cell>
        </row>
        <row r="1435">
          <cell r="A1435">
            <v>109030111</v>
          </cell>
          <cell r="C1435">
            <v>0</v>
          </cell>
          <cell r="D1435">
            <v>14778058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65426245</v>
          </cell>
          <cell r="O1435">
            <v>1129602</v>
          </cell>
          <cell r="P1435">
            <v>0</v>
          </cell>
          <cell r="Q1435">
            <v>10799687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881356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</row>
        <row r="1436">
          <cell r="A1436">
            <v>109030112</v>
          </cell>
          <cell r="C1436">
            <v>0</v>
          </cell>
          <cell r="D1436">
            <v>0</v>
          </cell>
          <cell r="E1436">
            <v>102817</v>
          </cell>
          <cell r="F1436">
            <v>3957363</v>
          </cell>
          <cell r="G1436">
            <v>0</v>
          </cell>
          <cell r="H1436">
            <v>75468918</v>
          </cell>
          <cell r="I1436">
            <v>1646113</v>
          </cell>
          <cell r="J1436">
            <v>0</v>
          </cell>
          <cell r="K1436">
            <v>2638682</v>
          </cell>
          <cell r="L1436">
            <v>0</v>
          </cell>
          <cell r="M1436">
            <v>0</v>
          </cell>
          <cell r="N1436">
            <v>75461631</v>
          </cell>
          <cell r="O1436">
            <v>5073546</v>
          </cell>
          <cell r="P1436">
            <v>124521</v>
          </cell>
          <cell r="Q1436">
            <v>11720921</v>
          </cell>
          <cell r="R1436">
            <v>7469471</v>
          </cell>
          <cell r="S1436">
            <v>367631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14342817</v>
          </cell>
          <cell r="Y1436">
            <v>0</v>
          </cell>
          <cell r="Z1436">
            <v>0</v>
          </cell>
          <cell r="AA1436">
            <v>1534784</v>
          </cell>
          <cell r="AB1436">
            <v>4109045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</row>
        <row r="1437">
          <cell r="A1437">
            <v>109030113</v>
          </cell>
          <cell r="C1437">
            <v>0</v>
          </cell>
          <cell r="D1437">
            <v>75543046</v>
          </cell>
          <cell r="E1437">
            <v>6964414</v>
          </cell>
          <cell r="F1437">
            <v>15445636</v>
          </cell>
          <cell r="G1437">
            <v>23416183</v>
          </cell>
          <cell r="H1437">
            <v>14794581</v>
          </cell>
          <cell r="I1437">
            <v>19235262</v>
          </cell>
          <cell r="J1437">
            <v>0</v>
          </cell>
          <cell r="K1437">
            <v>0</v>
          </cell>
          <cell r="L1437">
            <v>13749585</v>
          </cell>
          <cell r="M1437">
            <v>0</v>
          </cell>
          <cell r="N1437">
            <v>130322041</v>
          </cell>
          <cell r="O1437">
            <v>72917358</v>
          </cell>
          <cell r="P1437">
            <v>429702</v>
          </cell>
          <cell r="Q1437">
            <v>63520280</v>
          </cell>
          <cell r="R1437">
            <v>76189994</v>
          </cell>
          <cell r="S1437">
            <v>5944229</v>
          </cell>
          <cell r="T1437">
            <v>0</v>
          </cell>
          <cell r="U1437">
            <v>0</v>
          </cell>
          <cell r="V1437">
            <v>0</v>
          </cell>
          <cell r="W1437">
            <v>26224387</v>
          </cell>
          <cell r="X1437">
            <v>0</v>
          </cell>
          <cell r="Y1437">
            <v>2546169</v>
          </cell>
          <cell r="Z1437">
            <v>0</v>
          </cell>
          <cell r="AA1437">
            <v>5345450</v>
          </cell>
          <cell r="AB1437">
            <v>47479589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7790055</v>
          </cell>
          <cell r="AI1437">
            <v>0</v>
          </cell>
        </row>
        <row r="1438">
          <cell r="A1438">
            <v>109030200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14673008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169559703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426435406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</row>
        <row r="1439">
          <cell r="A1439">
            <v>109030201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</row>
        <row r="1440">
          <cell r="A1440">
            <v>109030202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</row>
        <row r="1441">
          <cell r="A1441">
            <v>109030203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14673008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169559703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426435406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</row>
        <row r="1442">
          <cell r="A1442">
            <v>109030204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</row>
        <row r="1443">
          <cell r="A1443">
            <v>109030205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</row>
        <row r="1444">
          <cell r="A1444">
            <v>109030206</v>
          </cell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</row>
        <row r="1445">
          <cell r="A1445">
            <v>109030207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</row>
        <row r="1446">
          <cell r="A1446">
            <v>109030208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</row>
        <row r="1447">
          <cell r="A1447">
            <v>109030209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</row>
        <row r="1448">
          <cell r="A1448">
            <v>109040000</v>
          </cell>
          <cell r="C1448">
            <v>3601574412</v>
          </cell>
          <cell r="D1448">
            <v>236891328</v>
          </cell>
          <cell r="E1448">
            <v>1577678462</v>
          </cell>
          <cell r="F1448">
            <v>1824102284</v>
          </cell>
          <cell r="G1448">
            <v>1443274314</v>
          </cell>
          <cell r="H1448">
            <v>4397503524</v>
          </cell>
          <cell r="I1448">
            <v>1978070789</v>
          </cell>
          <cell r="J1448">
            <v>27847122</v>
          </cell>
          <cell r="K1448">
            <v>344616304</v>
          </cell>
          <cell r="L1448">
            <v>585319864</v>
          </cell>
          <cell r="M1448">
            <v>1368868164</v>
          </cell>
          <cell r="N1448">
            <v>7776902388</v>
          </cell>
          <cell r="O1448">
            <v>3125986193</v>
          </cell>
          <cell r="P1448">
            <v>235891628</v>
          </cell>
          <cell r="Q1448">
            <v>24977084</v>
          </cell>
          <cell r="R1448">
            <v>1922902912</v>
          </cell>
          <cell r="S1448">
            <v>68642517</v>
          </cell>
          <cell r="T1448">
            <v>1027948185</v>
          </cell>
          <cell r="U1448">
            <v>0</v>
          </cell>
          <cell r="V1448">
            <v>16469026180</v>
          </cell>
          <cell r="W1448">
            <v>80756235</v>
          </cell>
          <cell r="X1448">
            <v>86065656</v>
          </cell>
          <cell r="Y1448">
            <v>6952710</v>
          </cell>
          <cell r="Z1448">
            <v>228426842</v>
          </cell>
          <cell r="AA1448">
            <v>836321220</v>
          </cell>
          <cell r="AB1448">
            <v>721700502</v>
          </cell>
          <cell r="AC1448">
            <v>7840037</v>
          </cell>
          <cell r="AD1448">
            <v>443452456</v>
          </cell>
          <cell r="AE1448">
            <v>17102470898</v>
          </cell>
          <cell r="AF1448">
            <v>8906668</v>
          </cell>
          <cell r="AG1448">
            <v>0</v>
          </cell>
          <cell r="AH1448">
            <v>235496374</v>
          </cell>
          <cell r="AI1448">
            <v>2412106208</v>
          </cell>
        </row>
        <row r="1449">
          <cell r="A1449">
            <v>109040100</v>
          </cell>
          <cell r="C1449">
            <v>3601250736</v>
          </cell>
          <cell r="D1449">
            <v>186343026</v>
          </cell>
          <cell r="E1449">
            <v>1448433061</v>
          </cell>
          <cell r="F1449">
            <v>1809038170</v>
          </cell>
          <cell r="G1449">
            <v>1437062886</v>
          </cell>
          <cell r="H1449">
            <v>4341797784</v>
          </cell>
          <cell r="I1449">
            <v>1863845852</v>
          </cell>
          <cell r="J1449">
            <v>27847122</v>
          </cell>
          <cell r="K1449">
            <v>0</v>
          </cell>
          <cell r="L1449">
            <v>585319864</v>
          </cell>
          <cell r="M1449">
            <v>1368868164</v>
          </cell>
          <cell r="N1449">
            <v>7680413658</v>
          </cell>
          <cell r="O1449">
            <v>3125986193</v>
          </cell>
          <cell r="P1449">
            <v>235891628</v>
          </cell>
          <cell r="Q1449">
            <v>24977084</v>
          </cell>
          <cell r="R1449">
            <v>1922902912</v>
          </cell>
          <cell r="S1449">
            <v>68642517</v>
          </cell>
          <cell r="T1449">
            <v>109376352</v>
          </cell>
          <cell r="U1449">
            <v>0</v>
          </cell>
          <cell r="V1449">
            <v>16186755385</v>
          </cell>
          <cell r="W1449">
            <v>80756235</v>
          </cell>
          <cell r="X1449">
            <v>83631357</v>
          </cell>
          <cell r="Y1449">
            <v>6952710</v>
          </cell>
          <cell r="Z1449">
            <v>228426842</v>
          </cell>
          <cell r="AA1449">
            <v>834279191</v>
          </cell>
          <cell r="AB1449">
            <v>709085201</v>
          </cell>
          <cell r="AC1449">
            <v>7840037</v>
          </cell>
          <cell r="AD1449">
            <v>443452456</v>
          </cell>
          <cell r="AE1449">
            <v>15343077270</v>
          </cell>
          <cell r="AF1449">
            <v>8906668</v>
          </cell>
          <cell r="AG1449">
            <v>0</v>
          </cell>
          <cell r="AH1449">
            <v>34270414</v>
          </cell>
          <cell r="AI1449">
            <v>2408051660</v>
          </cell>
        </row>
        <row r="1450">
          <cell r="A1450">
            <v>109040101</v>
          </cell>
          <cell r="C1450">
            <v>489926557</v>
          </cell>
          <cell r="D1450">
            <v>83711066</v>
          </cell>
          <cell r="E1450">
            <v>1200220501</v>
          </cell>
          <cell r="F1450">
            <v>586420188</v>
          </cell>
          <cell r="G1450">
            <v>373526763</v>
          </cell>
          <cell r="H1450">
            <v>166897304</v>
          </cell>
          <cell r="I1450">
            <v>518966796</v>
          </cell>
          <cell r="J1450">
            <v>27847122</v>
          </cell>
          <cell r="K1450">
            <v>0</v>
          </cell>
          <cell r="L1450">
            <v>337497128</v>
          </cell>
          <cell r="M1450">
            <v>34560330</v>
          </cell>
          <cell r="N1450">
            <v>898060349</v>
          </cell>
          <cell r="O1450">
            <v>1287538725</v>
          </cell>
          <cell r="P1450">
            <v>44543756</v>
          </cell>
          <cell r="Q1450">
            <v>4423585</v>
          </cell>
          <cell r="R1450">
            <v>593579</v>
          </cell>
          <cell r="S1450">
            <v>36380540</v>
          </cell>
          <cell r="T1450">
            <v>0</v>
          </cell>
          <cell r="U1450">
            <v>0</v>
          </cell>
          <cell r="V1450">
            <v>2981164600</v>
          </cell>
          <cell r="W1450">
            <v>0</v>
          </cell>
          <cell r="X1450">
            <v>29391247</v>
          </cell>
          <cell r="Y1450">
            <v>6952710</v>
          </cell>
          <cell r="Z1450">
            <v>0</v>
          </cell>
          <cell r="AA1450">
            <v>273081548</v>
          </cell>
          <cell r="AB1450">
            <v>291767523</v>
          </cell>
          <cell r="AC1450">
            <v>7840037</v>
          </cell>
          <cell r="AD1450">
            <v>0</v>
          </cell>
          <cell r="AE1450">
            <v>9295926985</v>
          </cell>
          <cell r="AF1450">
            <v>8906668</v>
          </cell>
          <cell r="AG1450">
            <v>0</v>
          </cell>
          <cell r="AH1450">
            <v>13107444</v>
          </cell>
          <cell r="AI1450">
            <v>19346001</v>
          </cell>
        </row>
        <row r="1451">
          <cell r="A1451">
            <v>109040102</v>
          </cell>
          <cell r="C1451">
            <v>168062639</v>
          </cell>
          <cell r="D1451">
            <v>0</v>
          </cell>
          <cell r="E1451">
            <v>0</v>
          </cell>
          <cell r="F1451">
            <v>93806842</v>
          </cell>
          <cell r="G1451">
            <v>224599756</v>
          </cell>
          <cell r="H1451">
            <v>28723964</v>
          </cell>
          <cell r="I1451">
            <v>141706118</v>
          </cell>
          <cell r="J1451">
            <v>0</v>
          </cell>
          <cell r="K1451">
            <v>0</v>
          </cell>
          <cell r="L1451">
            <v>27750898</v>
          </cell>
          <cell r="M1451">
            <v>11740638</v>
          </cell>
          <cell r="N1451">
            <v>169956484</v>
          </cell>
          <cell r="O1451">
            <v>86564619</v>
          </cell>
          <cell r="P1451">
            <v>166297215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240497086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34725735</v>
          </cell>
          <cell r="AB1451">
            <v>0</v>
          </cell>
          <cell r="AC1451">
            <v>0</v>
          </cell>
          <cell r="AD1451">
            <v>0</v>
          </cell>
          <cell r="AE1451">
            <v>950490308</v>
          </cell>
          <cell r="AF1451">
            <v>0</v>
          </cell>
          <cell r="AG1451">
            <v>0</v>
          </cell>
          <cell r="AH1451">
            <v>0</v>
          </cell>
          <cell r="AI1451">
            <v>2105066</v>
          </cell>
        </row>
        <row r="1452">
          <cell r="A1452">
            <v>109040103</v>
          </cell>
          <cell r="C1452">
            <v>42879352</v>
          </cell>
          <cell r="D1452">
            <v>0</v>
          </cell>
          <cell r="E1452">
            <v>0</v>
          </cell>
          <cell r="F1452">
            <v>61746957</v>
          </cell>
          <cell r="G1452">
            <v>29392684</v>
          </cell>
          <cell r="H1452">
            <v>0</v>
          </cell>
          <cell r="I1452">
            <v>25786955</v>
          </cell>
          <cell r="J1452">
            <v>0</v>
          </cell>
          <cell r="K1452">
            <v>0</v>
          </cell>
          <cell r="L1452">
            <v>10872108</v>
          </cell>
          <cell r="M1452">
            <v>1568871</v>
          </cell>
          <cell r="N1452">
            <v>188711359</v>
          </cell>
          <cell r="O1452">
            <v>98486292</v>
          </cell>
          <cell r="P1452">
            <v>25050657</v>
          </cell>
          <cell r="Q1452">
            <v>0</v>
          </cell>
          <cell r="R1452">
            <v>3358233</v>
          </cell>
          <cell r="S1452">
            <v>0</v>
          </cell>
          <cell r="T1452">
            <v>0</v>
          </cell>
          <cell r="U1452">
            <v>0</v>
          </cell>
          <cell r="V1452">
            <v>612199422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16951758</v>
          </cell>
          <cell r="AB1452">
            <v>37556206</v>
          </cell>
          <cell r="AC1452">
            <v>0</v>
          </cell>
          <cell r="AD1452">
            <v>0</v>
          </cell>
          <cell r="AE1452">
            <v>138400</v>
          </cell>
          <cell r="AF1452">
            <v>0</v>
          </cell>
          <cell r="AG1452">
            <v>0</v>
          </cell>
          <cell r="AH1452">
            <v>0</v>
          </cell>
          <cell r="AI1452">
            <v>5225047</v>
          </cell>
        </row>
        <row r="1453">
          <cell r="A1453">
            <v>109040104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29412089</v>
          </cell>
          <cell r="T1453">
            <v>0</v>
          </cell>
          <cell r="U1453">
            <v>0</v>
          </cell>
          <cell r="V1453">
            <v>6370569712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-174018</v>
          </cell>
        </row>
        <row r="1454">
          <cell r="A1454">
            <v>109040105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211811119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</row>
        <row r="1455">
          <cell r="A1455">
            <v>109040106</v>
          </cell>
          <cell r="C1455">
            <v>37969771</v>
          </cell>
          <cell r="D1455">
            <v>0</v>
          </cell>
          <cell r="E1455">
            <v>0</v>
          </cell>
          <cell r="F1455">
            <v>116633077</v>
          </cell>
          <cell r="G1455">
            <v>169282234</v>
          </cell>
          <cell r="H1455">
            <v>7796321</v>
          </cell>
          <cell r="I1455">
            <v>270124252</v>
          </cell>
          <cell r="J1455">
            <v>0</v>
          </cell>
          <cell r="K1455">
            <v>0</v>
          </cell>
          <cell r="L1455">
            <v>58173922</v>
          </cell>
          <cell r="M1455">
            <v>82515453</v>
          </cell>
          <cell r="N1455">
            <v>466371198</v>
          </cell>
          <cell r="O1455">
            <v>367980128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379909359</v>
          </cell>
          <cell r="W1455">
            <v>80756235</v>
          </cell>
          <cell r="X1455">
            <v>0</v>
          </cell>
          <cell r="Y1455">
            <v>0</v>
          </cell>
          <cell r="Z1455">
            <v>224219174</v>
          </cell>
          <cell r="AA1455">
            <v>78477020</v>
          </cell>
          <cell r="AB1455">
            <v>0</v>
          </cell>
          <cell r="AC1455">
            <v>0</v>
          </cell>
          <cell r="AD1455">
            <v>53599790</v>
          </cell>
          <cell r="AE1455">
            <v>508980225</v>
          </cell>
          <cell r="AF1455">
            <v>0</v>
          </cell>
          <cell r="AG1455">
            <v>0</v>
          </cell>
          <cell r="AH1455">
            <v>3921549</v>
          </cell>
          <cell r="AI1455">
            <v>241473</v>
          </cell>
        </row>
        <row r="1456">
          <cell r="A1456">
            <v>109040107</v>
          </cell>
          <cell r="C1456">
            <v>3622355</v>
          </cell>
          <cell r="D1456">
            <v>0</v>
          </cell>
          <cell r="E1456">
            <v>0</v>
          </cell>
          <cell r="F1456">
            <v>8624204</v>
          </cell>
          <cell r="G1456">
            <v>6070839</v>
          </cell>
          <cell r="H1456">
            <v>0</v>
          </cell>
          <cell r="I1456">
            <v>50508955</v>
          </cell>
          <cell r="J1456">
            <v>0</v>
          </cell>
          <cell r="K1456">
            <v>0</v>
          </cell>
          <cell r="L1456">
            <v>1159682</v>
          </cell>
          <cell r="M1456">
            <v>267123</v>
          </cell>
          <cell r="N1456">
            <v>28210591</v>
          </cell>
          <cell r="O1456">
            <v>11191499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6585029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4384578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</row>
        <row r="1457">
          <cell r="A1457">
            <v>109040108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1209505304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109376352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481524835</v>
          </cell>
          <cell r="AF1457">
            <v>0</v>
          </cell>
          <cell r="AG1457">
            <v>0</v>
          </cell>
          <cell r="AH1457">
            <v>0</v>
          </cell>
          <cell r="AI1457">
            <v>2219077564</v>
          </cell>
        </row>
        <row r="1458">
          <cell r="A1458">
            <v>109040109</v>
          </cell>
          <cell r="C1458">
            <v>47887663</v>
          </cell>
          <cell r="D1458">
            <v>0</v>
          </cell>
          <cell r="E1458">
            <v>0</v>
          </cell>
          <cell r="F1458">
            <v>32451127</v>
          </cell>
          <cell r="G1458">
            <v>291638815</v>
          </cell>
          <cell r="H1458">
            <v>1208745295</v>
          </cell>
          <cell r="I1458">
            <v>641623994</v>
          </cell>
          <cell r="J1458">
            <v>0</v>
          </cell>
          <cell r="K1458">
            <v>0</v>
          </cell>
          <cell r="L1458">
            <v>14019315</v>
          </cell>
          <cell r="M1458">
            <v>0</v>
          </cell>
          <cell r="N1458">
            <v>4279628634</v>
          </cell>
          <cell r="O1458">
            <v>302262799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4478718795</v>
          </cell>
          <cell r="W1458">
            <v>0</v>
          </cell>
          <cell r="X1458">
            <v>54240110</v>
          </cell>
          <cell r="Y1458">
            <v>0</v>
          </cell>
          <cell r="Z1458">
            <v>0</v>
          </cell>
          <cell r="AA1458">
            <v>391018680</v>
          </cell>
          <cell r="AB1458">
            <v>117926737</v>
          </cell>
          <cell r="AC1458">
            <v>0</v>
          </cell>
          <cell r="AD1458">
            <v>389852666</v>
          </cell>
          <cell r="AE1458">
            <v>2332011632</v>
          </cell>
          <cell r="AF1458">
            <v>0</v>
          </cell>
          <cell r="AG1458">
            <v>0</v>
          </cell>
          <cell r="AH1458">
            <v>8950521</v>
          </cell>
          <cell r="AI1458">
            <v>83095613</v>
          </cell>
        </row>
        <row r="1459">
          <cell r="A1459">
            <v>109040110</v>
          </cell>
          <cell r="C1459">
            <v>952435714</v>
          </cell>
          <cell r="D1459">
            <v>1333182</v>
          </cell>
          <cell r="E1459">
            <v>214333088</v>
          </cell>
          <cell r="F1459">
            <v>11346058</v>
          </cell>
          <cell r="G1459">
            <v>47261320</v>
          </cell>
          <cell r="H1459">
            <v>0</v>
          </cell>
          <cell r="I1459">
            <v>122857274</v>
          </cell>
          <cell r="J1459">
            <v>0</v>
          </cell>
          <cell r="K1459">
            <v>0</v>
          </cell>
          <cell r="L1459">
            <v>7593634</v>
          </cell>
          <cell r="M1459">
            <v>5676306</v>
          </cell>
          <cell r="N1459">
            <v>327005323</v>
          </cell>
          <cell r="O1459">
            <v>114419719</v>
          </cell>
          <cell r="P1459">
            <v>0</v>
          </cell>
          <cell r="Q1459">
            <v>0</v>
          </cell>
          <cell r="R1459">
            <v>0</v>
          </cell>
          <cell r="S1459">
            <v>744298</v>
          </cell>
          <cell r="T1459">
            <v>0</v>
          </cell>
          <cell r="U1459">
            <v>0</v>
          </cell>
          <cell r="V1459">
            <v>617309897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25907104</v>
          </cell>
          <cell r="AB1459">
            <v>34846843</v>
          </cell>
          <cell r="AC1459">
            <v>0</v>
          </cell>
          <cell r="AD1459">
            <v>0</v>
          </cell>
          <cell r="AE1459">
            <v>1437114907</v>
          </cell>
          <cell r="AF1459">
            <v>0</v>
          </cell>
          <cell r="AG1459">
            <v>0</v>
          </cell>
          <cell r="AH1459">
            <v>0</v>
          </cell>
          <cell r="AI1459">
            <v>5978</v>
          </cell>
        </row>
        <row r="1460">
          <cell r="A1460">
            <v>109040111</v>
          </cell>
          <cell r="C1460">
            <v>18788005</v>
          </cell>
          <cell r="D1460">
            <v>101298778</v>
          </cell>
          <cell r="E1460">
            <v>0</v>
          </cell>
          <cell r="F1460">
            <v>0</v>
          </cell>
          <cell r="G1460">
            <v>32219187</v>
          </cell>
          <cell r="H1460">
            <v>0</v>
          </cell>
          <cell r="I1460">
            <v>1220932</v>
          </cell>
          <cell r="J1460">
            <v>0</v>
          </cell>
          <cell r="K1460">
            <v>0</v>
          </cell>
          <cell r="L1460">
            <v>13804919</v>
          </cell>
          <cell r="M1460">
            <v>0</v>
          </cell>
          <cell r="N1460">
            <v>53159385</v>
          </cell>
          <cell r="O1460">
            <v>2173128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9993808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35542286</v>
          </cell>
          <cell r="AC1460">
            <v>0</v>
          </cell>
          <cell r="AD1460">
            <v>0</v>
          </cell>
          <cell r="AE1460">
            <v>41867665</v>
          </cell>
          <cell r="AF1460">
            <v>0</v>
          </cell>
          <cell r="AG1460">
            <v>0</v>
          </cell>
          <cell r="AH1460">
            <v>0</v>
          </cell>
          <cell r="AI1460">
            <v>3452815</v>
          </cell>
        </row>
        <row r="1461">
          <cell r="A1461">
            <v>109040112</v>
          </cell>
          <cell r="C1461">
            <v>378596518</v>
          </cell>
          <cell r="D1461">
            <v>0</v>
          </cell>
          <cell r="E1461">
            <v>33879472</v>
          </cell>
          <cell r="F1461">
            <v>570068478</v>
          </cell>
          <cell r="G1461">
            <v>93577544</v>
          </cell>
          <cell r="H1461">
            <v>211503633</v>
          </cell>
          <cell r="I1461">
            <v>59138587</v>
          </cell>
          <cell r="J1461">
            <v>0</v>
          </cell>
          <cell r="K1461">
            <v>0</v>
          </cell>
          <cell r="L1461">
            <v>3136803</v>
          </cell>
          <cell r="M1461">
            <v>1914877</v>
          </cell>
          <cell r="N1461">
            <v>270820069</v>
          </cell>
          <cell r="O1461">
            <v>798459836</v>
          </cell>
          <cell r="P1461">
            <v>0</v>
          </cell>
          <cell r="Q1461">
            <v>20553499</v>
          </cell>
          <cell r="R1461">
            <v>1145499737</v>
          </cell>
          <cell r="S1461">
            <v>2105590</v>
          </cell>
          <cell r="T1461">
            <v>0</v>
          </cell>
          <cell r="U1461">
            <v>0</v>
          </cell>
          <cell r="V1461">
            <v>376844161</v>
          </cell>
          <cell r="W1461">
            <v>0</v>
          </cell>
          <cell r="X1461">
            <v>0</v>
          </cell>
          <cell r="Y1461">
            <v>0</v>
          </cell>
          <cell r="Z1461">
            <v>4207668</v>
          </cell>
          <cell r="AA1461">
            <v>1754230</v>
          </cell>
          <cell r="AB1461">
            <v>191445606</v>
          </cell>
          <cell r="AC1461">
            <v>0</v>
          </cell>
          <cell r="AD1461">
            <v>0</v>
          </cell>
          <cell r="AE1461">
            <v>44214225</v>
          </cell>
          <cell r="AF1461">
            <v>0</v>
          </cell>
          <cell r="AG1461">
            <v>0</v>
          </cell>
          <cell r="AH1461">
            <v>8290900</v>
          </cell>
          <cell r="AI1461">
            <v>0</v>
          </cell>
        </row>
        <row r="1462">
          <cell r="A1462">
            <v>109040113</v>
          </cell>
          <cell r="C1462">
            <v>1461082162</v>
          </cell>
          <cell r="D1462">
            <v>0</v>
          </cell>
          <cell r="E1462">
            <v>0</v>
          </cell>
          <cell r="F1462">
            <v>327941239</v>
          </cell>
          <cell r="G1462">
            <v>169493744</v>
          </cell>
          <cell r="H1462">
            <v>2718131267</v>
          </cell>
          <cell r="I1462">
            <v>31911989</v>
          </cell>
          <cell r="J1462">
            <v>0</v>
          </cell>
          <cell r="K1462">
            <v>0</v>
          </cell>
          <cell r="L1462">
            <v>111311455</v>
          </cell>
          <cell r="M1462">
            <v>21119262</v>
          </cell>
          <cell r="N1462">
            <v>998490266</v>
          </cell>
          <cell r="O1462">
            <v>56909448</v>
          </cell>
          <cell r="P1462">
            <v>0</v>
          </cell>
          <cell r="Q1462">
            <v>0</v>
          </cell>
          <cell r="R1462">
            <v>773451363</v>
          </cell>
          <cell r="S1462">
            <v>0</v>
          </cell>
          <cell r="T1462">
            <v>0</v>
          </cell>
          <cell r="U1462">
            <v>0</v>
          </cell>
          <cell r="V1462">
            <v>112963516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7978538</v>
          </cell>
          <cell r="AB1462">
            <v>0</v>
          </cell>
          <cell r="AC1462">
            <v>0</v>
          </cell>
          <cell r="AD1462">
            <v>0</v>
          </cell>
          <cell r="AE1462">
            <v>38996969</v>
          </cell>
          <cell r="AF1462">
            <v>0</v>
          </cell>
          <cell r="AG1462">
            <v>0</v>
          </cell>
          <cell r="AH1462">
            <v>0</v>
          </cell>
          <cell r="AI1462">
            <v>75676121</v>
          </cell>
        </row>
        <row r="1463">
          <cell r="A1463">
            <v>109040200</v>
          </cell>
          <cell r="C1463">
            <v>323676</v>
          </cell>
          <cell r="D1463">
            <v>50548302</v>
          </cell>
          <cell r="E1463">
            <v>129245401</v>
          </cell>
          <cell r="F1463">
            <v>15064114</v>
          </cell>
          <cell r="G1463">
            <v>6211428</v>
          </cell>
          <cell r="H1463">
            <v>55705740</v>
          </cell>
          <cell r="I1463">
            <v>114224937</v>
          </cell>
          <cell r="J1463">
            <v>0</v>
          </cell>
          <cell r="K1463">
            <v>344616304</v>
          </cell>
          <cell r="L1463">
            <v>0</v>
          </cell>
          <cell r="M1463">
            <v>0</v>
          </cell>
          <cell r="N1463">
            <v>96488730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918571833</v>
          </cell>
          <cell r="U1463">
            <v>0</v>
          </cell>
          <cell r="V1463">
            <v>282270795</v>
          </cell>
          <cell r="W1463">
            <v>0</v>
          </cell>
          <cell r="X1463">
            <v>2434299</v>
          </cell>
          <cell r="Y1463">
            <v>0</v>
          </cell>
          <cell r="Z1463">
            <v>0</v>
          </cell>
          <cell r="AA1463">
            <v>2042029</v>
          </cell>
          <cell r="AB1463">
            <v>12615301</v>
          </cell>
          <cell r="AC1463">
            <v>0</v>
          </cell>
          <cell r="AD1463">
            <v>0</v>
          </cell>
          <cell r="AE1463">
            <v>1759393628</v>
          </cell>
          <cell r="AF1463">
            <v>0</v>
          </cell>
          <cell r="AG1463">
            <v>0</v>
          </cell>
          <cell r="AH1463">
            <v>201225960</v>
          </cell>
          <cell r="AI1463">
            <v>4054548</v>
          </cell>
        </row>
        <row r="1464">
          <cell r="A1464">
            <v>109040201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</row>
        <row r="1465">
          <cell r="A1465">
            <v>109040202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</row>
        <row r="1466">
          <cell r="A1466">
            <v>109040203</v>
          </cell>
          <cell r="C1466">
            <v>323676</v>
          </cell>
          <cell r="D1466">
            <v>50548302</v>
          </cell>
          <cell r="E1466">
            <v>129245401</v>
          </cell>
          <cell r="F1466">
            <v>15064114</v>
          </cell>
          <cell r="G1466">
            <v>6211428</v>
          </cell>
          <cell r="H1466">
            <v>55705740</v>
          </cell>
          <cell r="I1466">
            <v>114224937</v>
          </cell>
          <cell r="J1466">
            <v>0</v>
          </cell>
          <cell r="K1466">
            <v>178098167</v>
          </cell>
          <cell r="L1466">
            <v>0</v>
          </cell>
          <cell r="M1466">
            <v>0</v>
          </cell>
          <cell r="N1466">
            <v>96488730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711860444</v>
          </cell>
          <cell r="U1466">
            <v>0</v>
          </cell>
          <cell r="V1466">
            <v>282270795</v>
          </cell>
          <cell r="W1466">
            <v>0</v>
          </cell>
          <cell r="X1466">
            <v>2434299</v>
          </cell>
          <cell r="Y1466">
            <v>0</v>
          </cell>
          <cell r="Z1466">
            <v>0</v>
          </cell>
          <cell r="AA1466">
            <v>2042029</v>
          </cell>
          <cell r="AB1466">
            <v>12615301</v>
          </cell>
          <cell r="AC1466">
            <v>0</v>
          </cell>
          <cell r="AD1466">
            <v>0</v>
          </cell>
          <cell r="AE1466">
            <v>1759393628</v>
          </cell>
          <cell r="AF1466">
            <v>0</v>
          </cell>
          <cell r="AG1466">
            <v>0</v>
          </cell>
          <cell r="AH1466">
            <v>201225960</v>
          </cell>
          <cell r="AI1466">
            <v>4054548</v>
          </cell>
        </row>
        <row r="1467">
          <cell r="A1467">
            <v>109040204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</row>
        <row r="1468">
          <cell r="A1468">
            <v>109040205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</row>
        <row r="1469">
          <cell r="A1469">
            <v>109040206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166518137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2370545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</row>
        <row r="1470">
          <cell r="A1470">
            <v>109040207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158660118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</row>
        <row r="1471">
          <cell r="A1471">
            <v>109040208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45680726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</row>
        <row r="1472">
          <cell r="A1472">
            <v>109040209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</row>
        <row r="1473">
          <cell r="A1473">
            <v>109050000</v>
          </cell>
          <cell r="C1473">
            <v>0</v>
          </cell>
          <cell r="D1473">
            <v>0</v>
          </cell>
          <cell r="E1473">
            <v>0</v>
          </cell>
          <cell r="F1473">
            <v>16333338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</row>
        <row r="1474">
          <cell r="A1474">
            <v>109050100</v>
          </cell>
          <cell r="C1474">
            <v>0</v>
          </cell>
          <cell r="D1474">
            <v>0</v>
          </cell>
          <cell r="E1474">
            <v>0</v>
          </cell>
          <cell r="F1474">
            <v>16333338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</row>
        <row r="1475">
          <cell r="A1475">
            <v>109050101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</row>
        <row r="1476">
          <cell r="A1476">
            <v>109050102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</row>
        <row r="1477">
          <cell r="A1477">
            <v>109050103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</row>
        <row r="1478">
          <cell r="A1478">
            <v>109050104</v>
          </cell>
          <cell r="C1478">
            <v>0</v>
          </cell>
          <cell r="D1478">
            <v>0</v>
          </cell>
          <cell r="E1478">
            <v>0</v>
          </cell>
          <cell r="F1478">
            <v>16333338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</row>
        <row r="1479">
          <cell r="A1479">
            <v>109050105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</row>
        <row r="1480">
          <cell r="A1480">
            <v>109050106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</row>
        <row r="1481">
          <cell r="A1481">
            <v>109050107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</row>
        <row r="1482">
          <cell r="A1482">
            <v>109050108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</row>
        <row r="1483">
          <cell r="A1483">
            <v>109050109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</row>
        <row r="1484">
          <cell r="A1484">
            <v>109050110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</row>
        <row r="1485">
          <cell r="A1485">
            <v>109050111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</row>
        <row r="1486">
          <cell r="A1486">
            <v>109050112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</row>
        <row r="1487">
          <cell r="A1487">
            <v>109050113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</row>
        <row r="1488">
          <cell r="A1488">
            <v>109050200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</row>
        <row r="1489">
          <cell r="A1489">
            <v>109050201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</row>
        <row r="1490">
          <cell r="A1490">
            <v>109050202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</row>
        <row r="1491">
          <cell r="A1491">
            <v>109050203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</row>
        <row r="1492">
          <cell r="A1492">
            <v>109050204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</row>
        <row r="1493">
          <cell r="A1493">
            <v>109050205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</row>
        <row r="1494">
          <cell r="A1494">
            <v>109050206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</row>
        <row r="1495">
          <cell r="A1495">
            <v>109050207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</row>
        <row r="1496">
          <cell r="A1496">
            <v>109050208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</row>
        <row r="1497">
          <cell r="A1497">
            <v>109050209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</row>
        <row r="1498">
          <cell r="A1498">
            <v>109060000</v>
          </cell>
          <cell r="C1498">
            <v>439200003</v>
          </cell>
          <cell r="D1498">
            <v>0</v>
          </cell>
          <cell r="E1498">
            <v>43680817</v>
          </cell>
          <cell r="F1498">
            <v>127346980</v>
          </cell>
          <cell r="G1498">
            <v>107850000</v>
          </cell>
          <cell r="H1498">
            <v>0</v>
          </cell>
          <cell r="I1498">
            <v>0</v>
          </cell>
          <cell r="J1498">
            <v>0</v>
          </cell>
          <cell r="K1498">
            <v>27499600</v>
          </cell>
          <cell r="L1498">
            <v>0</v>
          </cell>
          <cell r="M1498">
            <v>71550000</v>
          </cell>
          <cell r="N1498">
            <v>0</v>
          </cell>
          <cell r="O1498">
            <v>337327632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274497403</v>
          </cell>
          <cell r="U1498">
            <v>0</v>
          </cell>
          <cell r="V1498">
            <v>0</v>
          </cell>
          <cell r="W1498">
            <v>0</v>
          </cell>
          <cell r="X1498">
            <v>101250000</v>
          </cell>
          <cell r="Y1498">
            <v>166000000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2534425010</v>
          </cell>
          <cell r="AF1498">
            <v>870382975</v>
          </cell>
          <cell r="AG1498">
            <v>75467448</v>
          </cell>
          <cell r="AH1498">
            <v>902153334</v>
          </cell>
          <cell r="AI1498">
            <v>195826683</v>
          </cell>
        </row>
        <row r="1499">
          <cell r="A1499">
            <v>109060100</v>
          </cell>
          <cell r="C1499">
            <v>439200003</v>
          </cell>
          <cell r="D1499">
            <v>0</v>
          </cell>
          <cell r="E1499">
            <v>43680817</v>
          </cell>
          <cell r="F1499">
            <v>114612282</v>
          </cell>
          <cell r="G1499">
            <v>107850000</v>
          </cell>
          <cell r="H1499">
            <v>0</v>
          </cell>
          <cell r="I1499">
            <v>0</v>
          </cell>
          <cell r="J1499">
            <v>0</v>
          </cell>
          <cell r="K1499">
            <v>27499600</v>
          </cell>
          <cell r="L1499">
            <v>0</v>
          </cell>
          <cell r="M1499">
            <v>71550000</v>
          </cell>
          <cell r="N1499">
            <v>0</v>
          </cell>
          <cell r="O1499">
            <v>337327632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274497403</v>
          </cell>
          <cell r="U1499">
            <v>0</v>
          </cell>
          <cell r="V1499">
            <v>0</v>
          </cell>
          <cell r="W1499">
            <v>0</v>
          </cell>
          <cell r="X1499">
            <v>101250000</v>
          </cell>
          <cell r="Y1499">
            <v>166000000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2484475010</v>
          </cell>
          <cell r="AF1499">
            <v>818294864</v>
          </cell>
          <cell r="AG1499">
            <v>75467448</v>
          </cell>
          <cell r="AH1499">
            <v>689400000</v>
          </cell>
          <cell r="AI1499">
            <v>195826683</v>
          </cell>
        </row>
        <row r="1500">
          <cell r="A1500">
            <v>109060101</v>
          </cell>
          <cell r="C1500">
            <v>324999998</v>
          </cell>
          <cell r="D1500">
            <v>0</v>
          </cell>
          <cell r="E1500">
            <v>26435630</v>
          </cell>
          <cell r="F1500">
            <v>12734698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6430542</v>
          </cell>
          <cell r="L1500">
            <v>0</v>
          </cell>
          <cell r="M1500">
            <v>0</v>
          </cell>
          <cell r="N1500">
            <v>0</v>
          </cell>
          <cell r="O1500">
            <v>130836378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208617827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39556884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191974998</v>
          </cell>
          <cell r="AF1500">
            <v>330728816</v>
          </cell>
          <cell r="AG1500">
            <v>0</v>
          </cell>
          <cell r="AH1500">
            <v>498000000</v>
          </cell>
          <cell r="AI1500">
            <v>0</v>
          </cell>
        </row>
        <row r="1501">
          <cell r="A1501">
            <v>109060102</v>
          </cell>
          <cell r="C1501">
            <v>0</v>
          </cell>
          <cell r="D1501">
            <v>0</v>
          </cell>
          <cell r="E1501">
            <v>3350319</v>
          </cell>
          <cell r="F1501">
            <v>12734698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109981</v>
          </cell>
          <cell r="L1501">
            <v>0</v>
          </cell>
          <cell r="M1501">
            <v>0</v>
          </cell>
          <cell r="N1501">
            <v>0</v>
          </cell>
          <cell r="O1501">
            <v>7669433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24804504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546283524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</row>
        <row r="1502">
          <cell r="A1502">
            <v>109060103</v>
          </cell>
          <cell r="C1502">
            <v>0</v>
          </cell>
          <cell r="D1502">
            <v>0</v>
          </cell>
          <cell r="E1502">
            <v>1520092</v>
          </cell>
          <cell r="F1502">
            <v>12734698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96927</v>
          </cell>
          <cell r="L1502">
            <v>0</v>
          </cell>
          <cell r="M1502">
            <v>0</v>
          </cell>
          <cell r="N1502">
            <v>0</v>
          </cell>
          <cell r="O1502">
            <v>1655746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57829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2894244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136570884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</row>
        <row r="1503">
          <cell r="A1503">
            <v>109060104</v>
          </cell>
          <cell r="C1503">
            <v>114200005</v>
          </cell>
          <cell r="D1503">
            <v>0</v>
          </cell>
          <cell r="E1503">
            <v>0</v>
          </cell>
          <cell r="F1503">
            <v>0</v>
          </cell>
          <cell r="G1503">
            <v>65250000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71550000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101250000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216499998</v>
          </cell>
          <cell r="AF1503">
            <v>227221419</v>
          </cell>
          <cell r="AG1503">
            <v>75467448</v>
          </cell>
          <cell r="AH1503">
            <v>191400000</v>
          </cell>
          <cell r="AI1503">
            <v>0</v>
          </cell>
        </row>
        <row r="1504">
          <cell r="A1504">
            <v>109060105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42600000</v>
          </cell>
          <cell r="H1504">
            <v>0</v>
          </cell>
          <cell r="I1504">
            <v>0</v>
          </cell>
          <cell r="J1504">
            <v>0</v>
          </cell>
          <cell r="K1504">
            <v>6375216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19914416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</row>
        <row r="1505">
          <cell r="A1505">
            <v>109060106</v>
          </cell>
          <cell r="C1505">
            <v>0</v>
          </cell>
          <cell r="D1505">
            <v>0</v>
          </cell>
          <cell r="E1505">
            <v>4979613</v>
          </cell>
          <cell r="F1505">
            <v>12734698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1202338</v>
          </cell>
          <cell r="L1505">
            <v>0</v>
          </cell>
          <cell r="M1505">
            <v>0</v>
          </cell>
          <cell r="N1505">
            <v>0</v>
          </cell>
          <cell r="O1505">
            <v>8762237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8542160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716997140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</row>
        <row r="1506">
          <cell r="A1506">
            <v>109060107</v>
          </cell>
          <cell r="C1506">
            <v>0</v>
          </cell>
          <cell r="D1506">
            <v>0</v>
          </cell>
          <cell r="E1506">
            <v>0</v>
          </cell>
          <cell r="F1506">
            <v>12734698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24595</v>
          </cell>
          <cell r="L1506">
            <v>0</v>
          </cell>
          <cell r="M1506">
            <v>0</v>
          </cell>
          <cell r="N1506">
            <v>0</v>
          </cell>
          <cell r="O1506">
            <v>322279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</row>
        <row r="1507">
          <cell r="A1507">
            <v>109060108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</row>
        <row r="1508">
          <cell r="A1508">
            <v>109060109</v>
          </cell>
          <cell r="C1508">
            <v>0</v>
          </cell>
          <cell r="D1508">
            <v>0</v>
          </cell>
          <cell r="E1508">
            <v>567851</v>
          </cell>
          <cell r="F1508">
            <v>12734698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463486</v>
          </cell>
          <cell r="L1508">
            <v>0</v>
          </cell>
          <cell r="M1508">
            <v>0</v>
          </cell>
          <cell r="N1508">
            <v>0</v>
          </cell>
          <cell r="O1508">
            <v>7221090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349940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68285442</v>
          </cell>
          <cell r="AF1508">
            <v>260344629</v>
          </cell>
          <cell r="AG1508">
            <v>0</v>
          </cell>
          <cell r="AH1508">
            <v>0</v>
          </cell>
          <cell r="AI1508">
            <v>59820242</v>
          </cell>
        </row>
        <row r="1509">
          <cell r="A1509">
            <v>109060110</v>
          </cell>
          <cell r="C1509">
            <v>0</v>
          </cell>
          <cell r="D1509">
            <v>0</v>
          </cell>
          <cell r="E1509">
            <v>2179673</v>
          </cell>
          <cell r="F1509">
            <v>12734698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12226075</v>
          </cell>
          <cell r="L1509">
            <v>0</v>
          </cell>
          <cell r="M1509">
            <v>0</v>
          </cell>
          <cell r="N1509">
            <v>0</v>
          </cell>
          <cell r="O1509">
            <v>2805517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37690438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9145445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273141762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</row>
        <row r="1510">
          <cell r="A1510">
            <v>109060111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1715753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</row>
        <row r="1511">
          <cell r="A1511">
            <v>109060112</v>
          </cell>
          <cell r="C1511">
            <v>0</v>
          </cell>
          <cell r="D1511">
            <v>0</v>
          </cell>
          <cell r="E1511">
            <v>1782177</v>
          </cell>
          <cell r="F1511">
            <v>12734698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313069</v>
          </cell>
          <cell r="L1511">
            <v>0</v>
          </cell>
          <cell r="M1511">
            <v>0</v>
          </cell>
          <cell r="N1511">
            <v>0</v>
          </cell>
          <cell r="O1511">
            <v>3499738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26415556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1047920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293749998</v>
          </cell>
          <cell r="AF1511">
            <v>0</v>
          </cell>
          <cell r="AG1511">
            <v>0</v>
          </cell>
          <cell r="AH1511">
            <v>0</v>
          </cell>
          <cell r="AI1511">
            <v>136006441</v>
          </cell>
        </row>
        <row r="1512">
          <cell r="A1512">
            <v>109060113</v>
          </cell>
          <cell r="C1512">
            <v>0</v>
          </cell>
          <cell r="D1512">
            <v>0</v>
          </cell>
          <cell r="E1512">
            <v>2865462</v>
          </cell>
          <cell r="F1512">
            <v>12734698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257371</v>
          </cell>
          <cell r="L1512">
            <v>0</v>
          </cell>
          <cell r="M1512">
            <v>0</v>
          </cell>
          <cell r="N1512">
            <v>0</v>
          </cell>
          <cell r="O1512">
            <v>174555214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59744487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40971264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</row>
        <row r="1513">
          <cell r="A1513">
            <v>109060200</v>
          </cell>
          <cell r="C1513">
            <v>0</v>
          </cell>
          <cell r="D1513">
            <v>0</v>
          </cell>
          <cell r="E1513">
            <v>0</v>
          </cell>
          <cell r="F1513">
            <v>12734698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49950000</v>
          </cell>
          <cell r="AF1513">
            <v>52088111</v>
          </cell>
          <cell r="AG1513">
            <v>0</v>
          </cell>
          <cell r="AH1513">
            <v>212753334</v>
          </cell>
          <cell r="AI1513">
            <v>0</v>
          </cell>
        </row>
        <row r="1514">
          <cell r="A1514">
            <v>109060201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212753334</v>
          </cell>
          <cell r="AI1514">
            <v>0</v>
          </cell>
        </row>
        <row r="1515">
          <cell r="A1515">
            <v>109060202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</row>
        <row r="1516">
          <cell r="A1516">
            <v>109060203</v>
          </cell>
          <cell r="C1516">
            <v>0</v>
          </cell>
          <cell r="D1516">
            <v>0</v>
          </cell>
          <cell r="E1516">
            <v>0</v>
          </cell>
          <cell r="F1516">
            <v>12734698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49950000</v>
          </cell>
          <cell r="AF1516">
            <v>52088111</v>
          </cell>
          <cell r="AG1516">
            <v>0</v>
          </cell>
          <cell r="AH1516">
            <v>0</v>
          </cell>
          <cell r="AI1516">
            <v>0</v>
          </cell>
        </row>
        <row r="1517">
          <cell r="A1517">
            <v>109060204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</row>
        <row r="1518">
          <cell r="A1518">
            <v>109060205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</row>
        <row r="1519">
          <cell r="A1519">
            <v>109060206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</row>
        <row r="1520">
          <cell r="A1520">
            <v>109060207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</row>
        <row r="1521">
          <cell r="A1521">
            <v>109060208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</row>
        <row r="1522">
          <cell r="A1522">
            <v>109060209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</row>
        <row r="1523">
          <cell r="A1523">
            <v>109070000</v>
          </cell>
          <cell r="C1523">
            <v>0</v>
          </cell>
          <cell r="D1523">
            <v>64501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</row>
        <row r="1524">
          <cell r="A1524">
            <v>109070100</v>
          </cell>
          <cell r="C1524">
            <v>0</v>
          </cell>
          <cell r="D1524">
            <v>64501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</row>
        <row r="1525">
          <cell r="A1525">
            <v>109070101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</row>
        <row r="1526">
          <cell r="A1526">
            <v>109070102</v>
          </cell>
          <cell r="C1526">
            <v>0</v>
          </cell>
          <cell r="D1526">
            <v>64501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</row>
        <row r="1527">
          <cell r="A1527">
            <v>109070103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</row>
        <row r="1528">
          <cell r="A1528">
            <v>109070104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</row>
        <row r="1529">
          <cell r="A1529">
            <v>109070105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</row>
        <row r="1530">
          <cell r="A1530">
            <v>109070106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</row>
        <row r="1531">
          <cell r="A1531">
            <v>109070107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</row>
        <row r="1532">
          <cell r="A1532">
            <v>109070108</v>
          </cell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</row>
        <row r="1533">
          <cell r="A1533">
            <v>109070109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</row>
        <row r="1534">
          <cell r="A1534">
            <v>109070110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</row>
        <row r="1535">
          <cell r="A1535">
            <v>109070111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</row>
        <row r="1536">
          <cell r="A1536">
            <v>109070112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</row>
        <row r="1537">
          <cell r="A1537">
            <v>109070113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</row>
        <row r="1538">
          <cell r="A1538">
            <v>109070200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</row>
        <row r="1539">
          <cell r="A1539">
            <v>109070201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</row>
        <row r="1540">
          <cell r="A1540">
            <v>109070202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</row>
        <row r="1541">
          <cell r="A1541">
            <v>109070203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</row>
        <row r="1542">
          <cell r="A1542">
            <v>109070204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</row>
        <row r="1543">
          <cell r="A1543">
            <v>109070205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</row>
        <row r="1544">
          <cell r="A1544">
            <v>109070206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</row>
        <row r="1545">
          <cell r="A1545">
            <v>109070207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</row>
        <row r="1546">
          <cell r="A1546">
            <v>109070208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</row>
        <row r="1547">
          <cell r="A1547">
            <v>109070209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</row>
        <row r="1548">
          <cell r="A1548">
            <v>109080000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</row>
        <row r="1549">
          <cell r="A1549">
            <v>109080100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</row>
        <row r="1550">
          <cell r="A1550">
            <v>109080101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</row>
        <row r="1551">
          <cell r="A1551">
            <v>109080102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</row>
        <row r="1552">
          <cell r="A1552">
            <v>109080103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</row>
        <row r="1553">
          <cell r="A1553">
            <v>109080104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</row>
        <row r="1554">
          <cell r="A1554">
            <v>109080105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</row>
        <row r="1555">
          <cell r="A1555">
            <v>109080106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</row>
        <row r="1556">
          <cell r="A1556">
            <v>109080107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</row>
        <row r="1557">
          <cell r="A1557">
            <v>109080108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</row>
        <row r="1558">
          <cell r="A1558">
            <v>109080109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</row>
        <row r="1559">
          <cell r="A1559">
            <v>109080110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</row>
        <row r="1560">
          <cell r="A1560">
            <v>109080111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</row>
        <row r="1561">
          <cell r="A1561">
            <v>109080112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</row>
        <row r="1562">
          <cell r="A1562">
            <v>109080113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</row>
        <row r="1563">
          <cell r="A1563">
            <v>109080200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</row>
        <row r="1564">
          <cell r="A1564">
            <v>109080201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</row>
        <row r="1565">
          <cell r="A1565">
            <v>109080202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</row>
        <row r="1566">
          <cell r="A1566">
            <v>109080203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</row>
        <row r="1567">
          <cell r="A1567">
            <v>109080204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</row>
        <row r="1568">
          <cell r="A1568">
            <v>109080205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</row>
        <row r="1569">
          <cell r="A1569">
            <v>109080206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</row>
        <row r="1570">
          <cell r="A1570">
            <v>109080207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</row>
        <row r="1571">
          <cell r="A1571">
            <v>109080208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</row>
        <row r="1572">
          <cell r="A1572">
            <v>109080209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</row>
        <row r="1573">
          <cell r="A1573">
            <v>200000000</v>
          </cell>
          <cell r="C1573">
            <v>37727421857</v>
          </cell>
          <cell r="D1573">
            <v>30124447408</v>
          </cell>
          <cell r="E1573">
            <v>13656173464</v>
          </cell>
          <cell r="F1573">
            <v>10400300863</v>
          </cell>
          <cell r="G1573">
            <v>33599163913</v>
          </cell>
          <cell r="H1573">
            <v>61785536023</v>
          </cell>
          <cell r="I1573">
            <v>17705508960</v>
          </cell>
          <cell r="J1573">
            <v>6887272664</v>
          </cell>
          <cell r="K1573">
            <v>3344061160</v>
          </cell>
          <cell r="L1573">
            <v>7058779769</v>
          </cell>
          <cell r="M1573">
            <v>6414982577</v>
          </cell>
          <cell r="N1573">
            <v>44122336621</v>
          </cell>
          <cell r="O1573">
            <v>16570303815</v>
          </cell>
          <cell r="P1573">
            <v>10781332585</v>
          </cell>
          <cell r="Q1573">
            <v>8464343908</v>
          </cell>
          <cell r="R1573">
            <v>12353148113</v>
          </cell>
          <cell r="S1573">
            <v>2379599786</v>
          </cell>
          <cell r="T1573">
            <v>28139368895</v>
          </cell>
          <cell r="U1573">
            <v>566824066</v>
          </cell>
          <cell r="V1573">
            <v>62405951471</v>
          </cell>
          <cell r="W1573">
            <v>12517797539</v>
          </cell>
          <cell r="X1573">
            <v>17570099600</v>
          </cell>
          <cell r="Y1573">
            <v>5055666390</v>
          </cell>
          <cell r="Z1573">
            <v>16491691910</v>
          </cell>
          <cell r="AA1573">
            <v>5861784874</v>
          </cell>
          <cell r="AB1573">
            <v>36168338369</v>
          </cell>
          <cell r="AC1573">
            <v>6432489675</v>
          </cell>
          <cell r="AD1573">
            <v>19593208560</v>
          </cell>
          <cell r="AE1573">
            <v>144557953943</v>
          </cell>
          <cell r="AF1573">
            <v>12018696742</v>
          </cell>
          <cell r="AG1573">
            <v>13372920904</v>
          </cell>
          <cell r="AH1573">
            <v>11373628274</v>
          </cell>
          <cell r="AI1573">
            <v>14114790450</v>
          </cell>
        </row>
        <row r="1574">
          <cell r="A1574">
            <v>201000000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23200000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11256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8711200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34503150</v>
          </cell>
          <cell r="AE1574">
            <v>165475903</v>
          </cell>
          <cell r="AF1574">
            <v>0</v>
          </cell>
          <cell r="AG1574">
            <v>36632679</v>
          </cell>
          <cell r="AH1574">
            <v>0</v>
          </cell>
          <cell r="AI1574">
            <v>0</v>
          </cell>
        </row>
        <row r="1575">
          <cell r="A1575">
            <v>201010000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23200000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11256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8711200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34503150</v>
          </cell>
          <cell r="AE1575">
            <v>165475903</v>
          </cell>
          <cell r="AF1575">
            <v>0</v>
          </cell>
          <cell r="AG1575">
            <v>36632679</v>
          </cell>
          <cell r="AH1575">
            <v>0</v>
          </cell>
          <cell r="AI1575">
            <v>0</v>
          </cell>
        </row>
        <row r="1576">
          <cell r="A1576">
            <v>201010200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</row>
        <row r="1577">
          <cell r="A1577">
            <v>201010202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</row>
        <row r="1578">
          <cell r="A1578">
            <v>201010203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</row>
        <row r="1579">
          <cell r="A1579">
            <v>201010204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</row>
        <row r="1580">
          <cell r="A1580">
            <v>201010205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</row>
        <row r="1581">
          <cell r="A1581">
            <v>201010206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</row>
        <row r="1582">
          <cell r="A1582">
            <v>201010207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</row>
        <row r="1583">
          <cell r="A1583">
            <v>201010208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</row>
        <row r="1584">
          <cell r="A1584">
            <v>201010211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</row>
        <row r="1585">
          <cell r="A1585">
            <v>201010217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</row>
        <row r="1586">
          <cell r="A1586">
            <v>201010220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</row>
        <row r="1587">
          <cell r="A1587">
            <v>201010229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</row>
        <row r="1588">
          <cell r="A1588">
            <v>201010231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</row>
        <row r="1589">
          <cell r="A1589">
            <v>201010234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</row>
        <row r="1590">
          <cell r="A1590">
            <v>201010237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</row>
        <row r="1591">
          <cell r="A1591">
            <v>201010238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</row>
        <row r="1592">
          <cell r="A1592">
            <v>201010239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</row>
        <row r="1593">
          <cell r="A1593">
            <v>201010240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</row>
        <row r="1594">
          <cell r="A1594">
            <v>201010241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</row>
        <row r="1595">
          <cell r="A1595">
            <v>201010242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</row>
        <row r="1596">
          <cell r="A1596">
            <v>201010243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</row>
        <row r="1597">
          <cell r="A1597">
            <v>201010244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</row>
        <row r="1598">
          <cell r="A1598">
            <v>201010245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</row>
        <row r="1599">
          <cell r="A1599">
            <v>201010300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</row>
        <row r="1600">
          <cell r="A1600">
            <v>201010306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</row>
        <row r="1601">
          <cell r="A1601">
            <v>201010307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</row>
        <row r="1602">
          <cell r="A1602">
            <v>201010308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</row>
        <row r="1603">
          <cell r="A1603">
            <v>201010318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</row>
        <row r="1604">
          <cell r="A1604">
            <v>201010326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</row>
        <row r="1605">
          <cell r="A1605">
            <v>201010336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</row>
        <row r="1606">
          <cell r="A1606">
            <v>201010349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</row>
        <row r="1607">
          <cell r="A1607">
            <v>201010354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</row>
        <row r="1608">
          <cell r="A1608">
            <v>201010366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</row>
        <row r="1609">
          <cell r="A1609">
            <v>201010367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</row>
        <row r="1610">
          <cell r="A1610">
            <v>201010371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</row>
        <row r="1611">
          <cell r="A1611">
            <v>201010376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</row>
        <row r="1612">
          <cell r="A1612">
            <v>201010377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</row>
        <row r="1613">
          <cell r="A1613">
            <v>201010378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</row>
        <row r="1614">
          <cell r="A1614">
            <v>201010390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</row>
        <row r="1615">
          <cell r="A1615">
            <v>201010391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</row>
        <row r="1616">
          <cell r="A1616">
            <v>201010392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</row>
        <row r="1617">
          <cell r="A1617">
            <v>201010393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</row>
        <row r="1618">
          <cell r="A1618">
            <v>201010394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</row>
        <row r="1619">
          <cell r="A1619">
            <v>201010400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23200000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8711200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34503150</v>
          </cell>
          <cell r="AE1619">
            <v>183077464</v>
          </cell>
          <cell r="AF1619">
            <v>0</v>
          </cell>
          <cell r="AG1619">
            <v>30711590</v>
          </cell>
          <cell r="AH1619">
            <v>0</v>
          </cell>
          <cell r="AI1619">
            <v>0</v>
          </cell>
        </row>
        <row r="1620">
          <cell r="A1620">
            <v>201010401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23200000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8711200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34503150</v>
          </cell>
          <cell r="AE1620">
            <v>183077464</v>
          </cell>
          <cell r="AF1620">
            <v>0</v>
          </cell>
          <cell r="AG1620">
            <v>30711590</v>
          </cell>
          <cell r="AH1620">
            <v>0</v>
          </cell>
          <cell r="AI1620">
            <v>0</v>
          </cell>
        </row>
        <row r="1621">
          <cell r="A1621">
            <v>201013000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11256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-17601561</v>
          </cell>
          <cell r="AF1621">
            <v>0</v>
          </cell>
          <cell r="AG1621">
            <v>5921089</v>
          </cell>
          <cell r="AH1621">
            <v>0</v>
          </cell>
          <cell r="AI1621">
            <v>0</v>
          </cell>
        </row>
        <row r="1622">
          <cell r="A1622">
            <v>201013001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</row>
        <row r="1623">
          <cell r="A1623">
            <v>201013002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55330239</v>
          </cell>
          <cell r="AH1623">
            <v>0</v>
          </cell>
          <cell r="AI1623">
            <v>0</v>
          </cell>
        </row>
        <row r="1624">
          <cell r="A1624">
            <v>201013003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11256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</row>
        <row r="1625">
          <cell r="A1625">
            <v>201013004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-17601561</v>
          </cell>
          <cell r="AF1625">
            <v>0</v>
          </cell>
          <cell r="AG1625">
            <v>-49409150</v>
          </cell>
          <cell r="AH1625">
            <v>0</v>
          </cell>
          <cell r="AI1625">
            <v>0</v>
          </cell>
        </row>
        <row r="1626">
          <cell r="A1626">
            <v>202000000</v>
          </cell>
          <cell r="C1626">
            <v>826104681</v>
          </cell>
          <cell r="D1626">
            <v>150685459</v>
          </cell>
          <cell r="E1626">
            <v>371099461</v>
          </cell>
          <cell r="F1626">
            <v>37450120</v>
          </cell>
          <cell r="G1626">
            <v>541451517</v>
          </cell>
          <cell r="H1626">
            <v>358861611</v>
          </cell>
          <cell r="I1626">
            <v>505295933</v>
          </cell>
          <cell r="J1626">
            <v>1448438</v>
          </cell>
          <cell r="K1626">
            <v>40204902</v>
          </cell>
          <cell r="L1626">
            <v>567084173</v>
          </cell>
          <cell r="M1626">
            <v>11289017</v>
          </cell>
          <cell r="N1626">
            <v>201118916</v>
          </cell>
          <cell r="O1626">
            <v>23823564</v>
          </cell>
          <cell r="P1626">
            <v>157043338</v>
          </cell>
          <cell r="Q1626">
            <v>0</v>
          </cell>
          <cell r="R1626">
            <v>25862704</v>
          </cell>
          <cell r="S1626">
            <v>41044120</v>
          </cell>
          <cell r="T1626">
            <v>276081783</v>
          </cell>
          <cell r="U1626">
            <v>0</v>
          </cell>
          <cell r="V1626">
            <v>625633704</v>
          </cell>
          <cell r="W1626">
            <v>72811272</v>
          </cell>
          <cell r="X1626">
            <v>372958061</v>
          </cell>
          <cell r="Y1626">
            <v>29541338</v>
          </cell>
          <cell r="Z1626">
            <v>760284623</v>
          </cell>
          <cell r="AA1626">
            <v>13153661</v>
          </cell>
          <cell r="AB1626">
            <v>674346343</v>
          </cell>
          <cell r="AC1626">
            <v>53124197</v>
          </cell>
          <cell r="AD1626">
            <v>242987146</v>
          </cell>
          <cell r="AE1626">
            <v>320767692</v>
          </cell>
          <cell r="AF1626">
            <v>10052209</v>
          </cell>
          <cell r="AG1626">
            <v>76537578</v>
          </cell>
          <cell r="AH1626">
            <v>32260214</v>
          </cell>
          <cell r="AI1626">
            <v>43536388</v>
          </cell>
        </row>
        <row r="1627">
          <cell r="A1627">
            <v>202010000</v>
          </cell>
          <cell r="C1627">
            <v>458166031</v>
          </cell>
          <cell r="D1627">
            <v>22297026</v>
          </cell>
          <cell r="E1627">
            <v>0</v>
          </cell>
          <cell r="F1627">
            <v>13938867</v>
          </cell>
          <cell r="G1627">
            <v>511133952</v>
          </cell>
          <cell r="H1627">
            <v>0</v>
          </cell>
          <cell r="I1627">
            <v>430661200</v>
          </cell>
          <cell r="J1627">
            <v>0</v>
          </cell>
          <cell r="K1627">
            <v>38588981</v>
          </cell>
          <cell r="L1627">
            <v>0</v>
          </cell>
          <cell r="M1627">
            <v>3200000</v>
          </cell>
          <cell r="N1627">
            <v>0</v>
          </cell>
          <cell r="O1627">
            <v>5228950</v>
          </cell>
          <cell r="P1627">
            <v>120748293</v>
          </cell>
          <cell r="Q1627">
            <v>0</v>
          </cell>
          <cell r="R1627">
            <v>1076364</v>
          </cell>
          <cell r="S1627">
            <v>28875000</v>
          </cell>
          <cell r="T1627">
            <v>0</v>
          </cell>
          <cell r="U1627">
            <v>0</v>
          </cell>
          <cell r="V1627">
            <v>294770423</v>
          </cell>
          <cell r="W1627">
            <v>16249972</v>
          </cell>
          <cell r="X1627">
            <v>266519577</v>
          </cell>
          <cell r="Y1627">
            <v>1772728</v>
          </cell>
          <cell r="Z1627">
            <v>708820113</v>
          </cell>
          <cell r="AA1627">
            <v>0</v>
          </cell>
          <cell r="AB1627">
            <v>510063154</v>
          </cell>
          <cell r="AC1627">
            <v>0</v>
          </cell>
          <cell r="AD1627">
            <v>16500000</v>
          </cell>
          <cell r="AE1627">
            <v>0</v>
          </cell>
          <cell r="AF1627">
            <v>0</v>
          </cell>
          <cell r="AG1627">
            <v>2</v>
          </cell>
          <cell r="AH1627">
            <v>0</v>
          </cell>
          <cell r="AI1627">
            <v>43336672</v>
          </cell>
        </row>
        <row r="1628">
          <cell r="A1628">
            <v>202010100</v>
          </cell>
          <cell r="C1628">
            <v>456047825</v>
          </cell>
          <cell r="D1628">
            <v>22297026</v>
          </cell>
          <cell r="E1628">
            <v>0</v>
          </cell>
          <cell r="F1628">
            <v>13938867</v>
          </cell>
          <cell r="G1628">
            <v>438428886</v>
          </cell>
          <cell r="H1628">
            <v>0</v>
          </cell>
          <cell r="I1628">
            <v>429156200</v>
          </cell>
          <cell r="J1628">
            <v>0</v>
          </cell>
          <cell r="K1628">
            <v>0</v>
          </cell>
          <cell r="L1628">
            <v>0</v>
          </cell>
          <cell r="M1628">
            <v>3200000</v>
          </cell>
          <cell r="N1628">
            <v>0</v>
          </cell>
          <cell r="O1628">
            <v>5228950</v>
          </cell>
          <cell r="P1628">
            <v>120748293</v>
          </cell>
          <cell r="Q1628">
            <v>0</v>
          </cell>
          <cell r="R1628">
            <v>1076364</v>
          </cell>
          <cell r="S1628">
            <v>28875000</v>
          </cell>
          <cell r="T1628">
            <v>0</v>
          </cell>
          <cell r="U1628">
            <v>0</v>
          </cell>
          <cell r="V1628">
            <v>229071326</v>
          </cell>
          <cell r="W1628">
            <v>16249972</v>
          </cell>
          <cell r="X1628">
            <v>236302505</v>
          </cell>
          <cell r="Y1628">
            <v>1772728</v>
          </cell>
          <cell r="Z1628">
            <v>599942213</v>
          </cell>
          <cell r="AA1628">
            <v>0</v>
          </cell>
          <cell r="AB1628">
            <v>510063154</v>
          </cell>
          <cell r="AC1628">
            <v>0</v>
          </cell>
          <cell r="AD1628">
            <v>16500000</v>
          </cell>
          <cell r="AE1628">
            <v>0</v>
          </cell>
          <cell r="AF1628">
            <v>0</v>
          </cell>
          <cell r="AG1628">
            <v>2</v>
          </cell>
          <cell r="AH1628">
            <v>0</v>
          </cell>
          <cell r="AI1628">
            <v>43336672</v>
          </cell>
        </row>
        <row r="1629">
          <cell r="A1629">
            <v>202010101</v>
          </cell>
          <cell r="C1629">
            <v>11413453</v>
          </cell>
          <cell r="D1629">
            <v>0</v>
          </cell>
          <cell r="E1629">
            <v>0</v>
          </cell>
          <cell r="F1629">
            <v>0</v>
          </cell>
          <cell r="G1629">
            <v>1038999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968000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7611000</v>
          </cell>
          <cell r="W1629">
            <v>0</v>
          </cell>
          <cell r="X1629">
            <v>1838863</v>
          </cell>
          <cell r="Y1629">
            <v>0</v>
          </cell>
          <cell r="Z1629">
            <v>0</v>
          </cell>
          <cell r="AA1629">
            <v>0</v>
          </cell>
          <cell r="AB1629">
            <v>27590426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</row>
        <row r="1630">
          <cell r="A1630">
            <v>202010102</v>
          </cell>
          <cell r="C1630">
            <v>200400000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1229398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7338543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</row>
        <row r="1631">
          <cell r="A1631">
            <v>202010103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300000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</row>
        <row r="1632">
          <cell r="A1632">
            <v>202010104</v>
          </cell>
          <cell r="C1632">
            <v>134834281</v>
          </cell>
          <cell r="D1632">
            <v>15819741</v>
          </cell>
          <cell r="E1632">
            <v>0</v>
          </cell>
          <cell r="F1632">
            <v>13938867</v>
          </cell>
          <cell r="G1632">
            <v>400876280</v>
          </cell>
          <cell r="H1632">
            <v>0</v>
          </cell>
          <cell r="I1632">
            <v>428003764</v>
          </cell>
          <cell r="J1632">
            <v>0</v>
          </cell>
          <cell r="K1632">
            <v>0</v>
          </cell>
          <cell r="L1632">
            <v>0</v>
          </cell>
          <cell r="M1632">
            <v>3200000</v>
          </cell>
          <cell r="N1632">
            <v>0</v>
          </cell>
          <cell r="O1632">
            <v>850000</v>
          </cell>
          <cell r="P1632">
            <v>51362339</v>
          </cell>
          <cell r="Q1632">
            <v>0</v>
          </cell>
          <cell r="R1632">
            <v>640000</v>
          </cell>
          <cell r="S1632">
            <v>28875000</v>
          </cell>
          <cell r="T1632">
            <v>0</v>
          </cell>
          <cell r="U1632">
            <v>0</v>
          </cell>
          <cell r="V1632">
            <v>147080916</v>
          </cell>
          <cell r="W1632">
            <v>340000</v>
          </cell>
          <cell r="X1632">
            <v>222968268</v>
          </cell>
          <cell r="Y1632">
            <v>1772728</v>
          </cell>
          <cell r="Z1632">
            <v>1861622</v>
          </cell>
          <cell r="AA1632">
            <v>0</v>
          </cell>
          <cell r="AB1632">
            <v>373000000</v>
          </cell>
          <cell r="AC1632">
            <v>0</v>
          </cell>
          <cell r="AD1632">
            <v>16500000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</row>
        <row r="1633">
          <cell r="A1633">
            <v>202010105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5038915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</row>
        <row r="1634">
          <cell r="A1634">
            <v>202010106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18762991</v>
          </cell>
          <cell r="H1634">
            <v>0</v>
          </cell>
          <cell r="I1634">
            <v>1093486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4378950</v>
          </cell>
          <cell r="P1634">
            <v>67188556</v>
          </cell>
          <cell r="Q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33523843</v>
          </cell>
          <cell r="W1634">
            <v>8571429</v>
          </cell>
          <cell r="X1634">
            <v>6600000</v>
          </cell>
          <cell r="Y1634">
            <v>0</v>
          </cell>
          <cell r="Z1634">
            <v>598080591</v>
          </cell>
          <cell r="AA1634">
            <v>0</v>
          </cell>
          <cell r="AB1634">
            <v>108000000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</row>
        <row r="1635">
          <cell r="A1635">
            <v>202010107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2350000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</row>
        <row r="1636">
          <cell r="A1636">
            <v>202010108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43336672</v>
          </cell>
        </row>
        <row r="1637">
          <cell r="A1637">
            <v>202010109</v>
          </cell>
          <cell r="C1637">
            <v>0</v>
          </cell>
          <cell r="D1637">
            <v>1024871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58950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136364</v>
          </cell>
          <cell r="S1637">
            <v>0</v>
          </cell>
          <cell r="T1637">
            <v>0</v>
          </cell>
          <cell r="U1637">
            <v>0</v>
          </cell>
          <cell r="V1637">
            <v>35686658</v>
          </cell>
          <cell r="W1637">
            <v>0</v>
          </cell>
          <cell r="X1637">
            <v>4695374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2</v>
          </cell>
          <cell r="AH1637">
            <v>0</v>
          </cell>
          <cell r="AI1637">
            <v>0</v>
          </cell>
        </row>
        <row r="1638">
          <cell r="A1638">
            <v>202010110</v>
          </cell>
          <cell r="C1638">
            <v>108632591</v>
          </cell>
          <cell r="D1638">
            <v>4827428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200000</v>
          </cell>
          <cell r="Y1638">
            <v>0</v>
          </cell>
          <cell r="Z1638">
            <v>0</v>
          </cell>
          <cell r="AA1638">
            <v>0</v>
          </cell>
          <cell r="AB1638">
            <v>1472728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</row>
        <row r="1639">
          <cell r="A1639">
            <v>202010111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</row>
        <row r="1640">
          <cell r="A1640">
            <v>202010112</v>
          </cell>
          <cell r="C1640">
            <v>767500</v>
          </cell>
          <cell r="D1640">
            <v>624986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2818909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</row>
        <row r="1641">
          <cell r="A1641">
            <v>202010113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12711701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</row>
        <row r="1642">
          <cell r="A1642">
            <v>202010200</v>
          </cell>
          <cell r="C1642">
            <v>2118206</v>
          </cell>
          <cell r="D1642">
            <v>0</v>
          </cell>
          <cell r="E1642">
            <v>0</v>
          </cell>
          <cell r="F1642">
            <v>0</v>
          </cell>
          <cell r="G1642">
            <v>72705066</v>
          </cell>
          <cell r="H1642">
            <v>0</v>
          </cell>
          <cell r="I1642">
            <v>1505000</v>
          </cell>
          <cell r="J1642">
            <v>0</v>
          </cell>
          <cell r="K1642">
            <v>38588981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65699097</v>
          </cell>
          <cell r="W1642">
            <v>0</v>
          </cell>
          <cell r="X1642">
            <v>30217072</v>
          </cell>
          <cell r="Y1642">
            <v>0</v>
          </cell>
          <cell r="Z1642">
            <v>108877900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</row>
        <row r="1643">
          <cell r="A1643">
            <v>202010201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</row>
        <row r="1644">
          <cell r="A1644">
            <v>202010202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</row>
        <row r="1645">
          <cell r="A1645">
            <v>202010203</v>
          </cell>
          <cell r="C1645">
            <v>2118206</v>
          </cell>
          <cell r="D1645">
            <v>0</v>
          </cell>
          <cell r="E1645">
            <v>0</v>
          </cell>
          <cell r="F1645">
            <v>0</v>
          </cell>
          <cell r="G1645">
            <v>72705066</v>
          </cell>
          <cell r="H1645">
            <v>0</v>
          </cell>
          <cell r="I1645">
            <v>1505000</v>
          </cell>
          <cell r="J1645">
            <v>0</v>
          </cell>
          <cell r="K1645">
            <v>38588981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65699097</v>
          </cell>
          <cell r="W1645">
            <v>0</v>
          </cell>
          <cell r="X1645">
            <v>30217072</v>
          </cell>
          <cell r="Y1645">
            <v>0</v>
          </cell>
          <cell r="Z1645">
            <v>108877900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</row>
        <row r="1646">
          <cell r="A1646">
            <v>202010204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</row>
        <row r="1647">
          <cell r="A1647">
            <v>202010205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</row>
        <row r="1648">
          <cell r="A1648">
            <v>202010206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</row>
        <row r="1649">
          <cell r="A1649">
            <v>202010207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</row>
        <row r="1650">
          <cell r="A1650">
            <v>202010208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</row>
        <row r="1651">
          <cell r="A1651">
            <v>202010209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</row>
        <row r="1652">
          <cell r="A1652">
            <v>202020000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</row>
        <row r="1653">
          <cell r="A1653">
            <v>202020100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</row>
        <row r="1654">
          <cell r="A1654">
            <v>202020101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</row>
        <row r="1655">
          <cell r="A1655">
            <v>202020102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</row>
        <row r="1656">
          <cell r="A1656">
            <v>202020103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</row>
        <row r="1657">
          <cell r="A1657">
            <v>202020104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</row>
        <row r="1658">
          <cell r="A1658">
            <v>202020105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</row>
        <row r="1659">
          <cell r="A1659">
            <v>202020106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</row>
        <row r="1660">
          <cell r="A1660">
            <v>202020107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</row>
        <row r="1661">
          <cell r="A1661">
            <v>202020108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</row>
        <row r="1662">
          <cell r="A1662">
            <v>202020109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</row>
        <row r="1663">
          <cell r="A1663">
            <v>202020110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</row>
        <row r="1664">
          <cell r="A1664">
            <v>202020111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</row>
        <row r="1665">
          <cell r="A1665">
            <v>202020112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</row>
        <row r="1666">
          <cell r="A1666">
            <v>202020113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</row>
        <row r="1667">
          <cell r="A1667">
            <v>202020200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</row>
        <row r="1668">
          <cell r="A1668">
            <v>202020201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</row>
        <row r="1669">
          <cell r="A1669">
            <v>202020202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</row>
        <row r="1670">
          <cell r="A1670">
            <v>202020203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</row>
        <row r="1671">
          <cell r="A1671">
            <v>202020204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</row>
        <row r="1672">
          <cell r="A1672">
            <v>202020205</v>
          </cell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</row>
        <row r="1673">
          <cell r="A1673">
            <v>202020206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</row>
        <row r="1674">
          <cell r="A1674">
            <v>202020207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</row>
        <row r="1675">
          <cell r="A1675">
            <v>202020208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</row>
        <row r="1676">
          <cell r="A1676">
            <v>202020209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</row>
        <row r="1677">
          <cell r="A1677">
            <v>202030000</v>
          </cell>
          <cell r="C1677">
            <v>151240858</v>
          </cell>
          <cell r="D1677">
            <v>118355492</v>
          </cell>
          <cell r="E1677">
            <v>370253461</v>
          </cell>
          <cell r="F1677">
            <v>12844156</v>
          </cell>
          <cell r="G1677">
            <v>27850772</v>
          </cell>
          <cell r="H1677">
            <v>39726434</v>
          </cell>
          <cell r="I1677">
            <v>17562426</v>
          </cell>
          <cell r="J1677">
            <v>206470</v>
          </cell>
          <cell r="K1677">
            <v>953608</v>
          </cell>
          <cell r="L1677">
            <v>66174338</v>
          </cell>
          <cell r="M1677">
            <v>8089017</v>
          </cell>
          <cell r="N1677">
            <v>30193986</v>
          </cell>
          <cell r="O1677">
            <v>18594614</v>
          </cell>
          <cell r="P1677">
            <v>15941925</v>
          </cell>
          <cell r="Q1677">
            <v>0</v>
          </cell>
          <cell r="R1677">
            <v>17955405</v>
          </cell>
          <cell r="S1677">
            <v>4518920</v>
          </cell>
          <cell r="T1677">
            <v>63994133</v>
          </cell>
          <cell r="U1677">
            <v>0</v>
          </cell>
          <cell r="V1677">
            <v>194445898</v>
          </cell>
          <cell r="W1677">
            <v>3339406</v>
          </cell>
          <cell r="X1677">
            <v>46557264</v>
          </cell>
          <cell r="Y1677">
            <v>27558610</v>
          </cell>
          <cell r="Z1677">
            <v>51464510</v>
          </cell>
          <cell r="AA1677">
            <v>12873661</v>
          </cell>
          <cell r="AB1677">
            <v>102054170</v>
          </cell>
          <cell r="AC1677">
            <v>11089776</v>
          </cell>
          <cell r="AD1677">
            <v>21103590</v>
          </cell>
          <cell r="AE1677">
            <v>320767692</v>
          </cell>
          <cell r="AF1677">
            <v>0</v>
          </cell>
          <cell r="AG1677">
            <v>73851837</v>
          </cell>
          <cell r="AH1677">
            <v>0</v>
          </cell>
          <cell r="AI1677">
            <v>199716</v>
          </cell>
        </row>
        <row r="1678">
          <cell r="A1678">
            <v>202030100</v>
          </cell>
          <cell r="C1678">
            <v>148078118</v>
          </cell>
          <cell r="D1678">
            <v>118355492</v>
          </cell>
          <cell r="E1678">
            <v>370253461</v>
          </cell>
          <cell r="F1678">
            <v>12844156</v>
          </cell>
          <cell r="G1678">
            <v>27555772</v>
          </cell>
          <cell r="H1678">
            <v>39726434</v>
          </cell>
          <cell r="I1678">
            <v>17562426</v>
          </cell>
          <cell r="J1678">
            <v>206470</v>
          </cell>
          <cell r="K1678">
            <v>926603</v>
          </cell>
          <cell r="L1678">
            <v>2089179</v>
          </cell>
          <cell r="M1678">
            <v>8089017</v>
          </cell>
          <cell r="N1678">
            <v>28929888</v>
          </cell>
          <cell r="O1678">
            <v>18594614</v>
          </cell>
          <cell r="P1678">
            <v>15941925</v>
          </cell>
          <cell r="Q1678">
            <v>0</v>
          </cell>
          <cell r="R1678">
            <v>17955405</v>
          </cell>
          <cell r="S1678">
            <v>4518920</v>
          </cell>
          <cell r="T1678">
            <v>58888878</v>
          </cell>
          <cell r="U1678">
            <v>0</v>
          </cell>
          <cell r="V1678">
            <v>191905260</v>
          </cell>
          <cell r="W1678">
            <v>3339406</v>
          </cell>
          <cell r="X1678">
            <v>46315488</v>
          </cell>
          <cell r="Y1678">
            <v>27558610</v>
          </cell>
          <cell r="Z1678">
            <v>51464510</v>
          </cell>
          <cell r="AA1678">
            <v>12873661</v>
          </cell>
          <cell r="AB1678">
            <v>101955687</v>
          </cell>
          <cell r="AC1678">
            <v>11089776</v>
          </cell>
          <cell r="AD1678">
            <v>21103590</v>
          </cell>
          <cell r="AE1678">
            <v>300917075</v>
          </cell>
          <cell r="AF1678">
            <v>0</v>
          </cell>
          <cell r="AG1678">
            <v>73843259</v>
          </cell>
          <cell r="AH1678">
            <v>0</v>
          </cell>
          <cell r="AI1678">
            <v>176602</v>
          </cell>
        </row>
        <row r="1679">
          <cell r="A1679">
            <v>202030101</v>
          </cell>
          <cell r="C1679">
            <v>288811</v>
          </cell>
          <cell r="D1679">
            <v>7726169</v>
          </cell>
          <cell r="E1679">
            <v>368222999</v>
          </cell>
          <cell r="F1679">
            <v>1246699</v>
          </cell>
          <cell r="G1679">
            <v>3551021</v>
          </cell>
          <cell r="H1679">
            <v>0</v>
          </cell>
          <cell r="I1679">
            <v>1056902</v>
          </cell>
          <cell r="J1679">
            <v>0</v>
          </cell>
          <cell r="K1679">
            <v>557238</v>
          </cell>
          <cell r="L1679">
            <v>1526994</v>
          </cell>
          <cell r="M1679">
            <v>349276</v>
          </cell>
          <cell r="N1679">
            <v>10247659</v>
          </cell>
          <cell r="O1679">
            <v>0</v>
          </cell>
          <cell r="P1679">
            <v>1253636</v>
          </cell>
          <cell r="Q1679">
            <v>0</v>
          </cell>
          <cell r="R1679">
            <v>133000</v>
          </cell>
          <cell r="S1679">
            <v>0</v>
          </cell>
          <cell r="T1679">
            <v>59767</v>
          </cell>
          <cell r="U1679">
            <v>0</v>
          </cell>
          <cell r="V1679">
            <v>38835935</v>
          </cell>
          <cell r="W1679">
            <v>170347</v>
          </cell>
          <cell r="X1679">
            <v>2187625</v>
          </cell>
          <cell r="Y1679">
            <v>0</v>
          </cell>
          <cell r="Z1679">
            <v>515327</v>
          </cell>
          <cell r="AA1679">
            <v>564491</v>
          </cell>
          <cell r="AB1679">
            <v>4863409</v>
          </cell>
          <cell r="AC1679">
            <v>0</v>
          </cell>
          <cell r="AD1679">
            <v>96087</v>
          </cell>
          <cell r="AE1679">
            <v>19478019</v>
          </cell>
          <cell r="AF1679">
            <v>0</v>
          </cell>
          <cell r="AG1679">
            <v>3523255</v>
          </cell>
          <cell r="AH1679">
            <v>0</v>
          </cell>
          <cell r="AI1679">
            <v>21878</v>
          </cell>
        </row>
        <row r="1680">
          <cell r="A1680">
            <v>202030102</v>
          </cell>
          <cell r="C1680">
            <v>1682876</v>
          </cell>
          <cell r="D1680">
            <v>654057</v>
          </cell>
          <cell r="E1680">
            <v>0</v>
          </cell>
          <cell r="F1680">
            <v>0</v>
          </cell>
          <cell r="G1680">
            <v>32432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222499</v>
          </cell>
          <cell r="N1680">
            <v>-1864600</v>
          </cell>
          <cell r="O1680">
            <v>0</v>
          </cell>
          <cell r="P1680">
            <v>2</v>
          </cell>
          <cell r="Q1680">
            <v>0</v>
          </cell>
          <cell r="R1680">
            <v>0</v>
          </cell>
          <cell r="S1680">
            <v>0</v>
          </cell>
          <cell r="T1680">
            <v>119689</v>
          </cell>
          <cell r="U1680">
            <v>0</v>
          </cell>
          <cell r="V1680">
            <v>1071297</v>
          </cell>
          <cell r="W1680">
            <v>0</v>
          </cell>
          <cell r="X1680">
            <v>44469</v>
          </cell>
          <cell r="Y1680">
            <v>0</v>
          </cell>
          <cell r="Z1680">
            <v>25176</v>
          </cell>
          <cell r="AA1680">
            <v>0</v>
          </cell>
          <cell r="AB1680">
            <v>2644105</v>
          </cell>
          <cell r="AC1680">
            <v>0</v>
          </cell>
          <cell r="AD1680">
            <v>0</v>
          </cell>
          <cell r="AE1680">
            <v>1316035</v>
          </cell>
          <cell r="AF1680">
            <v>0</v>
          </cell>
          <cell r="AG1680">
            <v>2996157</v>
          </cell>
          <cell r="AH1680">
            <v>0</v>
          </cell>
          <cell r="AI1680">
            <v>0</v>
          </cell>
        </row>
        <row r="1681">
          <cell r="A1681">
            <v>202030103</v>
          </cell>
          <cell r="C1681">
            <v>217271</v>
          </cell>
          <cell r="D1681">
            <v>2316879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1202061</v>
          </cell>
          <cell r="J1681">
            <v>206470</v>
          </cell>
          <cell r="K1681">
            <v>0</v>
          </cell>
          <cell r="L1681">
            <v>21167</v>
          </cell>
          <cell r="M1681">
            <v>58780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493430</v>
          </cell>
          <cell r="U1681">
            <v>0</v>
          </cell>
          <cell r="V1681">
            <v>12230822</v>
          </cell>
          <cell r="W1681">
            <v>0</v>
          </cell>
          <cell r="X1681">
            <v>81231</v>
          </cell>
          <cell r="Y1681">
            <v>0</v>
          </cell>
          <cell r="Z1681">
            <v>450514</v>
          </cell>
          <cell r="AA1681">
            <v>1900924</v>
          </cell>
          <cell r="AB1681">
            <v>12731506</v>
          </cell>
          <cell r="AC1681">
            <v>236073</v>
          </cell>
          <cell r="AD1681">
            <v>70000</v>
          </cell>
          <cell r="AE1681">
            <v>4411632</v>
          </cell>
          <cell r="AF1681">
            <v>0</v>
          </cell>
          <cell r="AG1681">
            <v>1056289</v>
          </cell>
          <cell r="AH1681">
            <v>0</v>
          </cell>
          <cell r="AI1681">
            <v>135073</v>
          </cell>
        </row>
        <row r="1682">
          <cell r="A1682">
            <v>202030104</v>
          </cell>
          <cell r="C1682">
            <v>69928525</v>
          </cell>
          <cell r="D1682">
            <v>85166977</v>
          </cell>
          <cell r="E1682">
            <v>0</v>
          </cell>
          <cell r="F1682">
            <v>7197623</v>
          </cell>
          <cell r="G1682">
            <v>15624642</v>
          </cell>
          <cell r="H1682">
            <v>39565113</v>
          </cell>
          <cell r="I1682">
            <v>14774331</v>
          </cell>
          <cell r="J1682">
            <v>0</v>
          </cell>
          <cell r="K1682">
            <v>369365</v>
          </cell>
          <cell r="L1682">
            <v>196706</v>
          </cell>
          <cell r="M1682">
            <v>7081192</v>
          </cell>
          <cell r="N1682">
            <v>13393204</v>
          </cell>
          <cell r="O1682">
            <v>18594614</v>
          </cell>
          <cell r="P1682">
            <v>9959441</v>
          </cell>
          <cell r="Q1682">
            <v>0</v>
          </cell>
          <cell r="R1682">
            <v>4158213</v>
          </cell>
          <cell r="S1682">
            <v>4518920</v>
          </cell>
          <cell r="T1682">
            <v>23596646</v>
          </cell>
          <cell r="U1682">
            <v>0</v>
          </cell>
          <cell r="V1682">
            <v>132304520</v>
          </cell>
          <cell r="W1682">
            <v>3123032</v>
          </cell>
          <cell r="X1682">
            <v>40134672</v>
          </cell>
          <cell r="Y1682">
            <v>8211361</v>
          </cell>
          <cell r="Z1682">
            <v>49427109</v>
          </cell>
          <cell r="AA1682">
            <v>9259264</v>
          </cell>
          <cell r="AB1682">
            <v>73235273</v>
          </cell>
          <cell r="AC1682">
            <v>3377806</v>
          </cell>
          <cell r="AD1682">
            <v>19926620</v>
          </cell>
          <cell r="AE1682">
            <v>242593937</v>
          </cell>
          <cell r="AF1682">
            <v>0</v>
          </cell>
          <cell r="AG1682">
            <v>62037415</v>
          </cell>
          <cell r="AH1682">
            <v>0</v>
          </cell>
          <cell r="AI1682">
            <v>736</v>
          </cell>
        </row>
        <row r="1683">
          <cell r="A1683">
            <v>202030105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50794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18131249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</row>
        <row r="1684">
          <cell r="A1684">
            <v>202030106</v>
          </cell>
          <cell r="C1684">
            <v>426604</v>
          </cell>
          <cell r="D1684">
            <v>6725347</v>
          </cell>
          <cell r="E1684">
            <v>2030462</v>
          </cell>
          <cell r="F1684">
            <v>290313</v>
          </cell>
          <cell r="G1684">
            <v>0</v>
          </cell>
          <cell r="H1684">
            <v>0</v>
          </cell>
          <cell r="I1684">
            <v>408269</v>
          </cell>
          <cell r="J1684">
            <v>0</v>
          </cell>
          <cell r="K1684">
            <v>0</v>
          </cell>
          <cell r="L1684">
            <v>223490</v>
          </cell>
          <cell r="M1684">
            <v>377270</v>
          </cell>
          <cell r="N1684">
            <v>-54209</v>
          </cell>
          <cell r="O1684">
            <v>0</v>
          </cell>
          <cell r="P1684">
            <v>4728846</v>
          </cell>
          <cell r="Q1684">
            <v>0</v>
          </cell>
          <cell r="R1684">
            <v>284500</v>
          </cell>
          <cell r="S1684">
            <v>0</v>
          </cell>
          <cell r="T1684">
            <v>0</v>
          </cell>
          <cell r="U1684">
            <v>0</v>
          </cell>
          <cell r="V1684">
            <v>1414039</v>
          </cell>
          <cell r="W1684">
            <v>0</v>
          </cell>
          <cell r="X1684">
            <v>416312</v>
          </cell>
          <cell r="Y1684">
            <v>0</v>
          </cell>
          <cell r="Z1684">
            <v>417529</v>
          </cell>
          <cell r="AA1684">
            <v>1148982</v>
          </cell>
          <cell r="AB1684">
            <v>511180</v>
          </cell>
          <cell r="AC1684">
            <v>2297504</v>
          </cell>
          <cell r="AD1684">
            <v>0</v>
          </cell>
          <cell r="AE1684">
            <v>28552507</v>
          </cell>
          <cell r="AF1684">
            <v>0</v>
          </cell>
          <cell r="AG1684">
            <v>1999182</v>
          </cell>
          <cell r="AH1684">
            <v>0</v>
          </cell>
          <cell r="AI1684">
            <v>0</v>
          </cell>
        </row>
        <row r="1685">
          <cell r="A1685">
            <v>202030107</v>
          </cell>
          <cell r="C1685">
            <v>0</v>
          </cell>
          <cell r="D1685">
            <v>132796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28673</v>
          </cell>
          <cell r="W1685">
            <v>0</v>
          </cell>
          <cell r="X1685">
            <v>2113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44844</v>
          </cell>
          <cell r="AF1685">
            <v>0</v>
          </cell>
          <cell r="AG1685">
            <v>5094</v>
          </cell>
          <cell r="AH1685">
            <v>0</v>
          </cell>
          <cell r="AI1685">
            <v>0</v>
          </cell>
        </row>
        <row r="1686">
          <cell r="A1686">
            <v>202030108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</row>
        <row r="1687">
          <cell r="A1687">
            <v>202030109</v>
          </cell>
          <cell r="C1687">
            <v>36000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8368865</v>
          </cell>
          <cell r="S1687">
            <v>0</v>
          </cell>
          <cell r="T1687">
            <v>53439</v>
          </cell>
          <cell r="U1687">
            <v>0</v>
          </cell>
          <cell r="V1687">
            <v>1862074</v>
          </cell>
          <cell r="W1687">
            <v>46027</v>
          </cell>
          <cell r="X1687">
            <v>27512</v>
          </cell>
          <cell r="Y1687">
            <v>0</v>
          </cell>
          <cell r="Z1687">
            <v>214603</v>
          </cell>
          <cell r="AA1687">
            <v>0</v>
          </cell>
          <cell r="AB1687">
            <v>124162</v>
          </cell>
          <cell r="AC1687">
            <v>0</v>
          </cell>
          <cell r="AD1687">
            <v>0</v>
          </cell>
          <cell r="AE1687">
            <v>1224903</v>
          </cell>
          <cell r="AF1687">
            <v>0</v>
          </cell>
          <cell r="AG1687">
            <v>1319169</v>
          </cell>
          <cell r="AH1687">
            <v>0</v>
          </cell>
          <cell r="AI1687">
            <v>11796</v>
          </cell>
        </row>
        <row r="1688">
          <cell r="A1688">
            <v>202030110</v>
          </cell>
          <cell r="C1688">
            <v>30553895</v>
          </cell>
          <cell r="D1688">
            <v>13988571</v>
          </cell>
          <cell r="E1688">
            <v>0</v>
          </cell>
          <cell r="F1688">
            <v>0</v>
          </cell>
          <cell r="G1688">
            <v>1339951</v>
          </cell>
          <cell r="H1688">
            <v>0</v>
          </cell>
          <cell r="I1688">
            <v>20862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271250</v>
          </cell>
          <cell r="S1688">
            <v>0</v>
          </cell>
          <cell r="T1688">
            <v>0</v>
          </cell>
          <cell r="U1688">
            <v>0</v>
          </cell>
          <cell r="V1688">
            <v>3227853</v>
          </cell>
          <cell r="W1688">
            <v>0</v>
          </cell>
          <cell r="X1688">
            <v>109988</v>
          </cell>
          <cell r="Y1688">
            <v>0</v>
          </cell>
          <cell r="Z1688">
            <v>414252</v>
          </cell>
          <cell r="AA1688">
            <v>0</v>
          </cell>
          <cell r="AB1688">
            <v>1586653</v>
          </cell>
          <cell r="AC1688">
            <v>0</v>
          </cell>
          <cell r="AD1688">
            <v>204483</v>
          </cell>
          <cell r="AE1688">
            <v>450607</v>
          </cell>
          <cell r="AF1688">
            <v>0</v>
          </cell>
          <cell r="AG1688">
            <v>0</v>
          </cell>
          <cell r="AH1688">
            <v>0</v>
          </cell>
          <cell r="AI1688">
            <v>7119</v>
          </cell>
        </row>
        <row r="1689">
          <cell r="A1689">
            <v>202030111</v>
          </cell>
          <cell r="C1689">
            <v>0</v>
          </cell>
          <cell r="D1689">
            <v>842050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6048890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</row>
        <row r="1690">
          <cell r="A1690">
            <v>202030112</v>
          </cell>
          <cell r="C1690">
            <v>0</v>
          </cell>
          <cell r="D1690">
            <v>562646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407834</v>
          </cell>
          <cell r="O1690">
            <v>0</v>
          </cell>
          <cell r="P1690">
            <v>0</v>
          </cell>
          <cell r="Q1690">
            <v>0</v>
          </cell>
          <cell r="R1690">
            <v>462500</v>
          </cell>
          <cell r="S1690">
            <v>0</v>
          </cell>
          <cell r="T1690">
            <v>0</v>
          </cell>
          <cell r="U1690">
            <v>0</v>
          </cell>
          <cell r="V1690">
            <v>47</v>
          </cell>
          <cell r="W1690">
            <v>0</v>
          </cell>
          <cell r="X1690">
            <v>239958</v>
          </cell>
          <cell r="Y1690">
            <v>0</v>
          </cell>
          <cell r="Z1690">
            <v>0</v>
          </cell>
          <cell r="AA1690">
            <v>0</v>
          </cell>
          <cell r="AB1690">
            <v>704809</v>
          </cell>
          <cell r="AC1690">
            <v>0</v>
          </cell>
          <cell r="AD1690">
            <v>0</v>
          </cell>
          <cell r="AE1690">
            <v>385869</v>
          </cell>
          <cell r="AF1690">
            <v>0</v>
          </cell>
          <cell r="AG1690">
            <v>4491</v>
          </cell>
          <cell r="AH1690">
            <v>0</v>
          </cell>
          <cell r="AI1690">
            <v>0</v>
          </cell>
        </row>
        <row r="1691">
          <cell r="A1691">
            <v>202030113</v>
          </cell>
          <cell r="C1691">
            <v>44944136</v>
          </cell>
          <cell r="D1691">
            <v>240000</v>
          </cell>
          <cell r="E1691">
            <v>0</v>
          </cell>
          <cell r="F1691">
            <v>4109521</v>
          </cell>
          <cell r="G1691">
            <v>6956932</v>
          </cell>
          <cell r="H1691">
            <v>161321</v>
          </cell>
          <cell r="I1691">
            <v>100001</v>
          </cell>
          <cell r="J1691">
            <v>0</v>
          </cell>
          <cell r="K1691">
            <v>0</v>
          </cell>
          <cell r="L1691">
            <v>120822</v>
          </cell>
          <cell r="M1691">
            <v>0</v>
          </cell>
          <cell r="N1691">
            <v>6800000</v>
          </cell>
          <cell r="O1691">
            <v>0</v>
          </cell>
          <cell r="P1691">
            <v>0</v>
          </cell>
          <cell r="Q1691">
            <v>0</v>
          </cell>
          <cell r="R1691">
            <v>4277077</v>
          </cell>
          <cell r="S1691">
            <v>0</v>
          </cell>
          <cell r="T1691">
            <v>28517017</v>
          </cell>
          <cell r="U1691">
            <v>0</v>
          </cell>
          <cell r="V1691">
            <v>930000</v>
          </cell>
          <cell r="W1691">
            <v>0</v>
          </cell>
          <cell r="X1691">
            <v>3071608</v>
          </cell>
          <cell r="Y1691">
            <v>1216000</v>
          </cell>
          <cell r="Z1691">
            <v>0</v>
          </cell>
          <cell r="AA1691">
            <v>0</v>
          </cell>
          <cell r="AB1691">
            <v>5554590</v>
          </cell>
          <cell r="AC1691">
            <v>5178393</v>
          </cell>
          <cell r="AD1691">
            <v>806400</v>
          </cell>
          <cell r="AE1691">
            <v>2458722</v>
          </cell>
          <cell r="AF1691">
            <v>0</v>
          </cell>
          <cell r="AG1691">
            <v>902207</v>
          </cell>
          <cell r="AH1691">
            <v>0</v>
          </cell>
          <cell r="AI1691">
            <v>0</v>
          </cell>
        </row>
        <row r="1692">
          <cell r="A1692">
            <v>202030200</v>
          </cell>
          <cell r="C1692">
            <v>3162740</v>
          </cell>
          <cell r="D1692">
            <v>0</v>
          </cell>
          <cell r="E1692">
            <v>0</v>
          </cell>
          <cell r="F1692">
            <v>0</v>
          </cell>
          <cell r="G1692">
            <v>295000</v>
          </cell>
          <cell r="H1692">
            <v>0</v>
          </cell>
          <cell r="I1692">
            <v>0</v>
          </cell>
          <cell r="J1692">
            <v>0</v>
          </cell>
          <cell r="K1692">
            <v>27005</v>
          </cell>
          <cell r="L1692">
            <v>64085159</v>
          </cell>
          <cell r="M1692">
            <v>0</v>
          </cell>
          <cell r="N1692">
            <v>1264098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5105255</v>
          </cell>
          <cell r="U1692">
            <v>0</v>
          </cell>
          <cell r="V1692">
            <v>2540638</v>
          </cell>
          <cell r="W1692">
            <v>0</v>
          </cell>
          <cell r="X1692">
            <v>241776</v>
          </cell>
          <cell r="Y1692">
            <v>0</v>
          </cell>
          <cell r="Z1692">
            <v>0</v>
          </cell>
          <cell r="AA1692">
            <v>0</v>
          </cell>
          <cell r="AB1692">
            <v>98483</v>
          </cell>
          <cell r="AC1692">
            <v>0</v>
          </cell>
          <cell r="AD1692">
            <v>0</v>
          </cell>
          <cell r="AE1692">
            <v>19850617</v>
          </cell>
          <cell r="AF1692">
            <v>0</v>
          </cell>
          <cell r="AG1692">
            <v>8578</v>
          </cell>
          <cell r="AH1692">
            <v>0</v>
          </cell>
          <cell r="AI1692">
            <v>23114</v>
          </cell>
        </row>
        <row r="1693">
          <cell r="A1693">
            <v>202030201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5105255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</row>
        <row r="1694">
          <cell r="A1694">
            <v>202030202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</row>
        <row r="1695">
          <cell r="A1695">
            <v>202030203</v>
          </cell>
          <cell r="C1695">
            <v>3162740</v>
          </cell>
          <cell r="D1695">
            <v>0</v>
          </cell>
          <cell r="E1695">
            <v>0</v>
          </cell>
          <cell r="F1695">
            <v>0</v>
          </cell>
          <cell r="G1695">
            <v>295000</v>
          </cell>
          <cell r="H1695">
            <v>0</v>
          </cell>
          <cell r="I1695">
            <v>0</v>
          </cell>
          <cell r="J1695">
            <v>0</v>
          </cell>
          <cell r="K1695">
            <v>27005</v>
          </cell>
          <cell r="L1695">
            <v>64085159</v>
          </cell>
          <cell r="M1695">
            <v>0</v>
          </cell>
          <cell r="N1695">
            <v>1264098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2540638</v>
          </cell>
          <cell r="W1695">
            <v>0</v>
          </cell>
          <cell r="X1695">
            <v>241776</v>
          </cell>
          <cell r="Y1695">
            <v>0</v>
          </cell>
          <cell r="Z1695">
            <v>0</v>
          </cell>
          <cell r="AA1695">
            <v>0</v>
          </cell>
          <cell r="AB1695">
            <v>98483</v>
          </cell>
          <cell r="AC1695">
            <v>0</v>
          </cell>
          <cell r="AD1695">
            <v>0</v>
          </cell>
          <cell r="AE1695">
            <v>19850617</v>
          </cell>
          <cell r="AF1695">
            <v>0</v>
          </cell>
          <cell r="AG1695">
            <v>8578</v>
          </cell>
          <cell r="AH1695">
            <v>0</v>
          </cell>
          <cell r="AI1695">
            <v>23114</v>
          </cell>
        </row>
        <row r="1696">
          <cell r="A1696">
            <v>202030204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</row>
        <row r="1697">
          <cell r="A1697">
            <v>202030205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</row>
        <row r="1698">
          <cell r="A1698">
            <v>202030206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</row>
        <row r="1699">
          <cell r="A1699">
            <v>202030207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</row>
        <row r="1700">
          <cell r="A1700">
            <v>202030208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</row>
        <row r="1701">
          <cell r="A1701">
            <v>202030209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</row>
        <row r="1702">
          <cell r="A1702">
            <v>202040000</v>
          </cell>
          <cell r="C1702">
            <v>216697792</v>
          </cell>
          <cell r="D1702">
            <v>10032941</v>
          </cell>
          <cell r="E1702">
            <v>846000</v>
          </cell>
          <cell r="F1702">
            <v>5852300</v>
          </cell>
          <cell r="G1702">
            <v>2466793</v>
          </cell>
          <cell r="H1702">
            <v>319135177</v>
          </cell>
          <cell r="I1702">
            <v>57072307</v>
          </cell>
          <cell r="J1702">
            <v>1241968</v>
          </cell>
          <cell r="K1702">
            <v>662313</v>
          </cell>
          <cell r="L1702">
            <v>500909835</v>
          </cell>
          <cell r="M1702">
            <v>0</v>
          </cell>
          <cell r="N1702">
            <v>170924930</v>
          </cell>
          <cell r="O1702">
            <v>0</v>
          </cell>
          <cell r="P1702">
            <v>20353120</v>
          </cell>
          <cell r="Q1702">
            <v>0</v>
          </cell>
          <cell r="R1702">
            <v>6830935</v>
          </cell>
          <cell r="S1702">
            <v>7650200</v>
          </cell>
          <cell r="T1702">
            <v>212087650</v>
          </cell>
          <cell r="U1702">
            <v>0</v>
          </cell>
          <cell r="V1702">
            <v>136417383</v>
          </cell>
          <cell r="W1702">
            <v>53221894</v>
          </cell>
          <cell r="X1702">
            <v>59881220</v>
          </cell>
          <cell r="Y1702">
            <v>210000</v>
          </cell>
          <cell r="Z1702">
            <v>0</v>
          </cell>
          <cell r="AA1702">
            <v>280000</v>
          </cell>
          <cell r="AB1702">
            <v>62229019</v>
          </cell>
          <cell r="AC1702">
            <v>42034421</v>
          </cell>
          <cell r="AD1702">
            <v>205383556</v>
          </cell>
          <cell r="AE1702">
            <v>0</v>
          </cell>
          <cell r="AF1702">
            <v>10052209</v>
          </cell>
          <cell r="AG1702">
            <v>2685739</v>
          </cell>
          <cell r="AH1702">
            <v>32260214</v>
          </cell>
          <cell r="AI1702">
            <v>0</v>
          </cell>
        </row>
        <row r="1703">
          <cell r="A1703">
            <v>202040100</v>
          </cell>
          <cell r="C1703">
            <v>216697792</v>
          </cell>
          <cell r="D1703">
            <v>10032941</v>
          </cell>
          <cell r="E1703">
            <v>846000</v>
          </cell>
          <cell r="F1703">
            <v>5852300</v>
          </cell>
          <cell r="G1703">
            <v>2466793</v>
          </cell>
          <cell r="H1703">
            <v>319135177</v>
          </cell>
          <cell r="I1703">
            <v>57072307</v>
          </cell>
          <cell r="J1703">
            <v>1241968</v>
          </cell>
          <cell r="K1703">
            <v>650653</v>
          </cell>
          <cell r="L1703">
            <v>500909835</v>
          </cell>
          <cell r="M1703">
            <v>0</v>
          </cell>
          <cell r="N1703">
            <v>170924930</v>
          </cell>
          <cell r="O1703">
            <v>0</v>
          </cell>
          <cell r="P1703">
            <v>20353120</v>
          </cell>
          <cell r="Q1703">
            <v>0</v>
          </cell>
          <cell r="R1703">
            <v>3832250</v>
          </cell>
          <cell r="S1703">
            <v>7650200</v>
          </cell>
          <cell r="T1703">
            <v>209422003</v>
          </cell>
          <cell r="U1703">
            <v>0</v>
          </cell>
          <cell r="V1703">
            <v>136417383</v>
          </cell>
          <cell r="W1703">
            <v>53221894</v>
          </cell>
          <cell r="X1703">
            <v>50499372</v>
          </cell>
          <cell r="Y1703">
            <v>210000</v>
          </cell>
          <cell r="Z1703">
            <v>0</v>
          </cell>
          <cell r="AA1703">
            <v>280000</v>
          </cell>
          <cell r="AB1703">
            <v>62229019</v>
          </cell>
          <cell r="AC1703">
            <v>42034421</v>
          </cell>
          <cell r="AD1703">
            <v>45415297</v>
          </cell>
          <cell r="AE1703">
            <v>0</v>
          </cell>
          <cell r="AF1703">
            <v>10052209</v>
          </cell>
          <cell r="AG1703">
            <v>2685739</v>
          </cell>
          <cell r="AH1703">
            <v>13455982</v>
          </cell>
          <cell r="AI1703">
            <v>0</v>
          </cell>
        </row>
        <row r="1704">
          <cell r="A1704">
            <v>202040101</v>
          </cell>
          <cell r="C1704">
            <v>2700080</v>
          </cell>
          <cell r="D1704">
            <v>1843000</v>
          </cell>
          <cell r="E1704">
            <v>0</v>
          </cell>
          <cell r="F1704">
            <v>4722300</v>
          </cell>
          <cell r="G1704">
            <v>0</v>
          </cell>
          <cell r="H1704">
            <v>6807000</v>
          </cell>
          <cell r="I1704">
            <v>135000</v>
          </cell>
          <cell r="J1704">
            <v>0</v>
          </cell>
          <cell r="K1704">
            <v>400653</v>
          </cell>
          <cell r="L1704">
            <v>500909835</v>
          </cell>
          <cell r="M1704">
            <v>0</v>
          </cell>
          <cell r="N1704">
            <v>19932440</v>
          </cell>
          <cell r="O1704">
            <v>0</v>
          </cell>
          <cell r="P1704">
            <v>0</v>
          </cell>
          <cell r="Q1704">
            <v>0</v>
          </cell>
          <cell r="R1704">
            <v>168197</v>
          </cell>
          <cell r="S1704">
            <v>0</v>
          </cell>
          <cell r="T1704">
            <v>5751600</v>
          </cell>
          <cell r="U1704">
            <v>0</v>
          </cell>
          <cell r="V1704">
            <v>0</v>
          </cell>
          <cell r="W1704">
            <v>2074570</v>
          </cell>
          <cell r="X1704">
            <v>2369179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2004078</v>
          </cell>
          <cell r="AE1704">
            <v>0</v>
          </cell>
          <cell r="AF1704">
            <v>0</v>
          </cell>
          <cell r="AG1704">
            <v>0</v>
          </cell>
          <cell r="AH1704">
            <v>8578278</v>
          </cell>
          <cell r="AI1704">
            <v>0</v>
          </cell>
        </row>
        <row r="1705">
          <cell r="A1705">
            <v>202040102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2080200</v>
          </cell>
          <cell r="I1705">
            <v>2989776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26340411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2620753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</row>
        <row r="1706">
          <cell r="A1706">
            <v>202040103</v>
          </cell>
          <cell r="C1706">
            <v>0</v>
          </cell>
          <cell r="D1706">
            <v>594000</v>
          </cell>
          <cell r="E1706">
            <v>0</v>
          </cell>
          <cell r="F1706">
            <v>0</v>
          </cell>
          <cell r="G1706">
            <v>0</v>
          </cell>
          <cell r="H1706">
            <v>858000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82429</v>
          </cell>
          <cell r="S1706">
            <v>0</v>
          </cell>
          <cell r="T1706">
            <v>3071236</v>
          </cell>
          <cell r="U1706">
            <v>0</v>
          </cell>
          <cell r="V1706">
            <v>0</v>
          </cell>
          <cell r="W1706">
            <v>600000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1503749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</row>
        <row r="1707">
          <cell r="A1707">
            <v>202040104</v>
          </cell>
          <cell r="C1707">
            <v>190224587</v>
          </cell>
          <cell r="D1707">
            <v>7595941</v>
          </cell>
          <cell r="E1707">
            <v>480000</v>
          </cell>
          <cell r="F1707">
            <v>780000</v>
          </cell>
          <cell r="G1707">
            <v>1527251</v>
          </cell>
          <cell r="H1707">
            <v>224398645</v>
          </cell>
          <cell r="I1707">
            <v>53842531</v>
          </cell>
          <cell r="J1707">
            <v>1241968</v>
          </cell>
          <cell r="K1707">
            <v>250000</v>
          </cell>
          <cell r="L1707">
            <v>0</v>
          </cell>
          <cell r="M1707">
            <v>0</v>
          </cell>
          <cell r="N1707">
            <v>67885143</v>
          </cell>
          <cell r="O1707">
            <v>0</v>
          </cell>
          <cell r="P1707">
            <v>20353120</v>
          </cell>
          <cell r="Q1707">
            <v>0</v>
          </cell>
          <cell r="R1707">
            <v>1799475</v>
          </cell>
          <cell r="S1707">
            <v>7650200</v>
          </cell>
          <cell r="T1707">
            <v>54914783</v>
          </cell>
          <cell r="U1707">
            <v>0</v>
          </cell>
          <cell r="V1707">
            <v>136417383</v>
          </cell>
          <cell r="W1707">
            <v>49845290</v>
          </cell>
          <cell r="X1707">
            <v>40986193</v>
          </cell>
          <cell r="Y1707">
            <v>0</v>
          </cell>
          <cell r="Z1707">
            <v>0</v>
          </cell>
          <cell r="AA1707">
            <v>280000</v>
          </cell>
          <cell r="AB1707">
            <v>61908294</v>
          </cell>
          <cell r="AC1707">
            <v>0</v>
          </cell>
          <cell r="AD1707">
            <v>37348603</v>
          </cell>
          <cell r="AE1707">
            <v>0</v>
          </cell>
          <cell r="AF1707">
            <v>10052209</v>
          </cell>
          <cell r="AG1707">
            <v>2685739</v>
          </cell>
          <cell r="AH1707">
            <v>3798714</v>
          </cell>
          <cell r="AI1707">
            <v>0</v>
          </cell>
        </row>
        <row r="1708">
          <cell r="A1708">
            <v>202040105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210000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</row>
        <row r="1709">
          <cell r="A1709">
            <v>202040106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3330000</v>
          </cell>
          <cell r="I1709">
            <v>90000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1394650</v>
          </cell>
          <cell r="O1709">
            <v>0</v>
          </cell>
          <cell r="P1709">
            <v>0</v>
          </cell>
          <cell r="Q1709">
            <v>0</v>
          </cell>
          <cell r="R1709">
            <v>100000</v>
          </cell>
          <cell r="S1709">
            <v>0</v>
          </cell>
          <cell r="T1709">
            <v>2185000</v>
          </cell>
          <cell r="U1709">
            <v>0</v>
          </cell>
          <cell r="V1709">
            <v>0</v>
          </cell>
          <cell r="W1709">
            <v>397013</v>
          </cell>
          <cell r="X1709">
            <v>630000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3195076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</row>
        <row r="1710">
          <cell r="A1710">
            <v>202040107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204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155300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3853014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1363791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</row>
        <row r="1711">
          <cell r="A1711">
            <v>202040108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  <cell r="H1711">
            <v>33657738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6500000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192000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</row>
        <row r="1712">
          <cell r="A1712">
            <v>202040109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  <cell r="H1712">
            <v>998561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1114625</v>
          </cell>
          <cell r="S1712">
            <v>0</v>
          </cell>
          <cell r="T1712">
            <v>94161413</v>
          </cell>
          <cell r="U1712">
            <v>0</v>
          </cell>
          <cell r="V1712">
            <v>0</v>
          </cell>
          <cell r="W1712">
            <v>57471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78990</v>
          </cell>
          <cell r="AI1712">
            <v>0</v>
          </cell>
        </row>
        <row r="1713">
          <cell r="A1713">
            <v>202040110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871085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330000</v>
          </cell>
          <cell r="U1713">
            <v>0</v>
          </cell>
          <cell r="V1713">
            <v>0</v>
          </cell>
          <cell r="W1713">
            <v>55550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500000</v>
          </cell>
          <cell r="AI1713">
            <v>0</v>
          </cell>
        </row>
        <row r="1714">
          <cell r="A1714">
            <v>202040111</v>
          </cell>
          <cell r="C1714">
            <v>0</v>
          </cell>
          <cell r="D1714">
            <v>0</v>
          </cell>
          <cell r="E1714">
            <v>366000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3225000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</row>
        <row r="1715">
          <cell r="A1715">
            <v>202040112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  <cell r="H1715">
            <v>2772750</v>
          </cell>
          <cell r="I1715">
            <v>15000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160800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1551054</v>
          </cell>
          <cell r="U1715">
            <v>0</v>
          </cell>
          <cell r="V1715">
            <v>0</v>
          </cell>
          <cell r="W1715">
            <v>0</v>
          </cell>
          <cell r="X1715">
            <v>25000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</row>
        <row r="1716">
          <cell r="A1716">
            <v>202040113</v>
          </cell>
          <cell r="C1716">
            <v>23773125</v>
          </cell>
          <cell r="D1716">
            <v>0</v>
          </cell>
          <cell r="E1716">
            <v>0</v>
          </cell>
          <cell r="F1716">
            <v>350000</v>
          </cell>
          <cell r="G1716">
            <v>939542</v>
          </cell>
          <cell r="H1716">
            <v>44232079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47685101</v>
          </cell>
          <cell r="O1716">
            <v>0</v>
          </cell>
          <cell r="P1716">
            <v>0</v>
          </cell>
          <cell r="Q1716">
            <v>0</v>
          </cell>
          <cell r="R1716">
            <v>567524</v>
          </cell>
          <cell r="S1716">
            <v>0</v>
          </cell>
          <cell r="T1716">
            <v>40983150</v>
          </cell>
          <cell r="U1716">
            <v>0</v>
          </cell>
          <cell r="V1716">
            <v>0</v>
          </cell>
          <cell r="W1716">
            <v>0</v>
          </cell>
          <cell r="X1716">
            <v>3264000</v>
          </cell>
          <cell r="Y1716">
            <v>0</v>
          </cell>
          <cell r="Z1716">
            <v>0</v>
          </cell>
          <cell r="AA1716">
            <v>0</v>
          </cell>
          <cell r="AB1716">
            <v>320725</v>
          </cell>
          <cell r="AC1716">
            <v>42034421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500000</v>
          </cell>
          <cell r="AI1716">
            <v>0</v>
          </cell>
        </row>
        <row r="1717">
          <cell r="A1717">
            <v>202040200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11660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2998685</v>
          </cell>
          <cell r="S1717">
            <v>0</v>
          </cell>
          <cell r="T1717">
            <v>2665647</v>
          </cell>
          <cell r="U1717">
            <v>0</v>
          </cell>
          <cell r="V1717">
            <v>0</v>
          </cell>
          <cell r="W1717">
            <v>0</v>
          </cell>
          <cell r="X1717">
            <v>9381848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159968259</v>
          </cell>
          <cell r="AE1717">
            <v>0</v>
          </cell>
          <cell r="AF1717">
            <v>0</v>
          </cell>
          <cell r="AG1717">
            <v>0</v>
          </cell>
          <cell r="AH1717">
            <v>18804232</v>
          </cell>
          <cell r="AI1717">
            <v>0</v>
          </cell>
        </row>
        <row r="1718">
          <cell r="A1718">
            <v>202040201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2205468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</row>
        <row r="1719">
          <cell r="A1719">
            <v>202040202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</row>
        <row r="1720">
          <cell r="A1720">
            <v>202040203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11660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2998685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9381848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159968259</v>
          </cell>
          <cell r="AE1720">
            <v>0</v>
          </cell>
          <cell r="AF1720">
            <v>0</v>
          </cell>
          <cell r="AG1720">
            <v>0</v>
          </cell>
          <cell r="AH1720">
            <v>18804232</v>
          </cell>
          <cell r="AI1720">
            <v>0</v>
          </cell>
        </row>
        <row r="1721">
          <cell r="A1721">
            <v>202040204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</row>
        <row r="1722">
          <cell r="A1722">
            <v>202040205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</row>
        <row r="1723">
          <cell r="A1723">
            <v>202040206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460179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</row>
        <row r="1724">
          <cell r="A1724">
            <v>202040207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</row>
        <row r="1725">
          <cell r="A1725">
            <v>202040208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</row>
        <row r="1726">
          <cell r="A1726">
            <v>202040209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</row>
        <row r="1727">
          <cell r="A1727">
            <v>202050000</v>
          </cell>
          <cell r="C1727">
            <v>0</v>
          </cell>
          <cell r="D1727">
            <v>0</v>
          </cell>
          <cell r="E1727">
            <v>0</v>
          </cell>
          <cell r="F1727">
            <v>1580582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</row>
        <row r="1728">
          <cell r="A1728">
            <v>202050100</v>
          </cell>
          <cell r="C1728">
            <v>0</v>
          </cell>
          <cell r="D1728">
            <v>0</v>
          </cell>
          <cell r="E1728">
            <v>0</v>
          </cell>
          <cell r="F1728">
            <v>1580582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</row>
        <row r="1729">
          <cell r="A1729">
            <v>202050101</v>
          </cell>
          <cell r="C1729">
            <v>0</v>
          </cell>
          <cell r="D1729">
            <v>0</v>
          </cell>
          <cell r="E1729">
            <v>0</v>
          </cell>
          <cell r="F1729">
            <v>1580582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</row>
        <row r="1730">
          <cell r="A1730">
            <v>202060000</v>
          </cell>
          <cell r="C1730">
            <v>0</v>
          </cell>
          <cell r="D1730">
            <v>0</v>
          </cell>
          <cell r="E1730">
            <v>0</v>
          </cell>
          <cell r="F1730">
            <v>3234215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</row>
        <row r="1731">
          <cell r="A1731">
            <v>202060100</v>
          </cell>
          <cell r="C1731">
            <v>0</v>
          </cell>
          <cell r="D1731">
            <v>0</v>
          </cell>
          <cell r="E1731">
            <v>0</v>
          </cell>
          <cell r="F1731">
            <v>3234215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</row>
        <row r="1732">
          <cell r="A1732">
            <v>202060101</v>
          </cell>
          <cell r="C1732">
            <v>0</v>
          </cell>
          <cell r="D1732">
            <v>0</v>
          </cell>
          <cell r="E1732">
            <v>0</v>
          </cell>
          <cell r="F1732">
            <v>3234215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</row>
        <row r="1733">
          <cell r="A1733">
            <v>202060102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</row>
        <row r="1734">
          <cell r="A1734">
            <v>203000000</v>
          </cell>
          <cell r="C1734">
            <v>311168936</v>
          </cell>
          <cell r="D1734">
            <v>551455252</v>
          </cell>
          <cell r="E1734">
            <v>59822649</v>
          </cell>
          <cell r="F1734">
            <v>417860009</v>
          </cell>
          <cell r="G1734">
            <v>717611845</v>
          </cell>
          <cell r="H1734">
            <v>202778945</v>
          </cell>
          <cell r="I1734">
            <v>122491218</v>
          </cell>
          <cell r="J1734">
            <v>320629922</v>
          </cell>
          <cell r="K1734">
            <v>69305287</v>
          </cell>
          <cell r="L1734">
            <v>110891882</v>
          </cell>
          <cell r="M1734">
            <v>72346147</v>
          </cell>
          <cell r="N1734">
            <v>8765690482</v>
          </cell>
          <cell r="O1734">
            <v>42213395</v>
          </cell>
          <cell r="P1734">
            <v>107282380</v>
          </cell>
          <cell r="Q1734">
            <v>94063061</v>
          </cell>
          <cell r="R1734">
            <v>453112191</v>
          </cell>
          <cell r="S1734">
            <v>72346147</v>
          </cell>
          <cell r="T1734">
            <v>95001991</v>
          </cell>
          <cell r="U1734">
            <v>0</v>
          </cell>
          <cell r="V1734">
            <v>10527902506</v>
          </cell>
          <cell r="W1734">
            <v>118621657</v>
          </cell>
          <cell r="X1734">
            <v>143805257</v>
          </cell>
          <cell r="Y1734">
            <v>304662838</v>
          </cell>
          <cell r="Z1734">
            <v>182144241</v>
          </cell>
          <cell r="AA1734">
            <v>570423437</v>
          </cell>
          <cell r="AB1734">
            <v>0</v>
          </cell>
          <cell r="AC1734">
            <v>72346130</v>
          </cell>
          <cell r="AD1734">
            <v>404496847</v>
          </cell>
          <cell r="AE1734">
            <v>27634139</v>
          </cell>
          <cell r="AF1734">
            <v>45154255</v>
          </cell>
          <cell r="AG1734">
            <v>94435928</v>
          </cell>
          <cell r="AH1734">
            <v>0</v>
          </cell>
          <cell r="AI1734">
            <v>0</v>
          </cell>
        </row>
        <row r="1735">
          <cell r="A1735">
            <v>203010000</v>
          </cell>
          <cell r="C1735">
            <v>311168936</v>
          </cell>
          <cell r="D1735">
            <v>551455252</v>
          </cell>
          <cell r="E1735">
            <v>59822649</v>
          </cell>
          <cell r="F1735">
            <v>417860009</v>
          </cell>
          <cell r="G1735">
            <v>717611845</v>
          </cell>
          <cell r="H1735">
            <v>202778945</v>
          </cell>
          <cell r="I1735">
            <v>122491218</v>
          </cell>
          <cell r="J1735">
            <v>320629922</v>
          </cell>
          <cell r="K1735">
            <v>69305287</v>
          </cell>
          <cell r="L1735">
            <v>110891882</v>
          </cell>
          <cell r="M1735">
            <v>72346147</v>
          </cell>
          <cell r="N1735">
            <v>8765690482</v>
          </cell>
          <cell r="O1735">
            <v>42213395</v>
          </cell>
          <cell r="P1735">
            <v>107282380</v>
          </cell>
          <cell r="Q1735">
            <v>94063061</v>
          </cell>
          <cell r="R1735">
            <v>453112191</v>
          </cell>
          <cell r="S1735">
            <v>72346147</v>
          </cell>
          <cell r="T1735">
            <v>95001991</v>
          </cell>
          <cell r="U1735">
            <v>0</v>
          </cell>
          <cell r="V1735">
            <v>10527902506</v>
          </cell>
          <cell r="W1735">
            <v>118621657</v>
          </cell>
          <cell r="X1735">
            <v>143805257</v>
          </cell>
          <cell r="Y1735">
            <v>304662838</v>
          </cell>
          <cell r="Z1735">
            <v>182144241</v>
          </cell>
          <cell r="AA1735">
            <v>570423437</v>
          </cell>
          <cell r="AB1735">
            <v>0</v>
          </cell>
          <cell r="AC1735">
            <v>72346130</v>
          </cell>
          <cell r="AD1735">
            <v>404496847</v>
          </cell>
          <cell r="AE1735">
            <v>27634139</v>
          </cell>
          <cell r="AF1735">
            <v>45154255</v>
          </cell>
          <cell r="AG1735">
            <v>94435928</v>
          </cell>
          <cell r="AH1735">
            <v>0</v>
          </cell>
          <cell r="AI1735">
            <v>0</v>
          </cell>
        </row>
        <row r="1736">
          <cell r="A1736">
            <v>203010100</v>
          </cell>
          <cell r="C1736">
            <v>284363392</v>
          </cell>
          <cell r="D1736">
            <v>455427936</v>
          </cell>
          <cell r="E1736">
            <v>14278394</v>
          </cell>
          <cell r="F1736">
            <v>336385778</v>
          </cell>
          <cell r="G1736">
            <v>5042114</v>
          </cell>
          <cell r="H1736">
            <v>123404162</v>
          </cell>
          <cell r="I1736">
            <v>50145071</v>
          </cell>
          <cell r="J1736">
            <v>0</v>
          </cell>
          <cell r="K1736">
            <v>0</v>
          </cell>
          <cell r="L1736">
            <v>38468735</v>
          </cell>
          <cell r="M1736">
            <v>0</v>
          </cell>
          <cell r="N1736">
            <v>7292365442</v>
          </cell>
          <cell r="O1736">
            <v>0</v>
          </cell>
          <cell r="P1736">
            <v>37976549</v>
          </cell>
          <cell r="Q1736">
            <v>21440709</v>
          </cell>
          <cell r="R1736">
            <v>383391952</v>
          </cell>
          <cell r="S1736">
            <v>0</v>
          </cell>
          <cell r="T1736">
            <v>30507886</v>
          </cell>
          <cell r="U1736">
            <v>0</v>
          </cell>
          <cell r="V1736">
            <v>10414105520</v>
          </cell>
          <cell r="W1736">
            <v>46054540</v>
          </cell>
          <cell r="X1736">
            <v>71459110</v>
          </cell>
          <cell r="Y1736">
            <v>4488397</v>
          </cell>
          <cell r="Z1736">
            <v>106228094</v>
          </cell>
          <cell r="AA1736">
            <v>197114379</v>
          </cell>
          <cell r="AB1736">
            <v>0</v>
          </cell>
          <cell r="AC1736">
            <v>0</v>
          </cell>
          <cell r="AD1736">
            <v>126742481</v>
          </cell>
          <cell r="AE1736">
            <v>26691747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</row>
        <row r="1737">
          <cell r="A1737">
            <v>203010101</v>
          </cell>
          <cell r="C1737">
            <v>284363392</v>
          </cell>
          <cell r="D1737">
            <v>308348960</v>
          </cell>
          <cell r="E1737">
            <v>3811793</v>
          </cell>
          <cell r="F1737">
            <v>238509750</v>
          </cell>
          <cell r="G1737">
            <v>3482112</v>
          </cell>
          <cell r="H1737">
            <v>28848893</v>
          </cell>
          <cell r="I1737">
            <v>8802256</v>
          </cell>
          <cell r="J1737">
            <v>0</v>
          </cell>
          <cell r="K1737">
            <v>0</v>
          </cell>
          <cell r="L1737">
            <v>38468735</v>
          </cell>
          <cell r="M1737">
            <v>0</v>
          </cell>
          <cell r="N1737">
            <v>357973267</v>
          </cell>
          <cell r="O1737">
            <v>0</v>
          </cell>
          <cell r="P1737">
            <v>12601170</v>
          </cell>
          <cell r="Q1737">
            <v>6560212</v>
          </cell>
          <cell r="R1737">
            <v>122938521</v>
          </cell>
          <cell r="S1737">
            <v>0</v>
          </cell>
          <cell r="T1737">
            <v>28999834</v>
          </cell>
          <cell r="U1737">
            <v>0</v>
          </cell>
          <cell r="V1737">
            <v>3073260734</v>
          </cell>
          <cell r="W1737">
            <v>26146968</v>
          </cell>
          <cell r="X1737">
            <v>39520000</v>
          </cell>
          <cell r="Y1737">
            <v>2826022</v>
          </cell>
          <cell r="Z1737">
            <v>24068235</v>
          </cell>
          <cell r="AA1737">
            <v>167016502</v>
          </cell>
          <cell r="AB1737">
            <v>0</v>
          </cell>
          <cell r="AC1737">
            <v>0</v>
          </cell>
          <cell r="AD1737">
            <v>0</v>
          </cell>
          <cell r="AE1737">
            <v>2706284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</row>
        <row r="1738">
          <cell r="A1738">
            <v>203010102</v>
          </cell>
          <cell r="C1738">
            <v>0</v>
          </cell>
          <cell r="D1738">
            <v>15961034</v>
          </cell>
          <cell r="E1738">
            <v>0</v>
          </cell>
          <cell r="F1738">
            <v>16896528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26538115</v>
          </cell>
          <cell r="O1738">
            <v>0</v>
          </cell>
          <cell r="P1738">
            <v>11810383</v>
          </cell>
          <cell r="Q1738">
            <v>0</v>
          </cell>
          <cell r="R1738">
            <v>0</v>
          </cell>
          <cell r="S1738">
            <v>0</v>
          </cell>
          <cell r="T1738">
            <v>1508052</v>
          </cell>
          <cell r="U1738">
            <v>0</v>
          </cell>
          <cell r="V1738">
            <v>690803117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11101520</v>
          </cell>
          <cell r="AB1738">
            <v>0</v>
          </cell>
          <cell r="AC1738">
            <v>0</v>
          </cell>
          <cell r="AD1738">
            <v>0</v>
          </cell>
          <cell r="AE1738">
            <v>1337516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</row>
        <row r="1739">
          <cell r="A1739">
            <v>203010103</v>
          </cell>
          <cell r="C1739">
            <v>0</v>
          </cell>
          <cell r="D1739">
            <v>401272</v>
          </cell>
          <cell r="E1739">
            <v>2145000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61814</v>
          </cell>
          <cell r="S1739">
            <v>0</v>
          </cell>
          <cell r="T1739">
            <v>0</v>
          </cell>
          <cell r="U1739">
            <v>0</v>
          </cell>
          <cell r="V1739">
            <v>174534564</v>
          </cell>
          <cell r="W1739">
            <v>0</v>
          </cell>
          <cell r="X1739">
            <v>0</v>
          </cell>
          <cell r="Y1739">
            <v>0</v>
          </cell>
          <cell r="Z1739">
            <v>4253037</v>
          </cell>
          <cell r="AA1739">
            <v>127090</v>
          </cell>
          <cell r="AB1739">
            <v>0</v>
          </cell>
          <cell r="AC1739">
            <v>0</v>
          </cell>
          <cell r="AD1739">
            <v>0</v>
          </cell>
          <cell r="AE1739">
            <v>110047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</row>
        <row r="1740">
          <cell r="A1740">
            <v>203010104</v>
          </cell>
          <cell r="C1740">
            <v>0</v>
          </cell>
          <cell r="D1740">
            <v>48968339</v>
          </cell>
          <cell r="E1740">
            <v>8321601</v>
          </cell>
          <cell r="F1740">
            <v>61983548</v>
          </cell>
          <cell r="G1740">
            <v>1560002</v>
          </cell>
          <cell r="H1740">
            <v>33818769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242840323</v>
          </cell>
          <cell r="O1740">
            <v>0</v>
          </cell>
          <cell r="P1740">
            <v>0</v>
          </cell>
          <cell r="Q1740">
            <v>0</v>
          </cell>
          <cell r="R1740">
            <v>71488676</v>
          </cell>
          <cell r="S1740">
            <v>0</v>
          </cell>
          <cell r="T1740">
            <v>0</v>
          </cell>
          <cell r="U1740">
            <v>0</v>
          </cell>
          <cell r="V1740">
            <v>920701869</v>
          </cell>
          <cell r="W1740">
            <v>17196780</v>
          </cell>
          <cell r="X1740">
            <v>0</v>
          </cell>
          <cell r="Y1740">
            <v>0</v>
          </cell>
          <cell r="Z1740">
            <v>76849998</v>
          </cell>
          <cell r="AA1740">
            <v>7760017</v>
          </cell>
          <cell r="AB1740">
            <v>0</v>
          </cell>
          <cell r="AC1740">
            <v>0</v>
          </cell>
          <cell r="AD1740">
            <v>0</v>
          </cell>
          <cell r="AE1740">
            <v>12880193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</row>
        <row r="1741">
          <cell r="A1741">
            <v>203010105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2801575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</row>
        <row r="1742">
          <cell r="A1742">
            <v>203010106</v>
          </cell>
          <cell r="C1742">
            <v>0</v>
          </cell>
          <cell r="D1742">
            <v>22550040</v>
          </cell>
          <cell r="E1742">
            <v>0</v>
          </cell>
          <cell r="F1742">
            <v>12898900</v>
          </cell>
          <cell r="G1742">
            <v>0</v>
          </cell>
          <cell r="H1742">
            <v>2488888</v>
          </cell>
          <cell r="I1742">
            <v>41342815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802123665</v>
          </cell>
          <cell r="O1742">
            <v>0</v>
          </cell>
          <cell r="P1742">
            <v>13564996</v>
          </cell>
          <cell r="Q1742">
            <v>6463680</v>
          </cell>
          <cell r="R1742">
            <v>92951259</v>
          </cell>
          <cell r="S1742">
            <v>0</v>
          </cell>
          <cell r="T1742">
            <v>0</v>
          </cell>
          <cell r="U1742">
            <v>0</v>
          </cell>
          <cell r="V1742">
            <v>381682990</v>
          </cell>
          <cell r="W1742">
            <v>90000</v>
          </cell>
          <cell r="X1742">
            <v>31939110</v>
          </cell>
          <cell r="Y1742">
            <v>1662375</v>
          </cell>
          <cell r="Z1742">
            <v>277199</v>
          </cell>
          <cell r="AA1742">
            <v>1121281</v>
          </cell>
          <cell r="AB1742">
            <v>0</v>
          </cell>
          <cell r="AC1742">
            <v>0</v>
          </cell>
          <cell r="AD1742">
            <v>0</v>
          </cell>
          <cell r="AE1742">
            <v>1356954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</row>
        <row r="1743">
          <cell r="A1743">
            <v>203010107</v>
          </cell>
          <cell r="C1743">
            <v>0</v>
          </cell>
          <cell r="D1743">
            <v>570150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51983412</v>
          </cell>
          <cell r="O1743">
            <v>0</v>
          </cell>
          <cell r="P1743">
            <v>0</v>
          </cell>
          <cell r="Q1743">
            <v>4266396</v>
          </cell>
          <cell r="R1743">
            <v>7928798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195200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</row>
        <row r="1744">
          <cell r="A1744">
            <v>203010108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-23964902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</row>
        <row r="1745">
          <cell r="A1745">
            <v>203010109</v>
          </cell>
          <cell r="C1745">
            <v>0</v>
          </cell>
          <cell r="D1745">
            <v>24969000</v>
          </cell>
          <cell r="E1745">
            <v>0</v>
          </cell>
          <cell r="F1745">
            <v>0</v>
          </cell>
          <cell r="G1745">
            <v>0</v>
          </cell>
          <cell r="H1745">
            <v>58247612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5339636978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4587459808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126742481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</row>
        <row r="1746">
          <cell r="A1746">
            <v>203010110</v>
          </cell>
          <cell r="C1746">
            <v>0</v>
          </cell>
          <cell r="D1746">
            <v>19360204</v>
          </cell>
          <cell r="E1746">
            <v>0</v>
          </cell>
          <cell r="F1746">
            <v>3655802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75773440</v>
          </cell>
          <cell r="O1746">
            <v>0</v>
          </cell>
          <cell r="P1746">
            <v>0</v>
          </cell>
          <cell r="Q1746">
            <v>4150421</v>
          </cell>
          <cell r="R1746">
            <v>27688857</v>
          </cell>
          <cell r="S1746">
            <v>0</v>
          </cell>
          <cell r="T1746">
            <v>0</v>
          </cell>
          <cell r="U1746">
            <v>0</v>
          </cell>
          <cell r="V1746">
            <v>336373000</v>
          </cell>
          <cell r="W1746">
            <v>2425592</v>
          </cell>
          <cell r="X1746">
            <v>0</v>
          </cell>
          <cell r="Y1746">
            <v>0</v>
          </cell>
          <cell r="Z1746">
            <v>779625</v>
          </cell>
          <cell r="AA1746">
            <v>7009434</v>
          </cell>
          <cell r="AB1746">
            <v>0</v>
          </cell>
          <cell r="AC1746">
            <v>0</v>
          </cell>
          <cell r="AD1746">
            <v>0</v>
          </cell>
          <cell r="AE1746">
            <v>1894433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</row>
        <row r="1747">
          <cell r="A1747">
            <v>203010111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4429773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101218509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</row>
        <row r="1748">
          <cell r="A1748">
            <v>203010112</v>
          </cell>
          <cell r="C1748">
            <v>0</v>
          </cell>
          <cell r="D1748">
            <v>14298937</v>
          </cell>
          <cell r="E1748">
            <v>0</v>
          </cell>
          <cell r="F1748">
            <v>2103750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266170131</v>
          </cell>
          <cell r="O1748">
            <v>0</v>
          </cell>
          <cell r="P1748">
            <v>0</v>
          </cell>
          <cell r="Q1748">
            <v>0</v>
          </cell>
          <cell r="R1748">
            <v>33850098</v>
          </cell>
          <cell r="S1748">
            <v>0</v>
          </cell>
          <cell r="T1748">
            <v>0</v>
          </cell>
          <cell r="U1748">
            <v>0</v>
          </cell>
          <cell r="V1748">
            <v>148070929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3604745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</row>
        <row r="1749">
          <cell r="A1749">
            <v>203010113</v>
          </cell>
          <cell r="C1749">
            <v>0</v>
          </cell>
          <cell r="D1749">
            <v>0</v>
          </cell>
          <cell r="E1749">
            <v>0</v>
          </cell>
          <cell r="F1749">
            <v>337500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148861240</v>
          </cell>
          <cell r="O1749">
            <v>0</v>
          </cell>
          <cell r="P1749">
            <v>0</v>
          </cell>
          <cell r="Q1749">
            <v>0</v>
          </cell>
          <cell r="R1749">
            <v>26483929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2978535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</row>
        <row r="1750">
          <cell r="A1750">
            <v>203010200</v>
          </cell>
          <cell r="C1750">
            <v>0</v>
          </cell>
          <cell r="D1750">
            <v>55371468</v>
          </cell>
          <cell r="E1750">
            <v>390000</v>
          </cell>
          <cell r="F1750">
            <v>9128084</v>
          </cell>
          <cell r="G1750">
            <v>0</v>
          </cell>
          <cell r="H1750">
            <v>39061411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559349401</v>
          </cell>
          <cell r="O1750">
            <v>0</v>
          </cell>
          <cell r="P1750">
            <v>0</v>
          </cell>
          <cell r="Q1750">
            <v>35317160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3570000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942392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</row>
        <row r="1751">
          <cell r="A1751">
            <v>203010201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609610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</row>
        <row r="1752">
          <cell r="A1752">
            <v>203010202</v>
          </cell>
          <cell r="C1752">
            <v>0</v>
          </cell>
          <cell r="D1752">
            <v>0</v>
          </cell>
          <cell r="E1752">
            <v>143000</v>
          </cell>
          <cell r="F1752">
            <v>0</v>
          </cell>
          <cell r="G1752">
            <v>0</v>
          </cell>
          <cell r="H1752">
            <v>322350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</row>
        <row r="1753">
          <cell r="A1753">
            <v>203010203</v>
          </cell>
          <cell r="C1753">
            <v>0</v>
          </cell>
          <cell r="D1753">
            <v>10760885</v>
          </cell>
          <cell r="E1753">
            <v>0</v>
          </cell>
          <cell r="F1753">
            <v>4632224</v>
          </cell>
          <cell r="G1753">
            <v>0</v>
          </cell>
          <cell r="H1753">
            <v>1686612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2103407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</row>
        <row r="1754">
          <cell r="A1754">
            <v>203010204</v>
          </cell>
          <cell r="C1754">
            <v>0</v>
          </cell>
          <cell r="D1754">
            <v>279500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18916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</row>
        <row r="1755">
          <cell r="A1755">
            <v>203010205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</row>
        <row r="1756">
          <cell r="A1756">
            <v>203010206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307346733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</row>
        <row r="1757">
          <cell r="A1757">
            <v>203010207</v>
          </cell>
          <cell r="C1757">
            <v>0</v>
          </cell>
          <cell r="D1757">
            <v>39666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</row>
        <row r="1758">
          <cell r="A1758">
            <v>203010210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</row>
        <row r="1759">
          <cell r="A1759">
            <v>203010211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</row>
        <row r="1760">
          <cell r="A1760">
            <v>203010212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</row>
        <row r="1761">
          <cell r="A1761">
            <v>203010213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</row>
        <row r="1762">
          <cell r="A1762">
            <v>203010214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</row>
        <row r="1763">
          <cell r="A1763">
            <v>203010215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</row>
        <row r="1764">
          <cell r="A1764">
            <v>203010216</v>
          </cell>
          <cell r="C1764">
            <v>0</v>
          </cell>
          <cell r="D1764">
            <v>12677091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</row>
        <row r="1765">
          <cell r="A1765">
            <v>203010218</v>
          </cell>
          <cell r="C1765">
            <v>0</v>
          </cell>
          <cell r="D1765">
            <v>1336063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</row>
        <row r="1766">
          <cell r="A1766">
            <v>203010219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843308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</row>
        <row r="1767">
          <cell r="A1767">
            <v>203010220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3277015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</row>
        <row r="1768">
          <cell r="A1768">
            <v>203010222</v>
          </cell>
          <cell r="C1768">
            <v>0</v>
          </cell>
          <cell r="D1768">
            <v>0</v>
          </cell>
          <cell r="E1768">
            <v>162500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390390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</row>
        <row r="1769">
          <cell r="A1769">
            <v>203010223</v>
          </cell>
          <cell r="C1769">
            <v>0</v>
          </cell>
          <cell r="D1769">
            <v>0</v>
          </cell>
          <cell r="E1769">
            <v>0</v>
          </cell>
          <cell r="F1769">
            <v>4495860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3570000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</row>
        <row r="1770">
          <cell r="A1770">
            <v>203010224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</row>
        <row r="1771">
          <cell r="A1771">
            <v>203010225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942392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</row>
        <row r="1772">
          <cell r="A1772">
            <v>203010226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</row>
        <row r="1773">
          <cell r="A1773">
            <v>203010228</v>
          </cell>
          <cell r="C1773">
            <v>0</v>
          </cell>
          <cell r="D1773">
            <v>12905910</v>
          </cell>
          <cell r="E1773">
            <v>0</v>
          </cell>
          <cell r="F1773">
            <v>0</v>
          </cell>
          <cell r="G1773">
            <v>0</v>
          </cell>
          <cell r="H1773">
            <v>36209141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245117621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</row>
        <row r="1774">
          <cell r="A1774">
            <v>203010230</v>
          </cell>
          <cell r="C1774">
            <v>0</v>
          </cell>
          <cell r="D1774">
            <v>1700635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3429351</v>
          </cell>
          <cell r="O1774">
            <v>0</v>
          </cell>
          <cell r="P1774">
            <v>0</v>
          </cell>
          <cell r="Q1774">
            <v>32040145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</row>
        <row r="1775">
          <cell r="A1775">
            <v>203010231</v>
          </cell>
          <cell r="C1775">
            <v>0</v>
          </cell>
          <cell r="D1775">
            <v>528822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28372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</row>
        <row r="1776">
          <cell r="A1776">
            <v>203010234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</row>
        <row r="1777">
          <cell r="A1777">
            <v>203010236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</row>
        <row r="1778">
          <cell r="A1778">
            <v>203010238</v>
          </cell>
          <cell r="C1778">
            <v>0</v>
          </cell>
          <cell r="D1778">
            <v>0</v>
          </cell>
          <cell r="E1778">
            <v>84500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</row>
        <row r="1779">
          <cell r="A1779">
            <v>203010243</v>
          </cell>
          <cell r="C1779">
            <v>0</v>
          </cell>
          <cell r="D1779">
            <v>1239205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</row>
        <row r="1780">
          <cell r="A1780">
            <v>203010245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</row>
        <row r="1781">
          <cell r="A1781">
            <v>203010247</v>
          </cell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</row>
        <row r="1782">
          <cell r="A1782">
            <v>203010249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</row>
        <row r="1783">
          <cell r="A1783">
            <v>203010250</v>
          </cell>
          <cell r="C1783">
            <v>0</v>
          </cell>
          <cell r="D1783">
            <v>13903691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</row>
        <row r="1784">
          <cell r="A1784">
            <v>203010254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</row>
        <row r="1785">
          <cell r="A1785">
            <v>203010255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</row>
        <row r="1786">
          <cell r="A1786">
            <v>203010256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</row>
        <row r="1787">
          <cell r="A1787">
            <v>203010257</v>
          </cell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305001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</row>
        <row r="1788">
          <cell r="A1788">
            <v>203010258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</row>
        <row r="1789">
          <cell r="A1789">
            <v>203010259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</row>
        <row r="1790">
          <cell r="A1790">
            <v>203010300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913975639</v>
          </cell>
          <cell r="O1790">
            <v>0</v>
          </cell>
          <cell r="P1790">
            <v>0</v>
          </cell>
          <cell r="Q1790">
            <v>0</v>
          </cell>
          <cell r="R1790">
            <v>4404500</v>
          </cell>
          <cell r="S1790">
            <v>0</v>
          </cell>
          <cell r="T1790">
            <v>0</v>
          </cell>
          <cell r="U1790">
            <v>0</v>
          </cell>
          <cell r="V1790">
            <v>125699769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</row>
        <row r="1791">
          <cell r="A1791">
            <v>203010301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</row>
        <row r="1792">
          <cell r="A1792">
            <v>203010302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</row>
        <row r="1793">
          <cell r="A1793">
            <v>203010303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913975639</v>
          </cell>
          <cell r="O1793">
            <v>0</v>
          </cell>
          <cell r="P1793">
            <v>0</v>
          </cell>
          <cell r="Q1793">
            <v>0</v>
          </cell>
          <cell r="R1793">
            <v>4404500</v>
          </cell>
          <cell r="S1793">
            <v>0</v>
          </cell>
          <cell r="T1793">
            <v>0</v>
          </cell>
          <cell r="U1793">
            <v>0</v>
          </cell>
          <cell r="V1793">
            <v>125699769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</row>
        <row r="1794">
          <cell r="A1794">
            <v>203010304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</row>
        <row r="1795">
          <cell r="A1795">
            <v>203010305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</row>
        <row r="1796">
          <cell r="A1796">
            <v>203010306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</row>
        <row r="1797">
          <cell r="A1797">
            <v>203010307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</row>
        <row r="1798">
          <cell r="A1798">
            <v>203010308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</row>
        <row r="1799">
          <cell r="A1799">
            <v>203010309</v>
          </cell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</row>
        <row r="1800">
          <cell r="A1800">
            <v>203010400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461020099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</row>
        <row r="1801">
          <cell r="A1801">
            <v>203010401</v>
          </cell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</row>
        <row r="1802">
          <cell r="A1802">
            <v>203010402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</row>
        <row r="1803">
          <cell r="A1803">
            <v>203010403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</row>
        <row r="1804">
          <cell r="A1804">
            <v>203010404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</row>
        <row r="1805">
          <cell r="A1805">
            <v>203010405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</row>
        <row r="1806">
          <cell r="A1806">
            <v>203010406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</row>
        <row r="1807">
          <cell r="A1807">
            <v>203010407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</row>
        <row r="1808">
          <cell r="A1808">
            <v>203010410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</row>
        <row r="1809">
          <cell r="A1809">
            <v>203010411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</row>
        <row r="1810">
          <cell r="A1810">
            <v>203010412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</row>
        <row r="1811">
          <cell r="A1811">
            <v>203010413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</row>
        <row r="1812">
          <cell r="A1812">
            <v>203010414</v>
          </cell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</row>
        <row r="1813">
          <cell r="A1813">
            <v>203010415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</row>
        <row r="1814">
          <cell r="A1814">
            <v>203010416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</row>
        <row r="1815">
          <cell r="A1815">
            <v>203010418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211300879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</row>
        <row r="1816">
          <cell r="A1816">
            <v>203010419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</row>
        <row r="1817">
          <cell r="A1817">
            <v>203010420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</row>
        <row r="1818">
          <cell r="A1818">
            <v>203010422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</row>
        <row r="1819">
          <cell r="A1819">
            <v>203010423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</row>
        <row r="1820">
          <cell r="A1820">
            <v>203010424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</row>
        <row r="1821">
          <cell r="A1821">
            <v>203010425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</row>
        <row r="1822">
          <cell r="A1822">
            <v>203010426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</row>
        <row r="1823">
          <cell r="A1823">
            <v>203010428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249719220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</row>
        <row r="1824">
          <cell r="A1824">
            <v>203010430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</row>
        <row r="1825">
          <cell r="A1825">
            <v>203010431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</row>
        <row r="1826">
          <cell r="A1826">
            <v>203010434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</row>
        <row r="1827">
          <cell r="A1827">
            <v>203010436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</row>
        <row r="1828">
          <cell r="A1828">
            <v>203010438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</row>
        <row r="1829">
          <cell r="A1829">
            <v>203010443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</row>
        <row r="1830">
          <cell r="A1830">
            <v>203010445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</row>
        <row r="1831">
          <cell r="A1831">
            <v>203010447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</row>
        <row r="1832">
          <cell r="A1832">
            <v>203010449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</row>
        <row r="1833">
          <cell r="A1833">
            <v>203010450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</row>
        <row r="1834">
          <cell r="A1834">
            <v>203010454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</row>
        <row r="1835">
          <cell r="A1835">
            <v>203010455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</row>
        <row r="1836">
          <cell r="A1836">
            <v>203010456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</row>
        <row r="1837">
          <cell r="A1837">
            <v>203010457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</row>
        <row r="1838">
          <cell r="A1838">
            <v>203010458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</row>
        <row r="1839">
          <cell r="A1839">
            <v>203010459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</row>
        <row r="1840">
          <cell r="A1840">
            <v>203011000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77000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-11902783</v>
          </cell>
          <cell r="W1840">
            <v>220909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</row>
        <row r="1841">
          <cell r="A1841">
            <v>203011001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</row>
        <row r="1842">
          <cell r="A1842">
            <v>203011002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</row>
        <row r="1843">
          <cell r="A1843">
            <v>203011003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77000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</row>
        <row r="1844">
          <cell r="A1844">
            <v>203011004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-100000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</row>
        <row r="1845">
          <cell r="A1845">
            <v>203011005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</row>
        <row r="1846">
          <cell r="A1846">
            <v>203011006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</row>
        <row r="1847">
          <cell r="A1847">
            <v>203011007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</row>
        <row r="1848">
          <cell r="A1848">
            <v>203011010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</row>
        <row r="1849">
          <cell r="A1849">
            <v>203011011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</row>
        <row r="1850">
          <cell r="A1850">
            <v>203011012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</row>
        <row r="1851">
          <cell r="A1851">
            <v>203011013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</row>
        <row r="1852">
          <cell r="A1852">
            <v>203011014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</row>
        <row r="1853">
          <cell r="A1853">
            <v>203011015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</row>
        <row r="1854">
          <cell r="A1854">
            <v>203011016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</row>
        <row r="1855">
          <cell r="A1855">
            <v>203011018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-5435410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</row>
        <row r="1856">
          <cell r="A1856">
            <v>203011019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-2451978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</row>
        <row r="1857">
          <cell r="A1857">
            <v>203011020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</row>
        <row r="1858">
          <cell r="A1858">
            <v>203011022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</row>
        <row r="1859">
          <cell r="A1859">
            <v>203011023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220909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</row>
        <row r="1860">
          <cell r="A1860">
            <v>203011024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</row>
        <row r="1861">
          <cell r="A1861">
            <v>203011025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</row>
        <row r="1862">
          <cell r="A1862">
            <v>203011026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</row>
        <row r="1863">
          <cell r="A1863">
            <v>203011028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</row>
        <row r="1864">
          <cell r="A1864">
            <v>203011030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</row>
        <row r="1865">
          <cell r="A1865">
            <v>203011031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</row>
        <row r="1866">
          <cell r="A1866">
            <v>203011034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</row>
        <row r="1867">
          <cell r="A1867">
            <v>203011036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</row>
        <row r="1868">
          <cell r="A1868">
            <v>203011038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</row>
        <row r="1869">
          <cell r="A1869">
            <v>203011043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</row>
        <row r="1870">
          <cell r="A1870">
            <v>203011045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</row>
        <row r="1871">
          <cell r="A1871">
            <v>203011047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</row>
        <row r="1872">
          <cell r="A1872">
            <v>203011049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</row>
        <row r="1873">
          <cell r="A1873">
            <v>203011050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-3915395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</row>
        <row r="1874">
          <cell r="A1874">
            <v>203011054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</row>
        <row r="1875">
          <cell r="A1875">
            <v>203011055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</row>
        <row r="1876">
          <cell r="A1876">
            <v>203011056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</row>
        <row r="1877">
          <cell r="A1877">
            <v>203011057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</row>
        <row r="1878">
          <cell r="A1878">
            <v>203011058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</row>
        <row r="1879">
          <cell r="A1879">
            <v>203011059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</row>
        <row r="1880">
          <cell r="A1880">
            <v>203011100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</row>
        <row r="1881">
          <cell r="A1881">
            <v>203011101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</row>
        <row r="1882">
          <cell r="A1882">
            <v>203011102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</row>
        <row r="1883">
          <cell r="A1883">
            <v>203011103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</row>
        <row r="1884">
          <cell r="A1884">
            <v>203011104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</row>
        <row r="1885">
          <cell r="A1885">
            <v>203011105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</row>
        <row r="1886">
          <cell r="A1886">
            <v>203011106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</row>
        <row r="1887">
          <cell r="A1887">
            <v>203011107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</row>
        <row r="1888">
          <cell r="A1888">
            <v>203011110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</row>
        <row r="1889">
          <cell r="A1889">
            <v>203011111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</row>
        <row r="1890">
          <cell r="A1890">
            <v>203011112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</row>
        <row r="1891">
          <cell r="A1891">
            <v>203011113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</row>
        <row r="1892">
          <cell r="A1892">
            <v>203011114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</row>
        <row r="1893">
          <cell r="A1893">
            <v>203011115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</row>
        <row r="1894">
          <cell r="A1894">
            <v>203011116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</row>
        <row r="1895">
          <cell r="A1895">
            <v>203011118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</row>
        <row r="1896">
          <cell r="A1896">
            <v>203011119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</row>
        <row r="1897">
          <cell r="A1897">
            <v>203011120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</row>
        <row r="1898">
          <cell r="A1898">
            <v>203011122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</row>
        <row r="1899">
          <cell r="A1899">
            <v>203011123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</row>
        <row r="1900">
          <cell r="A1900">
            <v>203011124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</row>
        <row r="1901">
          <cell r="A1901">
            <v>203011125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</row>
        <row r="1902">
          <cell r="A1902">
            <v>203011126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</row>
        <row r="1903">
          <cell r="A1903">
            <v>203011128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</row>
        <row r="1904">
          <cell r="A1904">
            <v>203011130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</row>
        <row r="1905">
          <cell r="A1905">
            <v>203011131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</row>
        <row r="1906">
          <cell r="A1906">
            <v>203011134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</row>
        <row r="1907">
          <cell r="A1907">
            <v>203011136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</row>
        <row r="1908">
          <cell r="A1908">
            <v>203011138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</row>
        <row r="1909">
          <cell r="A1909">
            <v>203011143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</row>
        <row r="1910">
          <cell r="A1910">
            <v>203011145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</row>
        <row r="1911">
          <cell r="A1911">
            <v>203011147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</row>
        <row r="1912">
          <cell r="A1912">
            <v>203011149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</row>
        <row r="1913">
          <cell r="A1913">
            <v>203011150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</row>
        <row r="1914">
          <cell r="A1914">
            <v>203011154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</row>
        <row r="1915">
          <cell r="A1915">
            <v>203011155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</row>
        <row r="1916">
          <cell r="A1916">
            <v>203011156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</row>
        <row r="1917">
          <cell r="A1917">
            <v>203011157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</row>
        <row r="1918">
          <cell r="A1918">
            <v>203011158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</row>
        <row r="1919">
          <cell r="A1919">
            <v>203011159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</row>
        <row r="1920">
          <cell r="A1920">
            <v>203011200</v>
          </cell>
          <cell r="C1920">
            <v>26805544</v>
          </cell>
          <cell r="D1920">
            <v>40655848</v>
          </cell>
          <cell r="E1920">
            <v>45154255</v>
          </cell>
          <cell r="F1920">
            <v>72346147</v>
          </cell>
          <cell r="G1920">
            <v>251549632</v>
          </cell>
          <cell r="H1920">
            <v>40313372</v>
          </cell>
          <cell r="I1920">
            <v>72346147</v>
          </cell>
          <cell r="J1920">
            <v>320629922</v>
          </cell>
          <cell r="K1920">
            <v>69305287</v>
          </cell>
          <cell r="L1920">
            <v>72346147</v>
          </cell>
          <cell r="M1920">
            <v>72346147</v>
          </cell>
          <cell r="N1920">
            <v>0</v>
          </cell>
          <cell r="O1920">
            <v>42213395</v>
          </cell>
          <cell r="P1920">
            <v>69305831</v>
          </cell>
          <cell r="Q1920">
            <v>37305192</v>
          </cell>
          <cell r="R1920">
            <v>65315739</v>
          </cell>
          <cell r="S1920">
            <v>72346147</v>
          </cell>
          <cell r="T1920">
            <v>64494105</v>
          </cell>
          <cell r="U1920">
            <v>0</v>
          </cell>
          <cell r="V1920">
            <v>0</v>
          </cell>
          <cell r="W1920">
            <v>72346208</v>
          </cell>
          <cell r="X1920">
            <v>72346147</v>
          </cell>
          <cell r="Y1920">
            <v>300174441</v>
          </cell>
          <cell r="Z1920">
            <v>72346147</v>
          </cell>
          <cell r="AA1920">
            <v>373309058</v>
          </cell>
          <cell r="AB1920">
            <v>0</v>
          </cell>
          <cell r="AC1920">
            <v>72346130</v>
          </cell>
          <cell r="AD1920">
            <v>277754366</v>
          </cell>
          <cell r="AE1920">
            <v>0</v>
          </cell>
          <cell r="AF1920">
            <v>45154255</v>
          </cell>
          <cell r="AG1920">
            <v>94435928</v>
          </cell>
          <cell r="AH1920">
            <v>0</v>
          </cell>
          <cell r="AI1920">
            <v>0</v>
          </cell>
        </row>
        <row r="1921">
          <cell r="A1921">
            <v>203011201</v>
          </cell>
          <cell r="C1921">
            <v>26805544</v>
          </cell>
          <cell r="D1921">
            <v>0</v>
          </cell>
          <cell r="E1921">
            <v>0</v>
          </cell>
          <cell r="F1921">
            <v>27191892</v>
          </cell>
          <cell r="G1921">
            <v>0</v>
          </cell>
          <cell r="H1921">
            <v>25148123</v>
          </cell>
          <cell r="I1921">
            <v>27191892</v>
          </cell>
          <cell r="J1921">
            <v>0</v>
          </cell>
          <cell r="K1921">
            <v>27091892</v>
          </cell>
          <cell r="L1921">
            <v>27191892</v>
          </cell>
          <cell r="M1921">
            <v>27191892</v>
          </cell>
          <cell r="N1921">
            <v>0</v>
          </cell>
          <cell r="O1921">
            <v>0</v>
          </cell>
          <cell r="P1921">
            <v>27091892</v>
          </cell>
          <cell r="Q1921">
            <v>0</v>
          </cell>
          <cell r="R1921">
            <v>25148826</v>
          </cell>
          <cell r="S1921">
            <v>27191892</v>
          </cell>
          <cell r="T1921">
            <v>0</v>
          </cell>
          <cell r="U1921">
            <v>0</v>
          </cell>
          <cell r="V1921">
            <v>0</v>
          </cell>
          <cell r="W1921">
            <v>20579306</v>
          </cell>
          <cell r="X1921">
            <v>27191892</v>
          </cell>
          <cell r="Y1921">
            <v>0</v>
          </cell>
          <cell r="Z1921">
            <v>27191892</v>
          </cell>
          <cell r="AA1921">
            <v>113051264</v>
          </cell>
          <cell r="AB1921">
            <v>0</v>
          </cell>
          <cell r="AC1921">
            <v>27191892</v>
          </cell>
          <cell r="AD1921">
            <v>0</v>
          </cell>
          <cell r="AE1921">
            <v>0</v>
          </cell>
          <cell r="AF1921">
            <v>0</v>
          </cell>
          <cell r="AG1921">
            <v>27191892</v>
          </cell>
          <cell r="AH1921">
            <v>0</v>
          </cell>
          <cell r="AI1921">
            <v>0</v>
          </cell>
        </row>
        <row r="1922">
          <cell r="A1922">
            <v>203011202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237098518</v>
          </cell>
          <cell r="AE1922">
            <v>0</v>
          </cell>
          <cell r="AF1922">
            <v>0</v>
          </cell>
          <cell r="AG1922">
            <v>22089781</v>
          </cell>
          <cell r="AH1922">
            <v>0</v>
          </cell>
          <cell r="AI1922">
            <v>0</v>
          </cell>
        </row>
        <row r="1923">
          <cell r="A1923">
            <v>203011203</v>
          </cell>
          <cell r="C1923">
            <v>0</v>
          </cell>
          <cell r="D1923">
            <v>40655848</v>
          </cell>
          <cell r="E1923">
            <v>45154255</v>
          </cell>
          <cell r="F1923">
            <v>45154255</v>
          </cell>
          <cell r="G1923">
            <v>42213395</v>
          </cell>
          <cell r="H1923">
            <v>15165249</v>
          </cell>
          <cell r="I1923">
            <v>45154255</v>
          </cell>
          <cell r="J1923">
            <v>235066658</v>
          </cell>
          <cell r="K1923">
            <v>42213395</v>
          </cell>
          <cell r="L1923">
            <v>45154255</v>
          </cell>
          <cell r="M1923">
            <v>45154255</v>
          </cell>
          <cell r="N1923">
            <v>0</v>
          </cell>
          <cell r="O1923">
            <v>42213395</v>
          </cell>
          <cell r="P1923">
            <v>42213939</v>
          </cell>
          <cell r="Q1923">
            <v>37305192</v>
          </cell>
          <cell r="R1923">
            <v>40166913</v>
          </cell>
          <cell r="S1923">
            <v>45154255</v>
          </cell>
          <cell r="T1923">
            <v>64494105</v>
          </cell>
          <cell r="U1923">
            <v>0</v>
          </cell>
          <cell r="V1923">
            <v>0</v>
          </cell>
          <cell r="W1923">
            <v>51766902</v>
          </cell>
          <cell r="X1923">
            <v>45154255</v>
          </cell>
          <cell r="Y1923">
            <v>45154255</v>
          </cell>
          <cell r="Z1923">
            <v>45154255</v>
          </cell>
          <cell r="AA1923">
            <v>260257794</v>
          </cell>
          <cell r="AB1923">
            <v>0</v>
          </cell>
          <cell r="AC1923">
            <v>45154238</v>
          </cell>
          <cell r="AD1923">
            <v>40655848</v>
          </cell>
          <cell r="AE1923">
            <v>0</v>
          </cell>
          <cell r="AF1923">
            <v>45154255</v>
          </cell>
          <cell r="AG1923">
            <v>45154255</v>
          </cell>
          <cell r="AH1923">
            <v>0</v>
          </cell>
          <cell r="AI1923">
            <v>0</v>
          </cell>
        </row>
        <row r="1924">
          <cell r="A1924">
            <v>203011204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209336237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169456922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</row>
        <row r="1925">
          <cell r="A1925">
            <v>203011205</v>
          </cell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85563264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85563264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</row>
        <row r="1926">
          <cell r="A1926">
            <v>204000000</v>
          </cell>
          <cell r="C1926">
            <v>7105753</v>
          </cell>
          <cell r="D1926">
            <v>350831001</v>
          </cell>
          <cell r="E1926">
            <v>62985571</v>
          </cell>
          <cell r="F1926">
            <v>78111010</v>
          </cell>
          <cell r="G1926">
            <v>73193424</v>
          </cell>
          <cell r="H1926">
            <v>288463789</v>
          </cell>
          <cell r="I1926">
            <v>118101544</v>
          </cell>
          <cell r="J1926">
            <v>147649961</v>
          </cell>
          <cell r="K1926">
            <v>2484067</v>
          </cell>
          <cell r="L1926">
            <v>0</v>
          </cell>
          <cell r="M1926">
            <v>6499846</v>
          </cell>
          <cell r="N1926">
            <v>1520885242</v>
          </cell>
          <cell r="O1926">
            <v>187242906</v>
          </cell>
          <cell r="P1926">
            <v>59765689</v>
          </cell>
          <cell r="Q1926">
            <v>13121188</v>
          </cell>
          <cell r="R1926">
            <v>302198402</v>
          </cell>
          <cell r="S1926">
            <v>4851027</v>
          </cell>
          <cell r="T1926">
            <v>0</v>
          </cell>
          <cell r="U1926">
            <v>0</v>
          </cell>
          <cell r="V1926">
            <v>66597784</v>
          </cell>
          <cell r="W1926">
            <v>180466502</v>
          </cell>
          <cell r="X1926">
            <v>42764760</v>
          </cell>
          <cell r="Y1926">
            <v>22828257</v>
          </cell>
          <cell r="Z1926">
            <v>0</v>
          </cell>
          <cell r="AA1926">
            <v>82768314</v>
          </cell>
          <cell r="AB1926">
            <v>296539796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2100000</v>
          </cell>
          <cell r="AH1926">
            <v>0</v>
          </cell>
          <cell r="AI1926">
            <v>0</v>
          </cell>
        </row>
        <row r="1927">
          <cell r="A1927">
            <v>204010000</v>
          </cell>
          <cell r="C1927">
            <v>7105753</v>
          </cell>
          <cell r="D1927">
            <v>350831000</v>
          </cell>
          <cell r="E1927">
            <v>62985571</v>
          </cell>
          <cell r="F1927">
            <v>38352028</v>
          </cell>
          <cell r="G1927">
            <v>73193424</v>
          </cell>
          <cell r="H1927">
            <v>288463789</v>
          </cell>
          <cell r="I1927">
            <v>118101544</v>
          </cell>
          <cell r="J1927">
            <v>100647865</v>
          </cell>
          <cell r="K1927">
            <v>0</v>
          </cell>
          <cell r="L1927">
            <v>0</v>
          </cell>
          <cell r="M1927">
            <v>6499846</v>
          </cell>
          <cell r="N1927">
            <v>1520885242</v>
          </cell>
          <cell r="O1927">
            <v>176383834</v>
          </cell>
          <cell r="P1927">
            <v>59765689</v>
          </cell>
          <cell r="Q1927">
            <v>13121188</v>
          </cell>
          <cell r="R1927">
            <v>119193533</v>
          </cell>
          <cell r="S1927">
            <v>4851027</v>
          </cell>
          <cell r="T1927">
            <v>0</v>
          </cell>
          <cell r="U1927">
            <v>0</v>
          </cell>
          <cell r="V1927">
            <v>66597784</v>
          </cell>
          <cell r="W1927">
            <v>180466502</v>
          </cell>
          <cell r="X1927">
            <v>28537564</v>
          </cell>
          <cell r="Y1927">
            <v>9485118</v>
          </cell>
          <cell r="Z1927">
            <v>0</v>
          </cell>
          <cell r="AA1927">
            <v>82768314</v>
          </cell>
          <cell r="AB1927">
            <v>207173241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</row>
        <row r="1928">
          <cell r="A1928">
            <v>204010100</v>
          </cell>
          <cell r="C1928">
            <v>7105753</v>
          </cell>
          <cell r="D1928">
            <v>350831000</v>
          </cell>
          <cell r="E1928">
            <v>62985571</v>
          </cell>
          <cell r="F1928">
            <v>15222274</v>
          </cell>
          <cell r="G1928">
            <v>72557106</v>
          </cell>
          <cell r="H1928">
            <v>272543977</v>
          </cell>
          <cell r="I1928">
            <v>118101544</v>
          </cell>
          <cell r="J1928">
            <v>72471175</v>
          </cell>
          <cell r="K1928">
            <v>0</v>
          </cell>
          <cell r="L1928">
            <v>0</v>
          </cell>
          <cell r="M1928">
            <v>6499846</v>
          </cell>
          <cell r="N1928">
            <v>1156950877</v>
          </cell>
          <cell r="O1928">
            <v>89348298</v>
          </cell>
          <cell r="P1928">
            <v>59765689</v>
          </cell>
          <cell r="Q1928">
            <v>12208636</v>
          </cell>
          <cell r="R1928">
            <v>119193533</v>
          </cell>
          <cell r="S1928">
            <v>0</v>
          </cell>
          <cell r="T1928">
            <v>0</v>
          </cell>
          <cell r="U1928">
            <v>0</v>
          </cell>
          <cell r="V1928">
            <v>66597784</v>
          </cell>
          <cell r="W1928">
            <v>120912092</v>
          </cell>
          <cell r="X1928">
            <v>28537564</v>
          </cell>
          <cell r="Y1928">
            <v>0</v>
          </cell>
          <cell r="Z1928">
            <v>0</v>
          </cell>
          <cell r="AA1928">
            <v>55174647</v>
          </cell>
          <cell r="AB1928">
            <v>207173241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</row>
        <row r="1929">
          <cell r="A1929">
            <v>204010101</v>
          </cell>
          <cell r="C1929">
            <v>7105753</v>
          </cell>
          <cell r="D1929">
            <v>62411907</v>
          </cell>
          <cell r="E1929">
            <v>34712508</v>
          </cell>
          <cell r="F1929">
            <v>2640000</v>
          </cell>
          <cell r="G1929">
            <v>11707156</v>
          </cell>
          <cell r="H1929">
            <v>105605341</v>
          </cell>
          <cell r="I1929">
            <v>13636102</v>
          </cell>
          <cell r="J1929">
            <v>36000946</v>
          </cell>
          <cell r="K1929">
            <v>0</v>
          </cell>
          <cell r="L1929">
            <v>0</v>
          </cell>
          <cell r="M1929">
            <v>6499846</v>
          </cell>
          <cell r="N1929">
            <v>185420312</v>
          </cell>
          <cell r="O1929">
            <v>32613925</v>
          </cell>
          <cell r="P1929">
            <v>50930334</v>
          </cell>
          <cell r="Q1929">
            <v>3694609</v>
          </cell>
          <cell r="R1929">
            <v>16397215</v>
          </cell>
          <cell r="S1929">
            <v>0</v>
          </cell>
          <cell r="T1929">
            <v>0</v>
          </cell>
          <cell r="U1929">
            <v>0</v>
          </cell>
          <cell r="V1929">
            <v>40111603</v>
          </cell>
          <cell r="W1929">
            <v>4867035</v>
          </cell>
          <cell r="X1929">
            <v>7906540</v>
          </cell>
          <cell r="Y1929">
            <v>0</v>
          </cell>
          <cell r="Z1929">
            <v>0</v>
          </cell>
          <cell r="AA1929">
            <v>31045566</v>
          </cell>
          <cell r="AB1929">
            <v>36801200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</row>
        <row r="1930">
          <cell r="A1930">
            <v>204010102</v>
          </cell>
          <cell r="C1930">
            <v>0</v>
          </cell>
          <cell r="D1930">
            <v>0</v>
          </cell>
          <cell r="E1930">
            <v>1151999</v>
          </cell>
          <cell r="F1930">
            <v>0</v>
          </cell>
          <cell r="G1930">
            <v>2374910</v>
          </cell>
          <cell r="H1930">
            <v>5583949</v>
          </cell>
          <cell r="I1930">
            <v>4091119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120855105</v>
          </cell>
          <cell r="O1930">
            <v>0</v>
          </cell>
          <cell r="P1930">
            <v>8619949</v>
          </cell>
          <cell r="Q1930">
            <v>8056788</v>
          </cell>
          <cell r="R1930">
            <v>36428091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6213730</v>
          </cell>
          <cell r="Y1930">
            <v>0</v>
          </cell>
          <cell r="Z1930">
            <v>0</v>
          </cell>
          <cell r="AA1930">
            <v>14395690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</row>
        <row r="1931">
          <cell r="A1931">
            <v>204010103</v>
          </cell>
          <cell r="C1931">
            <v>0</v>
          </cell>
          <cell r="D1931">
            <v>0</v>
          </cell>
          <cell r="E1931">
            <v>0</v>
          </cell>
          <cell r="F1931">
            <v>71500</v>
          </cell>
          <cell r="G1931">
            <v>0</v>
          </cell>
          <cell r="H1931">
            <v>43474104</v>
          </cell>
          <cell r="I1931">
            <v>0</v>
          </cell>
          <cell r="J1931">
            <v>813167</v>
          </cell>
          <cell r="K1931">
            <v>0</v>
          </cell>
          <cell r="L1931">
            <v>0</v>
          </cell>
          <cell r="M1931">
            <v>0</v>
          </cell>
          <cell r="N1931">
            <v>12447496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112500</v>
          </cell>
          <cell r="W1931">
            <v>103575</v>
          </cell>
          <cell r="X1931">
            <v>0</v>
          </cell>
          <cell r="Y1931">
            <v>0</v>
          </cell>
          <cell r="Z1931">
            <v>0</v>
          </cell>
          <cell r="AA1931">
            <v>226875</v>
          </cell>
          <cell r="AB1931">
            <v>1964000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</row>
        <row r="1932">
          <cell r="A1932">
            <v>204010104</v>
          </cell>
          <cell r="C1932">
            <v>0</v>
          </cell>
          <cell r="D1932">
            <v>191296315</v>
          </cell>
          <cell r="E1932">
            <v>16201227</v>
          </cell>
          <cell r="F1932">
            <v>143000</v>
          </cell>
          <cell r="G1932">
            <v>38700005</v>
          </cell>
          <cell r="H1932">
            <v>29861636</v>
          </cell>
          <cell r="I1932">
            <v>99374323</v>
          </cell>
          <cell r="J1932">
            <v>35657062</v>
          </cell>
          <cell r="K1932">
            <v>0</v>
          </cell>
          <cell r="L1932">
            <v>0</v>
          </cell>
          <cell r="M1932">
            <v>0</v>
          </cell>
          <cell r="N1932">
            <v>386030663</v>
          </cell>
          <cell r="O1932">
            <v>0</v>
          </cell>
          <cell r="P1932">
            <v>0</v>
          </cell>
          <cell r="Q1932">
            <v>0</v>
          </cell>
          <cell r="R1932">
            <v>6718228</v>
          </cell>
          <cell r="S1932">
            <v>0</v>
          </cell>
          <cell r="T1932">
            <v>0</v>
          </cell>
          <cell r="U1932">
            <v>0</v>
          </cell>
          <cell r="V1932">
            <v>25830313</v>
          </cell>
          <cell r="W1932">
            <v>96847275</v>
          </cell>
          <cell r="X1932">
            <v>607742</v>
          </cell>
          <cell r="Y1932">
            <v>0</v>
          </cell>
          <cell r="Z1932">
            <v>0</v>
          </cell>
          <cell r="AA1932">
            <v>0</v>
          </cell>
          <cell r="AB1932">
            <v>79940484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</row>
        <row r="1933">
          <cell r="A1933">
            <v>204010105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</row>
        <row r="1934">
          <cell r="A1934">
            <v>204010106</v>
          </cell>
          <cell r="C1934">
            <v>0</v>
          </cell>
          <cell r="D1934">
            <v>14680919</v>
          </cell>
          <cell r="E1934">
            <v>9249085</v>
          </cell>
          <cell r="F1934">
            <v>0</v>
          </cell>
          <cell r="G1934">
            <v>7388122</v>
          </cell>
          <cell r="H1934">
            <v>3675036</v>
          </cell>
          <cell r="I1934">
            <v>1000000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130722425</v>
          </cell>
          <cell r="O1934">
            <v>0</v>
          </cell>
          <cell r="P1934">
            <v>215406</v>
          </cell>
          <cell r="Q1934">
            <v>19200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543368</v>
          </cell>
          <cell r="W1934">
            <v>-58525</v>
          </cell>
          <cell r="X1934">
            <v>3866500</v>
          </cell>
          <cell r="Y1934">
            <v>0</v>
          </cell>
          <cell r="Z1934">
            <v>0</v>
          </cell>
          <cell r="AA1934">
            <v>7986000</v>
          </cell>
          <cell r="AB1934">
            <v>7680006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</row>
        <row r="1935">
          <cell r="A1935">
            <v>204010107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1324400</v>
          </cell>
          <cell r="H1935">
            <v>4540288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40000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3408688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</row>
        <row r="1936">
          <cell r="A1936">
            <v>204010108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</row>
        <row r="1937">
          <cell r="A1937">
            <v>204010109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7474609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53533339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326274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</row>
        <row r="1938">
          <cell r="A1938">
            <v>204010110</v>
          </cell>
          <cell r="C1938">
            <v>0</v>
          </cell>
          <cell r="D1938">
            <v>0</v>
          </cell>
          <cell r="E1938">
            <v>1670752</v>
          </cell>
          <cell r="F1938">
            <v>0</v>
          </cell>
          <cell r="G1938">
            <v>1230313</v>
          </cell>
          <cell r="H1938">
            <v>18790047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37959942</v>
          </cell>
          <cell r="O1938">
            <v>27515623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</row>
        <row r="1939">
          <cell r="A1939">
            <v>204010111</v>
          </cell>
          <cell r="C1939">
            <v>0</v>
          </cell>
          <cell r="D1939">
            <v>4708440</v>
          </cell>
          <cell r="E1939">
            <v>0</v>
          </cell>
          <cell r="F1939">
            <v>0</v>
          </cell>
          <cell r="G1939">
            <v>1757590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63197954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</row>
        <row r="1940">
          <cell r="A1940">
            <v>204010112</v>
          </cell>
          <cell r="C1940">
            <v>0</v>
          </cell>
          <cell r="D1940">
            <v>0</v>
          </cell>
          <cell r="E1940">
            <v>0</v>
          </cell>
          <cell r="F1940">
            <v>2562560</v>
          </cell>
          <cell r="G1940">
            <v>0</v>
          </cell>
          <cell r="H1940">
            <v>61013576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30819308</v>
          </cell>
          <cell r="O1940">
            <v>0</v>
          </cell>
          <cell r="P1940">
            <v>0</v>
          </cell>
          <cell r="Q1940">
            <v>322483</v>
          </cell>
          <cell r="R1940">
            <v>11253055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9943052</v>
          </cell>
          <cell r="Y1940">
            <v>0</v>
          </cell>
          <cell r="Z1940">
            <v>0</v>
          </cell>
          <cell r="AA1940">
            <v>726000</v>
          </cell>
          <cell r="AB1940">
            <v>8398688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</row>
        <row r="1941">
          <cell r="A1941">
            <v>204010113</v>
          </cell>
          <cell r="C1941">
            <v>0</v>
          </cell>
          <cell r="D1941">
            <v>77733419</v>
          </cell>
          <cell r="E1941">
            <v>0</v>
          </cell>
          <cell r="F1941">
            <v>9805214</v>
          </cell>
          <cell r="G1941">
            <v>600001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135924333</v>
          </cell>
          <cell r="O1941">
            <v>29218750</v>
          </cell>
          <cell r="P1941">
            <v>0</v>
          </cell>
          <cell r="Q1941">
            <v>115556</v>
          </cell>
          <cell r="R1941">
            <v>48396944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18826458</v>
          </cell>
          <cell r="X1941">
            <v>0</v>
          </cell>
          <cell r="Y1941">
            <v>0</v>
          </cell>
          <cell r="Z1941">
            <v>0</v>
          </cell>
          <cell r="AA1941">
            <v>794516</v>
          </cell>
          <cell r="AB1941">
            <v>68980175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</row>
        <row r="1942">
          <cell r="A1942">
            <v>204010200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636318</v>
          </cell>
          <cell r="H1942">
            <v>15919812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363934365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</row>
        <row r="1943">
          <cell r="A1943">
            <v>204010201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133946195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</row>
        <row r="1944">
          <cell r="A1944">
            <v>204010202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</row>
        <row r="1945">
          <cell r="A1945">
            <v>204010203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636318</v>
          </cell>
          <cell r="H1945">
            <v>15919812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229988170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</row>
        <row r="1946">
          <cell r="A1946">
            <v>204010204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</row>
        <row r="1947">
          <cell r="A1947">
            <v>204010205</v>
          </cell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</row>
        <row r="1948">
          <cell r="A1948">
            <v>204010206</v>
          </cell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</row>
        <row r="1949">
          <cell r="A1949">
            <v>204010207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</row>
        <row r="1950">
          <cell r="A1950">
            <v>204010208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</row>
        <row r="1951">
          <cell r="A1951">
            <v>204010209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</row>
        <row r="1952">
          <cell r="A1952">
            <v>204010300</v>
          </cell>
          <cell r="C1952">
            <v>0</v>
          </cell>
          <cell r="D1952">
            <v>0</v>
          </cell>
          <cell r="E1952">
            <v>0</v>
          </cell>
          <cell r="F1952">
            <v>23129754</v>
          </cell>
          <cell r="G1952">
            <v>0</v>
          </cell>
          <cell r="H1952">
            <v>0</v>
          </cell>
          <cell r="I1952">
            <v>0</v>
          </cell>
          <cell r="J1952">
            <v>28176690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87035536</v>
          </cell>
          <cell r="P1952">
            <v>0</v>
          </cell>
          <cell r="Q1952">
            <v>0</v>
          </cell>
          <cell r="R1952">
            <v>0</v>
          </cell>
          <cell r="S1952">
            <v>4851027</v>
          </cell>
          <cell r="T1952">
            <v>0</v>
          </cell>
          <cell r="U1952">
            <v>0</v>
          </cell>
          <cell r="V1952">
            <v>0</v>
          </cell>
          <cell r="W1952">
            <v>59554410</v>
          </cell>
          <cell r="X1952">
            <v>0</v>
          </cell>
          <cell r="Y1952">
            <v>9485118</v>
          </cell>
          <cell r="Z1952">
            <v>0</v>
          </cell>
          <cell r="AA1952">
            <v>27593667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</row>
        <row r="1953">
          <cell r="A1953">
            <v>204010301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894811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</row>
        <row r="1954">
          <cell r="A1954">
            <v>204010302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</row>
        <row r="1955">
          <cell r="A1955">
            <v>204010303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</row>
        <row r="1956">
          <cell r="A1956">
            <v>204010304</v>
          </cell>
          <cell r="C1956">
            <v>0</v>
          </cell>
          <cell r="D1956">
            <v>0</v>
          </cell>
          <cell r="E1956">
            <v>0</v>
          </cell>
          <cell r="F1956">
            <v>23129754</v>
          </cell>
          <cell r="G1956">
            <v>0</v>
          </cell>
          <cell r="H1956">
            <v>0</v>
          </cell>
          <cell r="I1956">
            <v>0</v>
          </cell>
          <cell r="J1956">
            <v>28176690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87035536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59554410</v>
          </cell>
          <cell r="X1956">
            <v>0</v>
          </cell>
          <cell r="Y1956">
            <v>9485118</v>
          </cell>
          <cell r="Z1956">
            <v>0</v>
          </cell>
          <cell r="AA1956">
            <v>27593667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</row>
        <row r="1957">
          <cell r="A1957">
            <v>204010305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</row>
        <row r="1958">
          <cell r="A1958">
            <v>204010306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</row>
        <row r="1959">
          <cell r="A1959">
            <v>204010307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</row>
        <row r="1960">
          <cell r="A1960">
            <v>204010308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</row>
        <row r="1961">
          <cell r="A1961">
            <v>204010309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</row>
        <row r="1962">
          <cell r="A1962">
            <v>204010310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</row>
        <row r="1963">
          <cell r="A1963">
            <v>204010311</v>
          </cell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</row>
        <row r="1964">
          <cell r="A1964">
            <v>204010312</v>
          </cell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</row>
        <row r="1965">
          <cell r="A1965">
            <v>204010313</v>
          </cell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3956216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</row>
        <row r="1966">
          <cell r="A1966">
            <v>204010400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</row>
        <row r="1967">
          <cell r="A1967">
            <v>204010401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</row>
        <row r="1968">
          <cell r="A1968">
            <v>204010402</v>
          </cell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</row>
        <row r="1969">
          <cell r="A1969">
            <v>204010403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</row>
        <row r="1970">
          <cell r="A1970">
            <v>204010404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</row>
        <row r="1971">
          <cell r="A1971">
            <v>204010405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</row>
        <row r="1972">
          <cell r="A1972">
            <v>204010406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</row>
        <row r="1973">
          <cell r="A1973">
            <v>204010407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</row>
        <row r="1974">
          <cell r="A1974">
            <v>204010408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</row>
        <row r="1975">
          <cell r="A1975">
            <v>204010409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</row>
        <row r="1976">
          <cell r="A1976">
            <v>204010500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912552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</row>
        <row r="1977">
          <cell r="A1977">
            <v>204010501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</row>
        <row r="1978">
          <cell r="A1978">
            <v>204010502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</row>
        <row r="1979">
          <cell r="A1979">
            <v>204010503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</row>
        <row r="1980">
          <cell r="A1980">
            <v>204010504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</row>
        <row r="1981">
          <cell r="A1981">
            <v>204010505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</row>
        <row r="1982">
          <cell r="A1982">
            <v>204010506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</row>
        <row r="1983">
          <cell r="A1983">
            <v>204010507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</row>
        <row r="1984">
          <cell r="A1984">
            <v>204010508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</row>
        <row r="1985">
          <cell r="A1985">
            <v>204010509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912552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</row>
        <row r="1986">
          <cell r="A1986">
            <v>204010510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</row>
        <row r="1987">
          <cell r="A1987">
            <v>204010511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</row>
        <row r="1988">
          <cell r="A1988">
            <v>204010512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</row>
        <row r="1989">
          <cell r="A1989">
            <v>204010513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</row>
        <row r="1990">
          <cell r="A1990">
            <v>204010600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</row>
        <row r="1991">
          <cell r="A1991">
            <v>204010601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</row>
        <row r="1992">
          <cell r="A1992">
            <v>204010602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</row>
        <row r="1993">
          <cell r="A1993">
            <v>204010603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</row>
        <row r="1994">
          <cell r="A1994">
            <v>204010604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</row>
        <row r="1995">
          <cell r="A1995">
            <v>204010605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</row>
        <row r="1996">
          <cell r="A1996">
            <v>204010606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</row>
        <row r="1997">
          <cell r="A1997">
            <v>204010607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</row>
        <row r="1998">
          <cell r="A1998">
            <v>204010608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</row>
        <row r="1999">
          <cell r="A1999">
            <v>204010609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</row>
        <row r="2000">
          <cell r="A2000">
            <v>204020000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</row>
        <row r="2001">
          <cell r="A2001">
            <v>204020100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</row>
        <row r="2002">
          <cell r="A2002">
            <v>204020101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</row>
        <row r="2003">
          <cell r="A2003">
            <v>204020102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</row>
        <row r="2004">
          <cell r="A2004">
            <v>204020103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</row>
        <row r="2005">
          <cell r="A2005">
            <v>204020104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</row>
        <row r="2006">
          <cell r="A2006">
            <v>204020105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</row>
        <row r="2007">
          <cell r="A2007">
            <v>204020106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</row>
        <row r="2008">
          <cell r="A2008">
            <v>204020107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</row>
        <row r="2009">
          <cell r="A2009">
            <v>204020108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</row>
        <row r="2010">
          <cell r="A2010">
            <v>204020109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</row>
        <row r="2011">
          <cell r="A2011">
            <v>204020110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</row>
        <row r="2012">
          <cell r="A2012">
            <v>204020111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</row>
        <row r="2013">
          <cell r="A2013">
            <v>204020112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</row>
        <row r="2014">
          <cell r="A2014">
            <v>204020113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</row>
        <row r="2015">
          <cell r="A2015">
            <v>204020200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</row>
        <row r="2016">
          <cell r="A2016">
            <v>204020201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</row>
        <row r="2017">
          <cell r="A2017">
            <v>204020202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</row>
        <row r="2018">
          <cell r="A2018">
            <v>204020203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</row>
        <row r="2019">
          <cell r="A2019">
            <v>204020204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</row>
        <row r="2020">
          <cell r="A2020">
            <v>204020205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</row>
        <row r="2021">
          <cell r="A2021">
            <v>204020206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</row>
        <row r="2022">
          <cell r="A2022">
            <v>204020207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</row>
        <row r="2023">
          <cell r="A2023">
            <v>204020208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</row>
        <row r="2024">
          <cell r="A2024">
            <v>204020209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</row>
        <row r="2025">
          <cell r="A2025">
            <v>204020210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</row>
        <row r="2026">
          <cell r="A2026">
            <v>204020211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</row>
        <row r="2027">
          <cell r="A2027">
            <v>204020212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</row>
        <row r="2028">
          <cell r="A2028">
            <v>204020213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</row>
        <row r="2029">
          <cell r="A2029">
            <v>204020300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</row>
        <row r="2030">
          <cell r="A2030">
            <v>204020301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</row>
        <row r="2031">
          <cell r="A2031">
            <v>204020302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</row>
        <row r="2032">
          <cell r="A2032">
            <v>204020303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</row>
        <row r="2033">
          <cell r="A2033">
            <v>204020304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</row>
        <row r="2034">
          <cell r="A2034">
            <v>204020305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</row>
        <row r="2035">
          <cell r="A2035">
            <v>204020306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</row>
        <row r="2036">
          <cell r="A2036">
            <v>204020307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</row>
        <row r="2037">
          <cell r="A2037">
            <v>204020308</v>
          </cell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</row>
        <row r="2038">
          <cell r="A2038">
            <v>204020309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</row>
        <row r="2039">
          <cell r="A2039">
            <v>204020400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</row>
        <row r="2040">
          <cell r="A2040">
            <v>204020401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</row>
        <row r="2041">
          <cell r="A2041">
            <v>204020402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</row>
        <row r="2042">
          <cell r="A2042">
            <v>204020403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</row>
        <row r="2043">
          <cell r="A2043">
            <v>204020404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</row>
        <row r="2044">
          <cell r="A2044">
            <v>204020405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</row>
        <row r="2045">
          <cell r="A2045">
            <v>204020406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</row>
        <row r="2046">
          <cell r="A2046">
            <v>204020407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</row>
        <row r="2047">
          <cell r="A2047">
            <v>204020408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</row>
        <row r="2048">
          <cell r="A2048">
            <v>204020409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</row>
        <row r="2049">
          <cell r="A2049">
            <v>204100000</v>
          </cell>
          <cell r="C2049">
            <v>0</v>
          </cell>
          <cell r="D2049">
            <v>1</v>
          </cell>
          <cell r="E2049">
            <v>0</v>
          </cell>
          <cell r="F2049">
            <v>39758982</v>
          </cell>
          <cell r="G2049">
            <v>0</v>
          </cell>
          <cell r="H2049">
            <v>0</v>
          </cell>
          <cell r="I2049">
            <v>0</v>
          </cell>
          <cell r="J2049">
            <v>47002096</v>
          </cell>
          <cell r="K2049">
            <v>2484067</v>
          </cell>
          <cell r="L2049">
            <v>0</v>
          </cell>
          <cell r="M2049">
            <v>0</v>
          </cell>
          <cell r="N2049">
            <v>0</v>
          </cell>
          <cell r="O2049">
            <v>10859072</v>
          </cell>
          <cell r="P2049">
            <v>0</v>
          </cell>
          <cell r="Q2049">
            <v>0</v>
          </cell>
          <cell r="R2049">
            <v>183004869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14227196</v>
          </cell>
          <cell r="Y2049">
            <v>13343139</v>
          </cell>
          <cell r="Z2049">
            <v>0</v>
          </cell>
          <cell r="AA2049">
            <v>0</v>
          </cell>
          <cell r="AB2049">
            <v>89366555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2100000</v>
          </cell>
          <cell r="AH2049">
            <v>0</v>
          </cell>
          <cell r="AI2049">
            <v>0</v>
          </cell>
        </row>
        <row r="2050">
          <cell r="A2050">
            <v>204100100</v>
          </cell>
          <cell r="C2050">
            <v>0</v>
          </cell>
          <cell r="D2050">
            <v>1</v>
          </cell>
          <cell r="E2050">
            <v>0</v>
          </cell>
          <cell r="F2050">
            <v>39758982</v>
          </cell>
          <cell r="G2050">
            <v>0</v>
          </cell>
          <cell r="H2050">
            <v>0</v>
          </cell>
          <cell r="I2050">
            <v>0</v>
          </cell>
          <cell r="J2050">
            <v>47002096</v>
          </cell>
          <cell r="K2050">
            <v>2484067</v>
          </cell>
          <cell r="L2050">
            <v>0</v>
          </cell>
          <cell r="M2050">
            <v>0</v>
          </cell>
          <cell r="N2050">
            <v>0</v>
          </cell>
          <cell r="O2050">
            <v>10859072</v>
          </cell>
          <cell r="P2050">
            <v>0</v>
          </cell>
          <cell r="Q2050">
            <v>0</v>
          </cell>
          <cell r="R2050">
            <v>183004869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14227196</v>
          </cell>
          <cell r="Y2050">
            <v>13343139</v>
          </cell>
          <cell r="Z2050">
            <v>0</v>
          </cell>
          <cell r="AA2050">
            <v>0</v>
          </cell>
          <cell r="AB2050">
            <v>89366555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2100000</v>
          </cell>
          <cell r="AH2050">
            <v>0</v>
          </cell>
          <cell r="AI2050">
            <v>0</v>
          </cell>
        </row>
        <row r="2051">
          <cell r="A2051">
            <v>204100101</v>
          </cell>
          <cell r="C2051">
            <v>0</v>
          </cell>
          <cell r="D2051">
            <v>1</v>
          </cell>
          <cell r="E2051">
            <v>0</v>
          </cell>
          <cell r="F2051">
            <v>39758982</v>
          </cell>
          <cell r="G2051">
            <v>0</v>
          </cell>
          <cell r="H2051">
            <v>0</v>
          </cell>
          <cell r="I2051">
            <v>0</v>
          </cell>
          <cell r="J2051">
            <v>47002096</v>
          </cell>
          <cell r="K2051">
            <v>2484067</v>
          </cell>
          <cell r="L2051">
            <v>0</v>
          </cell>
          <cell r="M2051">
            <v>0</v>
          </cell>
          <cell r="N2051">
            <v>0</v>
          </cell>
          <cell r="O2051">
            <v>10859072</v>
          </cell>
          <cell r="P2051">
            <v>0</v>
          </cell>
          <cell r="Q2051">
            <v>0</v>
          </cell>
          <cell r="R2051">
            <v>183004869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14227196</v>
          </cell>
          <cell r="Y2051">
            <v>13343139</v>
          </cell>
          <cell r="Z2051">
            <v>0</v>
          </cell>
          <cell r="AA2051">
            <v>0</v>
          </cell>
          <cell r="AB2051">
            <v>89366555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2100000</v>
          </cell>
          <cell r="AH2051">
            <v>0</v>
          </cell>
          <cell r="AI2051">
            <v>0</v>
          </cell>
        </row>
        <row r="2052">
          <cell r="A2052">
            <v>204100200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</row>
        <row r="2053">
          <cell r="A2053">
            <v>204100201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</row>
        <row r="2054">
          <cell r="A2054">
            <v>205000000</v>
          </cell>
          <cell r="C2054">
            <v>8484200333</v>
          </cell>
          <cell r="D2054">
            <v>2852300887</v>
          </cell>
          <cell r="E2054">
            <v>1446186233</v>
          </cell>
          <cell r="F2054">
            <v>1436163937</v>
          </cell>
          <cell r="G2054">
            <v>3341085164</v>
          </cell>
          <cell r="H2054">
            <v>3367041047</v>
          </cell>
          <cell r="I2054">
            <v>948554817</v>
          </cell>
          <cell r="J2054">
            <v>25920484</v>
          </cell>
          <cell r="K2054">
            <v>209533506</v>
          </cell>
          <cell r="L2054">
            <v>1212047534</v>
          </cell>
          <cell r="M2054">
            <v>1300089676</v>
          </cell>
          <cell r="N2054">
            <v>8254199145</v>
          </cell>
          <cell r="O2054">
            <v>2581221405</v>
          </cell>
          <cell r="P2054">
            <v>341328119</v>
          </cell>
          <cell r="Q2054">
            <v>79088971</v>
          </cell>
          <cell r="R2054">
            <v>502765739</v>
          </cell>
          <cell r="S2054">
            <v>72310709</v>
          </cell>
          <cell r="T2054">
            <v>3088212440</v>
          </cell>
          <cell r="U2054">
            <v>0</v>
          </cell>
          <cell r="V2054">
            <v>9805862241</v>
          </cell>
          <cell r="W2054">
            <v>0</v>
          </cell>
          <cell r="X2054">
            <v>275553602</v>
          </cell>
          <cell r="Y2054">
            <v>168909776</v>
          </cell>
          <cell r="Z2054">
            <v>53244561</v>
          </cell>
          <cell r="AA2054">
            <v>575219844</v>
          </cell>
          <cell r="AB2054">
            <v>414400240</v>
          </cell>
          <cell r="AC2054">
            <v>112655976</v>
          </cell>
          <cell r="AD2054">
            <v>163846795</v>
          </cell>
          <cell r="AE2054">
            <v>13093245585</v>
          </cell>
          <cell r="AF2054">
            <v>1628014560</v>
          </cell>
          <cell r="AG2054">
            <v>57971828</v>
          </cell>
          <cell r="AH2054">
            <v>1235618441</v>
          </cell>
          <cell r="AI2054">
            <v>3550806498</v>
          </cell>
        </row>
        <row r="2055">
          <cell r="A2055">
            <v>205010000</v>
          </cell>
          <cell r="C2055">
            <v>8484200333</v>
          </cell>
          <cell r="D2055">
            <v>2852300887</v>
          </cell>
          <cell r="E2055">
            <v>1446186233</v>
          </cell>
          <cell r="F2055">
            <v>1436163937</v>
          </cell>
          <cell r="G2055">
            <v>3341085164</v>
          </cell>
          <cell r="H2055">
            <v>3367041047</v>
          </cell>
          <cell r="I2055">
            <v>948554817</v>
          </cell>
          <cell r="J2055">
            <v>25920484</v>
          </cell>
          <cell r="K2055">
            <v>209533506</v>
          </cell>
          <cell r="L2055">
            <v>1212047534</v>
          </cell>
          <cell r="M2055">
            <v>1300089676</v>
          </cell>
          <cell r="N2055">
            <v>8254199145</v>
          </cell>
          <cell r="O2055">
            <v>2581221405</v>
          </cell>
          <cell r="P2055">
            <v>341328119</v>
          </cell>
          <cell r="Q2055">
            <v>79088971</v>
          </cell>
          <cell r="R2055">
            <v>501838984</v>
          </cell>
          <cell r="S2055">
            <v>72310709</v>
          </cell>
          <cell r="T2055">
            <v>3088212440</v>
          </cell>
          <cell r="U2055">
            <v>0</v>
          </cell>
          <cell r="V2055">
            <v>9805862241</v>
          </cell>
          <cell r="W2055">
            <v>0</v>
          </cell>
          <cell r="X2055">
            <v>275481018</v>
          </cell>
          <cell r="Y2055">
            <v>168909776</v>
          </cell>
          <cell r="Z2055">
            <v>53244561</v>
          </cell>
          <cell r="AA2055">
            <v>575219844</v>
          </cell>
          <cell r="AB2055">
            <v>414400240</v>
          </cell>
          <cell r="AC2055">
            <v>112655976</v>
          </cell>
          <cell r="AD2055">
            <v>163846795</v>
          </cell>
          <cell r="AE2055">
            <v>13093245585</v>
          </cell>
          <cell r="AF2055">
            <v>1628014560</v>
          </cell>
          <cell r="AG2055">
            <v>57971828</v>
          </cell>
          <cell r="AH2055">
            <v>1235618441</v>
          </cell>
          <cell r="AI2055">
            <v>3550806498</v>
          </cell>
        </row>
        <row r="2056">
          <cell r="A2056">
            <v>205010100</v>
          </cell>
          <cell r="C2056">
            <v>7538228368</v>
          </cell>
          <cell r="D2056">
            <v>55385802</v>
          </cell>
          <cell r="E2056">
            <v>1327005381</v>
          </cell>
          <cell r="F2056">
            <v>1286136658</v>
          </cell>
          <cell r="G2056">
            <v>431773728</v>
          </cell>
          <cell r="H2056">
            <v>2309689694</v>
          </cell>
          <cell r="I2056">
            <v>767249621</v>
          </cell>
          <cell r="J2056">
            <v>0</v>
          </cell>
          <cell r="K2056">
            <v>0</v>
          </cell>
          <cell r="L2056">
            <v>969072507</v>
          </cell>
          <cell r="M2056">
            <v>1253820676</v>
          </cell>
          <cell r="N2056">
            <v>7270274733</v>
          </cell>
          <cell r="O2056">
            <v>2307957823</v>
          </cell>
          <cell r="P2056">
            <v>308798446</v>
          </cell>
          <cell r="Q2056">
            <v>79088971</v>
          </cell>
          <cell r="R2056">
            <v>377113478</v>
          </cell>
          <cell r="S2056">
            <v>0</v>
          </cell>
          <cell r="T2056">
            <v>2358843331</v>
          </cell>
          <cell r="U2056">
            <v>0</v>
          </cell>
          <cell r="V2056">
            <v>6358012821</v>
          </cell>
          <cell r="W2056">
            <v>0</v>
          </cell>
          <cell r="X2056">
            <v>0</v>
          </cell>
          <cell r="Y2056">
            <v>7889776</v>
          </cell>
          <cell r="Z2056">
            <v>0</v>
          </cell>
          <cell r="AA2056">
            <v>574122904</v>
          </cell>
          <cell r="AB2056">
            <v>69853019</v>
          </cell>
          <cell r="AC2056">
            <v>0</v>
          </cell>
          <cell r="AD2056">
            <v>0</v>
          </cell>
          <cell r="AE2056">
            <v>12415974644</v>
          </cell>
          <cell r="AF2056">
            <v>0</v>
          </cell>
          <cell r="AG2056">
            <v>0</v>
          </cell>
          <cell r="AH2056">
            <v>0</v>
          </cell>
          <cell r="AI2056">
            <v>3258550408</v>
          </cell>
        </row>
        <row r="2057">
          <cell r="A2057">
            <v>205010101</v>
          </cell>
          <cell r="C2057">
            <v>1399665983</v>
          </cell>
          <cell r="D2057">
            <v>0</v>
          </cell>
          <cell r="E2057">
            <v>1270157088</v>
          </cell>
          <cell r="F2057">
            <v>369767524</v>
          </cell>
          <cell r="G2057">
            <v>13453349</v>
          </cell>
          <cell r="H2057">
            <v>72733855</v>
          </cell>
          <cell r="I2057">
            <v>264445785</v>
          </cell>
          <cell r="J2057">
            <v>0</v>
          </cell>
          <cell r="K2057">
            <v>0</v>
          </cell>
          <cell r="L2057">
            <v>523887783</v>
          </cell>
          <cell r="M2057">
            <v>5691471</v>
          </cell>
          <cell r="N2057">
            <v>1024578806</v>
          </cell>
          <cell r="O2057">
            <v>1116183829</v>
          </cell>
          <cell r="P2057">
            <v>0</v>
          </cell>
          <cell r="Q2057">
            <v>35393181</v>
          </cell>
          <cell r="R2057">
            <v>143166593</v>
          </cell>
          <cell r="S2057">
            <v>0</v>
          </cell>
          <cell r="T2057">
            <v>0</v>
          </cell>
          <cell r="U2057">
            <v>0</v>
          </cell>
          <cell r="V2057">
            <v>2132784163</v>
          </cell>
          <cell r="W2057">
            <v>0</v>
          </cell>
          <cell r="X2057">
            <v>0</v>
          </cell>
          <cell r="Y2057">
            <v>7889776</v>
          </cell>
          <cell r="Z2057">
            <v>0</v>
          </cell>
          <cell r="AA2057">
            <v>96689236</v>
          </cell>
          <cell r="AB2057">
            <v>26256408</v>
          </cell>
          <cell r="AC2057">
            <v>0</v>
          </cell>
          <cell r="AD2057">
            <v>0</v>
          </cell>
          <cell r="AE2057">
            <v>5211315747</v>
          </cell>
          <cell r="AF2057">
            <v>0</v>
          </cell>
          <cell r="AG2057">
            <v>0</v>
          </cell>
          <cell r="AH2057">
            <v>0</v>
          </cell>
          <cell r="AI2057">
            <v>17984086</v>
          </cell>
        </row>
        <row r="2058">
          <cell r="A2058">
            <v>205010102</v>
          </cell>
          <cell r="C2058">
            <v>498896758</v>
          </cell>
          <cell r="D2058">
            <v>0</v>
          </cell>
          <cell r="E2058">
            <v>27962326</v>
          </cell>
          <cell r="F2058">
            <v>14074623</v>
          </cell>
          <cell r="G2058">
            <v>275003754</v>
          </cell>
          <cell r="H2058">
            <v>346085305</v>
          </cell>
          <cell r="I2058">
            <v>154951092</v>
          </cell>
          <cell r="J2058">
            <v>0</v>
          </cell>
          <cell r="K2058">
            <v>0</v>
          </cell>
          <cell r="L2058">
            <v>155915627</v>
          </cell>
          <cell r="M2058">
            <v>5873587</v>
          </cell>
          <cell r="N2058">
            <v>494907038</v>
          </cell>
          <cell r="O2058">
            <v>158510675</v>
          </cell>
          <cell r="P2058">
            <v>281939146</v>
          </cell>
          <cell r="Q2058">
            <v>8846760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34268303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60579625</v>
          </cell>
          <cell r="AB2058">
            <v>0</v>
          </cell>
          <cell r="AC2058">
            <v>0</v>
          </cell>
          <cell r="AD2058">
            <v>0</v>
          </cell>
          <cell r="AE2058">
            <v>2701148322</v>
          </cell>
          <cell r="AF2058">
            <v>0</v>
          </cell>
          <cell r="AG2058">
            <v>0</v>
          </cell>
          <cell r="AH2058">
            <v>0</v>
          </cell>
          <cell r="AI2058">
            <v>2609796</v>
          </cell>
        </row>
        <row r="2059">
          <cell r="A2059">
            <v>205010103</v>
          </cell>
          <cell r="C2059">
            <v>84588544</v>
          </cell>
          <cell r="D2059">
            <v>0</v>
          </cell>
          <cell r="E2059">
            <v>2220729</v>
          </cell>
          <cell r="F2059">
            <v>40817510</v>
          </cell>
          <cell r="G2059">
            <v>23884882</v>
          </cell>
          <cell r="H2059">
            <v>0</v>
          </cell>
          <cell r="I2059">
            <v>25808591</v>
          </cell>
          <cell r="J2059">
            <v>0</v>
          </cell>
          <cell r="K2059">
            <v>0</v>
          </cell>
          <cell r="L2059">
            <v>447966</v>
          </cell>
          <cell r="M2059">
            <v>0</v>
          </cell>
          <cell r="N2059">
            <v>99646655</v>
          </cell>
          <cell r="O2059">
            <v>59452191</v>
          </cell>
          <cell r="P2059">
            <v>26859300</v>
          </cell>
          <cell r="Q2059">
            <v>11553673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41214832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12186173</v>
          </cell>
          <cell r="AB2059">
            <v>0</v>
          </cell>
          <cell r="AC2059">
            <v>0</v>
          </cell>
          <cell r="AD2059">
            <v>0</v>
          </cell>
          <cell r="AE2059">
            <v>166687475</v>
          </cell>
          <cell r="AF2059">
            <v>0</v>
          </cell>
          <cell r="AG2059">
            <v>0</v>
          </cell>
          <cell r="AH2059">
            <v>0</v>
          </cell>
          <cell r="AI2059">
            <v>8218473</v>
          </cell>
        </row>
        <row r="2060">
          <cell r="A2060">
            <v>205010104</v>
          </cell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63049033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416706798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1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</row>
        <row r="2061">
          <cell r="A2061">
            <v>205010105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</row>
        <row r="2062">
          <cell r="A2062">
            <v>205010106</v>
          </cell>
          <cell r="C2062">
            <v>130629278</v>
          </cell>
          <cell r="D2062">
            <v>0</v>
          </cell>
          <cell r="E2062">
            <v>7053337</v>
          </cell>
          <cell r="F2062">
            <v>102664478</v>
          </cell>
          <cell r="G2062">
            <v>12193865</v>
          </cell>
          <cell r="H2062">
            <v>556452</v>
          </cell>
          <cell r="I2062">
            <v>143025540</v>
          </cell>
          <cell r="J2062">
            <v>0</v>
          </cell>
          <cell r="K2062">
            <v>0</v>
          </cell>
          <cell r="L2062">
            <v>79113364</v>
          </cell>
          <cell r="M2062">
            <v>15316730</v>
          </cell>
          <cell r="N2062">
            <v>593297726</v>
          </cell>
          <cell r="O2062">
            <v>207763496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17971232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21605151</v>
          </cell>
          <cell r="AB2062">
            <v>0</v>
          </cell>
          <cell r="AC2062">
            <v>0</v>
          </cell>
          <cell r="AD2062">
            <v>0</v>
          </cell>
          <cell r="AE2062">
            <v>609122814</v>
          </cell>
          <cell r="AF2062">
            <v>0</v>
          </cell>
          <cell r="AG2062">
            <v>0</v>
          </cell>
          <cell r="AH2062">
            <v>0</v>
          </cell>
          <cell r="AI2062">
            <v>140047</v>
          </cell>
        </row>
        <row r="2063">
          <cell r="A2063">
            <v>205010107</v>
          </cell>
          <cell r="C2063">
            <v>7683266</v>
          </cell>
          <cell r="D2063">
            <v>0</v>
          </cell>
          <cell r="E2063">
            <v>0</v>
          </cell>
          <cell r="F2063">
            <v>4229198</v>
          </cell>
          <cell r="G2063">
            <v>3367959</v>
          </cell>
          <cell r="H2063">
            <v>0</v>
          </cell>
          <cell r="I2063">
            <v>36662181</v>
          </cell>
          <cell r="J2063">
            <v>0</v>
          </cell>
          <cell r="K2063">
            <v>0</v>
          </cell>
          <cell r="L2063">
            <v>7280607</v>
          </cell>
          <cell r="M2063">
            <v>0</v>
          </cell>
          <cell r="N2063">
            <v>37714922</v>
          </cell>
          <cell r="O2063">
            <v>5081591</v>
          </cell>
          <cell r="P2063">
            <v>0</v>
          </cell>
          <cell r="Q2063">
            <v>5633681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2406015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682389</v>
          </cell>
          <cell r="AB2063">
            <v>0</v>
          </cell>
          <cell r="AC2063">
            <v>0</v>
          </cell>
          <cell r="AD2063">
            <v>0</v>
          </cell>
          <cell r="AE2063">
            <v>39000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</row>
        <row r="2064">
          <cell r="A2064">
            <v>205010108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1214144730</v>
          </cell>
          <cell r="N2064">
            <v>-25619326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2358843331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1746841012</v>
          </cell>
          <cell r="AF2064">
            <v>0</v>
          </cell>
          <cell r="AG2064">
            <v>0</v>
          </cell>
          <cell r="AH2064">
            <v>0</v>
          </cell>
          <cell r="AI2064">
            <v>3013343960</v>
          </cell>
        </row>
        <row r="2065">
          <cell r="A2065">
            <v>205010109</v>
          </cell>
          <cell r="C2065">
            <v>142622158</v>
          </cell>
          <cell r="D2065">
            <v>0</v>
          </cell>
          <cell r="E2065">
            <v>826464</v>
          </cell>
          <cell r="F2065">
            <v>-298121</v>
          </cell>
          <cell r="G2065">
            <v>1824245</v>
          </cell>
          <cell r="H2065">
            <v>0</v>
          </cell>
          <cell r="I2065">
            <v>5153128</v>
          </cell>
          <cell r="J2065">
            <v>0</v>
          </cell>
          <cell r="K2065">
            <v>0</v>
          </cell>
          <cell r="L2065">
            <v>32323968</v>
          </cell>
          <cell r="M2065">
            <v>0</v>
          </cell>
          <cell r="N2065">
            <v>4624238179</v>
          </cell>
          <cell r="O2065">
            <v>207282434</v>
          </cell>
          <cell r="P2065">
            <v>0</v>
          </cell>
          <cell r="Q2065">
            <v>5313387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3326913432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378278199</v>
          </cell>
          <cell r="AB2065">
            <v>43596611</v>
          </cell>
          <cell r="AC2065">
            <v>0</v>
          </cell>
          <cell r="AD2065">
            <v>0</v>
          </cell>
          <cell r="AE2065">
            <v>1026967418</v>
          </cell>
          <cell r="AF2065">
            <v>0</v>
          </cell>
          <cell r="AG2065">
            <v>0</v>
          </cell>
          <cell r="AH2065">
            <v>0</v>
          </cell>
          <cell r="AI2065">
            <v>134300447</v>
          </cell>
        </row>
        <row r="2066">
          <cell r="A2066">
            <v>205010110</v>
          </cell>
          <cell r="C2066">
            <v>2472708787</v>
          </cell>
          <cell r="D2066">
            <v>0</v>
          </cell>
          <cell r="E2066">
            <v>12501784</v>
          </cell>
          <cell r="F2066">
            <v>-14773925</v>
          </cell>
          <cell r="G2066">
            <v>22629171</v>
          </cell>
          <cell r="H2066">
            <v>0</v>
          </cell>
          <cell r="I2066">
            <v>82474399</v>
          </cell>
          <cell r="J2066">
            <v>0</v>
          </cell>
          <cell r="K2066">
            <v>0</v>
          </cell>
          <cell r="L2066">
            <v>44276678</v>
          </cell>
          <cell r="M2066">
            <v>0</v>
          </cell>
          <cell r="N2066">
            <v>255276222</v>
          </cell>
          <cell r="O2066">
            <v>88265354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371295681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2497947</v>
          </cell>
          <cell r="AB2066">
            <v>0</v>
          </cell>
          <cell r="AC2066">
            <v>0</v>
          </cell>
          <cell r="AD2066">
            <v>0</v>
          </cell>
          <cell r="AE2066">
            <v>488161803</v>
          </cell>
          <cell r="AF2066">
            <v>0</v>
          </cell>
          <cell r="AG2066">
            <v>0</v>
          </cell>
          <cell r="AH2066">
            <v>0</v>
          </cell>
          <cell r="AI2066">
            <v>69403</v>
          </cell>
        </row>
        <row r="2067">
          <cell r="A2067">
            <v>205010111</v>
          </cell>
          <cell r="C2067">
            <v>41421989</v>
          </cell>
          <cell r="D2067">
            <v>55385802</v>
          </cell>
          <cell r="E2067">
            <v>0</v>
          </cell>
          <cell r="F2067">
            <v>0</v>
          </cell>
          <cell r="G2067">
            <v>4999494</v>
          </cell>
          <cell r="H2067">
            <v>0</v>
          </cell>
          <cell r="I2067">
            <v>56752</v>
          </cell>
          <cell r="J2067">
            <v>0</v>
          </cell>
          <cell r="K2067">
            <v>0</v>
          </cell>
          <cell r="L2067">
            <v>8748539</v>
          </cell>
          <cell r="M2067">
            <v>0</v>
          </cell>
          <cell r="N2067">
            <v>27473995</v>
          </cell>
          <cell r="O2067">
            <v>-105591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-8480216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300581702</v>
          </cell>
          <cell r="AF2067">
            <v>0</v>
          </cell>
          <cell r="AG2067">
            <v>0</v>
          </cell>
          <cell r="AH2067">
            <v>0</v>
          </cell>
          <cell r="AI2067">
            <v>4319208</v>
          </cell>
        </row>
        <row r="2068">
          <cell r="A2068">
            <v>205010112</v>
          </cell>
          <cell r="C2068">
            <v>303432140</v>
          </cell>
          <cell r="D2068">
            <v>0</v>
          </cell>
          <cell r="E2068">
            <v>2409995</v>
          </cell>
          <cell r="F2068">
            <v>572996858</v>
          </cell>
          <cell r="G2068">
            <v>8522397</v>
          </cell>
          <cell r="H2068">
            <v>94844077</v>
          </cell>
          <cell r="I2068">
            <v>38253600</v>
          </cell>
          <cell r="J2068">
            <v>0</v>
          </cell>
          <cell r="K2068">
            <v>0</v>
          </cell>
          <cell r="L2068">
            <v>-35720503</v>
          </cell>
          <cell r="M2068">
            <v>0</v>
          </cell>
          <cell r="N2068">
            <v>190315368</v>
          </cell>
          <cell r="O2068">
            <v>465523844</v>
          </cell>
          <cell r="P2068">
            <v>0</v>
          </cell>
          <cell r="Q2068">
            <v>12240142</v>
          </cell>
          <cell r="R2068">
            <v>61979630</v>
          </cell>
          <cell r="S2068">
            <v>0</v>
          </cell>
          <cell r="T2068">
            <v>0</v>
          </cell>
          <cell r="U2068">
            <v>0</v>
          </cell>
          <cell r="V2068">
            <v>76771810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1808316</v>
          </cell>
          <cell r="AB2068">
            <v>0</v>
          </cell>
          <cell r="AC2068">
            <v>0</v>
          </cell>
          <cell r="AD2068">
            <v>0</v>
          </cell>
          <cell r="AE2068">
            <v>115907082</v>
          </cell>
          <cell r="AF2068">
            <v>0</v>
          </cell>
          <cell r="AG2068">
            <v>0</v>
          </cell>
          <cell r="AH2068">
            <v>0</v>
          </cell>
          <cell r="AI2068">
            <v>627102</v>
          </cell>
        </row>
        <row r="2069">
          <cell r="A2069">
            <v>205010113</v>
          </cell>
          <cell r="C2069">
            <v>2456579465</v>
          </cell>
          <cell r="D2069">
            <v>0</v>
          </cell>
          <cell r="E2069">
            <v>3873658</v>
          </cell>
          <cell r="F2069">
            <v>196658513</v>
          </cell>
          <cell r="G2069">
            <v>65894612</v>
          </cell>
          <cell r="H2069">
            <v>1795470005</v>
          </cell>
          <cell r="I2069">
            <v>16418553</v>
          </cell>
          <cell r="J2069">
            <v>0</v>
          </cell>
          <cell r="K2069">
            <v>0</v>
          </cell>
          <cell r="L2069">
            <v>89749445</v>
          </cell>
          <cell r="M2069">
            <v>12794158</v>
          </cell>
          <cell r="N2069">
            <v>-51554852</v>
          </cell>
          <cell r="O2069">
            <v>0</v>
          </cell>
          <cell r="P2069">
            <v>0</v>
          </cell>
          <cell r="Q2069">
            <v>108147</v>
          </cell>
          <cell r="R2069">
            <v>171967255</v>
          </cell>
          <cell r="S2069">
            <v>0</v>
          </cell>
          <cell r="T2069">
            <v>0</v>
          </cell>
          <cell r="U2069">
            <v>0</v>
          </cell>
          <cell r="V2069">
            <v>-53839229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-204132</v>
          </cell>
          <cell r="AB2069">
            <v>0</v>
          </cell>
          <cell r="AC2069">
            <v>0</v>
          </cell>
          <cell r="AD2069">
            <v>0</v>
          </cell>
          <cell r="AE2069">
            <v>49202268</v>
          </cell>
          <cell r="AF2069">
            <v>0</v>
          </cell>
          <cell r="AG2069">
            <v>0</v>
          </cell>
          <cell r="AH2069">
            <v>0</v>
          </cell>
          <cell r="AI2069">
            <v>76937886</v>
          </cell>
        </row>
        <row r="2070">
          <cell r="A2070">
            <v>205010200</v>
          </cell>
          <cell r="C2070">
            <v>232939814</v>
          </cell>
          <cell r="D2070">
            <v>280848780</v>
          </cell>
          <cell r="E2070">
            <v>119180852</v>
          </cell>
          <cell r="F2070">
            <v>11059865</v>
          </cell>
          <cell r="G2070">
            <v>2641033582</v>
          </cell>
          <cell r="H2070">
            <v>942064629</v>
          </cell>
          <cell r="I2070">
            <v>133407061</v>
          </cell>
          <cell r="J2070">
            <v>0</v>
          </cell>
          <cell r="K2070">
            <v>182858506</v>
          </cell>
          <cell r="L2070">
            <v>0</v>
          </cell>
          <cell r="M2070">
            <v>0</v>
          </cell>
          <cell r="N2070">
            <v>983924412</v>
          </cell>
          <cell r="O2070">
            <v>1278418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712815106</v>
          </cell>
          <cell r="U2070">
            <v>0</v>
          </cell>
          <cell r="V2070">
            <v>368202118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1096940</v>
          </cell>
          <cell r="AB2070">
            <v>0</v>
          </cell>
          <cell r="AC2070">
            <v>0</v>
          </cell>
          <cell r="AD2070">
            <v>0</v>
          </cell>
          <cell r="AE2070">
            <v>638137334</v>
          </cell>
          <cell r="AF2070">
            <v>0</v>
          </cell>
          <cell r="AG2070">
            <v>0</v>
          </cell>
          <cell r="AH2070">
            <v>493158441</v>
          </cell>
          <cell r="AI2070">
            <v>66015957</v>
          </cell>
        </row>
        <row r="2071">
          <cell r="A2071">
            <v>205010201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112962491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</row>
        <row r="2072">
          <cell r="A2072">
            <v>205010202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</row>
        <row r="2073">
          <cell r="A2073">
            <v>205010203</v>
          </cell>
          <cell r="C2073">
            <v>232939814</v>
          </cell>
          <cell r="D2073">
            <v>280848780</v>
          </cell>
          <cell r="E2073">
            <v>119180852</v>
          </cell>
          <cell r="F2073">
            <v>11059865</v>
          </cell>
          <cell r="G2073">
            <v>2641033582</v>
          </cell>
          <cell r="H2073">
            <v>942064629</v>
          </cell>
          <cell r="I2073">
            <v>133407061</v>
          </cell>
          <cell r="J2073">
            <v>0</v>
          </cell>
          <cell r="K2073">
            <v>125169488</v>
          </cell>
          <cell r="L2073">
            <v>0</v>
          </cell>
          <cell r="M2073">
            <v>0</v>
          </cell>
          <cell r="N2073">
            <v>983924412</v>
          </cell>
          <cell r="O2073">
            <v>1278418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472756643</v>
          </cell>
          <cell r="U2073">
            <v>0</v>
          </cell>
          <cell r="V2073">
            <v>368202118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1096940</v>
          </cell>
          <cell r="AB2073">
            <v>0</v>
          </cell>
          <cell r="AC2073">
            <v>0</v>
          </cell>
          <cell r="AD2073">
            <v>0</v>
          </cell>
          <cell r="AE2073">
            <v>638137334</v>
          </cell>
          <cell r="AF2073">
            <v>0</v>
          </cell>
          <cell r="AG2073">
            <v>0</v>
          </cell>
          <cell r="AH2073">
            <v>493158441</v>
          </cell>
          <cell r="AI2073">
            <v>66015957</v>
          </cell>
        </row>
        <row r="2074">
          <cell r="A2074">
            <v>205010204</v>
          </cell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</row>
        <row r="2075">
          <cell r="A2075">
            <v>205010205</v>
          </cell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</row>
        <row r="2076">
          <cell r="A2076">
            <v>205010206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57689018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</row>
        <row r="2077">
          <cell r="A2077">
            <v>205010207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</row>
        <row r="2078">
          <cell r="A2078">
            <v>205010208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127095972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</row>
        <row r="2079">
          <cell r="A2079">
            <v>205010209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</row>
        <row r="2080">
          <cell r="A2080">
            <v>205010300</v>
          </cell>
          <cell r="C2080">
            <v>639036000</v>
          </cell>
          <cell r="D2080">
            <v>2516066305</v>
          </cell>
          <cell r="E2080">
            <v>0</v>
          </cell>
          <cell r="F2080">
            <v>138967414</v>
          </cell>
          <cell r="G2080">
            <v>268277854</v>
          </cell>
          <cell r="H2080">
            <v>115286724</v>
          </cell>
          <cell r="I2080">
            <v>47898135</v>
          </cell>
          <cell r="J2080">
            <v>25920484</v>
          </cell>
          <cell r="K2080">
            <v>26675000</v>
          </cell>
          <cell r="L2080">
            <v>52152752</v>
          </cell>
          <cell r="M2080">
            <v>46269000</v>
          </cell>
          <cell r="N2080">
            <v>0</v>
          </cell>
          <cell r="O2080">
            <v>271985164</v>
          </cell>
          <cell r="P2080">
            <v>32529673</v>
          </cell>
          <cell r="Q2080">
            <v>0</v>
          </cell>
          <cell r="R2080">
            <v>122556581</v>
          </cell>
          <cell r="S2080">
            <v>72310709</v>
          </cell>
          <cell r="T2080">
            <v>16554003</v>
          </cell>
          <cell r="U2080">
            <v>0</v>
          </cell>
          <cell r="V2080">
            <v>120521560</v>
          </cell>
          <cell r="W2080">
            <v>0</v>
          </cell>
          <cell r="X2080">
            <v>275481018</v>
          </cell>
          <cell r="Y2080">
            <v>161020000</v>
          </cell>
          <cell r="Z2080">
            <v>53244561</v>
          </cell>
          <cell r="AA2080">
            <v>0</v>
          </cell>
          <cell r="AB2080">
            <v>344547221</v>
          </cell>
          <cell r="AC2080">
            <v>112655976</v>
          </cell>
          <cell r="AD2080">
            <v>163846795</v>
          </cell>
          <cell r="AE2080">
            <v>39133607</v>
          </cell>
          <cell r="AF2080">
            <v>1598669664</v>
          </cell>
          <cell r="AG2080">
            <v>57971828</v>
          </cell>
          <cell r="AH2080">
            <v>620460000</v>
          </cell>
          <cell r="AI2080">
            <v>226240133</v>
          </cell>
        </row>
        <row r="2081">
          <cell r="A2081">
            <v>205010301</v>
          </cell>
          <cell r="C2081">
            <v>472875000</v>
          </cell>
          <cell r="D2081">
            <v>1923256707</v>
          </cell>
          <cell r="E2081">
            <v>0</v>
          </cell>
          <cell r="F2081">
            <v>13896742</v>
          </cell>
          <cell r="G2081">
            <v>0</v>
          </cell>
          <cell r="H2081">
            <v>0</v>
          </cell>
          <cell r="I2081">
            <v>0</v>
          </cell>
          <cell r="J2081">
            <v>25920484</v>
          </cell>
          <cell r="K2081">
            <v>6237622</v>
          </cell>
          <cell r="L2081">
            <v>0</v>
          </cell>
          <cell r="M2081">
            <v>0</v>
          </cell>
          <cell r="N2081">
            <v>0</v>
          </cell>
          <cell r="O2081">
            <v>70621904</v>
          </cell>
          <cell r="P2081">
            <v>0</v>
          </cell>
          <cell r="Q2081">
            <v>0</v>
          </cell>
          <cell r="R2081">
            <v>10797823</v>
          </cell>
          <cell r="S2081">
            <v>36489268</v>
          </cell>
          <cell r="T2081">
            <v>-95283207</v>
          </cell>
          <cell r="U2081">
            <v>0</v>
          </cell>
          <cell r="V2081">
            <v>120521560</v>
          </cell>
          <cell r="W2081">
            <v>0</v>
          </cell>
          <cell r="X2081">
            <v>0</v>
          </cell>
          <cell r="Y2081">
            <v>38370177</v>
          </cell>
          <cell r="Z2081">
            <v>0</v>
          </cell>
          <cell r="AA2081">
            <v>0</v>
          </cell>
          <cell r="AB2081">
            <v>181619845</v>
          </cell>
          <cell r="AC2081">
            <v>103321908</v>
          </cell>
          <cell r="AD2081">
            <v>141000000</v>
          </cell>
          <cell r="AE2081">
            <v>0</v>
          </cell>
          <cell r="AF2081">
            <v>799386863</v>
          </cell>
          <cell r="AG2081">
            <v>1925228</v>
          </cell>
          <cell r="AH2081">
            <v>448200000</v>
          </cell>
          <cell r="AI2081">
            <v>0</v>
          </cell>
        </row>
        <row r="2082">
          <cell r="A2082">
            <v>205010302</v>
          </cell>
          <cell r="C2082">
            <v>0</v>
          </cell>
          <cell r="D2082">
            <v>0</v>
          </cell>
          <cell r="E2082">
            <v>0</v>
          </cell>
          <cell r="F2082">
            <v>13896742</v>
          </cell>
          <cell r="G2082">
            <v>44868320</v>
          </cell>
          <cell r="H2082">
            <v>0</v>
          </cell>
          <cell r="I2082">
            <v>0</v>
          </cell>
          <cell r="J2082">
            <v>0</v>
          </cell>
          <cell r="K2082">
            <v>106678</v>
          </cell>
          <cell r="L2082">
            <v>0</v>
          </cell>
          <cell r="M2082">
            <v>0</v>
          </cell>
          <cell r="N2082">
            <v>0</v>
          </cell>
          <cell r="O2082">
            <v>7478910</v>
          </cell>
          <cell r="P2082">
            <v>0</v>
          </cell>
          <cell r="Q2082">
            <v>0</v>
          </cell>
          <cell r="R2082">
            <v>2041342</v>
          </cell>
          <cell r="S2082">
            <v>0</v>
          </cell>
          <cell r="T2082">
            <v>13207956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24060369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</row>
        <row r="2083">
          <cell r="A2083">
            <v>205010303</v>
          </cell>
          <cell r="C2083">
            <v>0</v>
          </cell>
          <cell r="D2083">
            <v>0</v>
          </cell>
          <cell r="E2083">
            <v>0</v>
          </cell>
          <cell r="F2083">
            <v>23161231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94425</v>
          </cell>
          <cell r="L2083">
            <v>0</v>
          </cell>
          <cell r="M2083">
            <v>0</v>
          </cell>
          <cell r="N2083">
            <v>0</v>
          </cell>
          <cell r="O2083">
            <v>1614724</v>
          </cell>
          <cell r="P2083">
            <v>0</v>
          </cell>
          <cell r="Q2083">
            <v>0</v>
          </cell>
          <cell r="R2083">
            <v>1952011</v>
          </cell>
          <cell r="S2083">
            <v>0</v>
          </cell>
          <cell r="T2083">
            <v>91093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2807417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</row>
        <row r="2084">
          <cell r="A2084">
            <v>205010304</v>
          </cell>
          <cell r="C2084">
            <v>166161000</v>
          </cell>
          <cell r="D2084">
            <v>111489598</v>
          </cell>
          <cell r="E2084">
            <v>0</v>
          </cell>
          <cell r="F2084">
            <v>0</v>
          </cell>
          <cell r="G2084">
            <v>175200534</v>
          </cell>
          <cell r="H2084">
            <v>0</v>
          </cell>
          <cell r="I2084">
            <v>47898135</v>
          </cell>
          <cell r="J2084">
            <v>0</v>
          </cell>
          <cell r="K2084">
            <v>0</v>
          </cell>
          <cell r="L2084">
            <v>52152752</v>
          </cell>
          <cell r="M2084">
            <v>46269000</v>
          </cell>
          <cell r="N2084">
            <v>0</v>
          </cell>
          <cell r="O2084">
            <v>0</v>
          </cell>
          <cell r="P2084">
            <v>32529673</v>
          </cell>
          <cell r="Q2084">
            <v>0</v>
          </cell>
          <cell r="R2084">
            <v>12002502</v>
          </cell>
          <cell r="S2084">
            <v>35743499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275481018</v>
          </cell>
          <cell r="Y2084">
            <v>0</v>
          </cell>
          <cell r="Z2084">
            <v>0</v>
          </cell>
          <cell r="AA2084">
            <v>0</v>
          </cell>
          <cell r="AB2084">
            <v>162927376</v>
          </cell>
          <cell r="AC2084">
            <v>9334068</v>
          </cell>
          <cell r="AD2084">
            <v>22846795</v>
          </cell>
          <cell r="AE2084">
            <v>39133607</v>
          </cell>
          <cell r="AF2084">
            <v>379698684</v>
          </cell>
          <cell r="AG2084">
            <v>56046600</v>
          </cell>
          <cell r="AH2084">
            <v>172260000</v>
          </cell>
          <cell r="AI2084">
            <v>0</v>
          </cell>
        </row>
        <row r="2085">
          <cell r="A2085">
            <v>205010305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48209000</v>
          </cell>
          <cell r="H2085">
            <v>0</v>
          </cell>
          <cell r="I2085">
            <v>0</v>
          </cell>
          <cell r="J2085">
            <v>0</v>
          </cell>
          <cell r="K2085">
            <v>6183957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19316984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</row>
        <row r="2086">
          <cell r="A2086">
            <v>205010306</v>
          </cell>
          <cell r="C2086">
            <v>0</v>
          </cell>
          <cell r="D2086">
            <v>0</v>
          </cell>
          <cell r="E2086">
            <v>0</v>
          </cell>
          <cell r="F2086">
            <v>18528989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1166266</v>
          </cell>
          <cell r="L2086">
            <v>0</v>
          </cell>
          <cell r="M2086">
            <v>0</v>
          </cell>
          <cell r="N2086">
            <v>0</v>
          </cell>
          <cell r="O2086">
            <v>8544662</v>
          </cell>
          <cell r="P2086">
            <v>0</v>
          </cell>
          <cell r="Q2086">
            <v>0</v>
          </cell>
          <cell r="R2086">
            <v>3227924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8285895</v>
          </cell>
          <cell r="Z2086">
            <v>53244561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</row>
        <row r="2087">
          <cell r="A2087">
            <v>205010307</v>
          </cell>
          <cell r="C2087">
            <v>0</v>
          </cell>
          <cell r="D2087">
            <v>0</v>
          </cell>
          <cell r="E2087">
            <v>0</v>
          </cell>
          <cell r="F2087">
            <v>13896742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23854</v>
          </cell>
          <cell r="L2087">
            <v>0</v>
          </cell>
          <cell r="M2087">
            <v>0</v>
          </cell>
          <cell r="N2087">
            <v>0</v>
          </cell>
          <cell r="O2087">
            <v>314276</v>
          </cell>
          <cell r="P2087">
            <v>0</v>
          </cell>
          <cell r="Q2087">
            <v>0</v>
          </cell>
          <cell r="R2087">
            <v>242342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</row>
        <row r="2088">
          <cell r="A2088">
            <v>205010308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</row>
        <row r="2089">
          <cell r="A2089">
            <v>205010309</v>
          </cell>
          <cell r="C2089">
            <v>0</v>
          </cell>
          <cell r="D2089">
            <v>481320000</v>
          </cell>
          <cell r="E2089">
            <v>0</v>
          </cell>
          <cell r="F2089">
            <v>13896742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449583</v>
          </cell>
          <cell r="L2089">
            <v>0</v>
          </cell>
          <cell r="M2089">
            <v>0</v>
          </cell>
          <cell r="N2089">
            <v>0</v>
          </cell>
          <cell r="O2089">
            <v>7041708</v>
          </cell>
          <cell r="P2089">
            <v>0</v>
          </cell>
          <cell r="Q2089">
            <v>0</v>
          </cell>
          <cell r="R2089">
            <v>79330089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339442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419584117</v>
          </cell>
          <cell r="AG2089">
            <v>0</v>
          </cell>
          <cell r="AH2089">
            <v>0</v>
          </cell>
          <cell r="AI2089">
            <v>24365102</v>
          </cell>
        </row>
        <row r="2090">
          <cell r="A2090">
            <v>205010310</v>
          </cell>
          <cell r="C2090">
            <v>0</v>
          </cell>
          <cell r="D2090">
            <v>0</v>
          </cell>
          <cell r="E2090">
            <v>0</v>
          </cell>
          <cell r="F2090">
            <v>13896742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11859292</v>
          </cell>
          <cell r="L2090">
            <v>0</v>
          </cell>
          <cell r="M2090">
            <v>0</v>
          </cell>
          <cell r="N2090">
            <v>0</v>
          </cell>
          <cell r="O2090">
            <v>2735834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52521361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8871082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</row>
        <row r="2091">
          <cell r="A2091">
            <v>205010311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242492</v>
          </cell>
          <cell r="S2091">
            <v>0</v>
          </cell>
          <cell r="T2091">
            <v>23648634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</row>
        <row r="2092">
          <cell r="A2092">
            <v>205010312</v>
          </cell>
          <cell r="C2092">
            <v>0</v>
          </cell>
          <cell r="D2092">
            <v>0</v>
          </cell>
          <cell r="E2092">
            <v>0</v>
          </cell>
          <cell r="F2092">
            <v>13896742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303673</v>
          </cell>
          <cell r="L2092">
            <v>0</v>
          </cell>
          <cell r="M2092">
            <v>0</v>
          </cell>
          <cell r="N2092">
            <v>0</v>
          </cell>
          <cell r="O2092">
            <v>3412788</v>
          </cell>
          <cell r="P2092">
            <v>0</v>
          </cell>
          <cell r="Q2092">
            <v>0</v>
          </cell>
          <cell r="R2092">
            <v>5664692</v>
          </cell>
          <cell r="S2092">
            <v>77942</v>
          </cell>
          <cell r="T2092">
            <v>22368166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1016482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201875031</v>
          </cell>
        </row>
        <row r="2093">
          <cell r="A2093">
            <v>205010313</v>
          </cell>
          <cell r="C2093">
            <v>0</v>
          </cell>
          <cell r="D2093">
            <v>0</v>
          </cell>
          <cell r="E2093">
            <v>0</v>
          </cell>
          <cell r="F2093">
            <v>13896742</v>
          </cell>
          <cell r="G2093">
            <v>0</v>
          </cell>
          <cell r="H2093">
            <v>115286724</v>
          </cell>
          <cell r="I2093">
            <v>0</v>
          </cell>
          <cell r="J2093">
            <v>0</v>
          </cell>
          <cell r="K2093">
            <v>249650</v>
          </cell>
          <cell r="L2093">
            <v>0</v>
          </cell>
          <cell r="M2093">
            <v>0</v>
          </cell>
          <cell r="N2093">
            <v>0</v>
          </cell>
          <cell r="O2093">
            <v>170220358</v>
          </cell>
          <cell r="P2093">
            <v>0</v>
          </cell>
          <cell r="Q2093">
            <v>0</v>
          </cell>
          <cell r="R2093">
            <v>7055364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57952152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</row>
        <row r="2094">
          <cell r="A2094">
            <v>205010400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84435266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2168925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29344896</v>
          </cell>
          <cell r="AG2094">
            <v>0</v>
          </cell>
          <cell r="AH2094">
            <v>122000000</v>
          </cell>
          <cell r="AI2094">
            <v>0</v>
          </cell>
        </row>
        <row r="2095">
          <cell r="A2095">
            <v>205010401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84435266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122000000</v>
          </cell>
          <cell r="AI2095">
            <v>0</v>
          </cell>
        </row>
        <row r="2096">
          <cell r="A2096">
            <v>205010402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</row>
        <row r="2097">
          <cell r="A2097">
            <v>205010403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2168925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29344896</v>
          </cell>
          <cell r="AG2097">
            <v>0</v>
          </cell>
          <cell r="AH2097">
            <v>0</v>
          </cell>
          <cell r="AI2097">
            <v>0</v>
          </cell>
        </row>
        <row r="2098">
          <cell r="A2098">
            <v>205010404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</row>
        <row r="2099">
          <cell r="A2099">
            <v>205010405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</row>
        <row r="2100">
          <cell r="A2100">
            <v>205010406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</row>
        <row r="2101">
          <cell r="A2101">
            <v>205010407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</row>
        <row r="2102">
          <cell r="A2102">
            <v>205010408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</row>
        <row r="2103">
          <cell r="A2103">
            <v>205010409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</row>
        <row r="2104">
          <cell r="A2104">
            <v>205010500</v>
          </cell>
          <cell r="C2104">
            <v>73996151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106387009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2959125742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</row>
        <row r="2105">
          <cell r="A2105">
            <v>205010501</v>
          </cell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46420527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1079422141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</row>
        <row r="2106">
          <cell r="A2106">
            <v>205010502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421204589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</row>
        <row r="2107">
          <cell r="A2107">
            <v>205010503</v>
          </cell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445746811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</row>
        <row r="2108">
          <cell r="A2108">
            <v>205010504</v>
          </cell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51349033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</row>
        <row r="2109">
          <cell r="A2109">
            <v>205010505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</row>
        <row r="2110">
          <cell r="A2110">
            <v>205010506</v>
          </cell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2571400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266851108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</row>
        <row r="2111">
          <cell r="A2111">
            <v>205010507</v>
          </cell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5829002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</row>
        <row r="2112">
          <cell r="A2112">
            <v>205010508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</row>
        <row r="2113">
          <cell r="A2113">
            <v>205010509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282344662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</row>
        <row r="2114">
          <cell r="A2114">
            <v>205010510</v>
          </cell>
          <cell r="C2114">
            <v>73996151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1409600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184841447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</row>
        <row r="2115">
          <cell r="A2115">
            <v>205010511</v>
          </cell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10910462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</row>
        <row r="2116">
          <cell r="A2116">
            <v>205010512</v>
          </cell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4636449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159877770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</row>
        <row r="2117">
          <cell r="A2117">
            <v>205010513</v>
          </cell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102097750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</row>
        <row r="2118">
          <cell r="A2118">
            <v>205010600</v>
          </cell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</row>
        <row r="2119">
          <cell r="A2119">
            <v>205010601</v>
          </cell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</row>
        <row r="2120">
          <cell r="A2120">
            <v>205010602</v>
          </cell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</row>
        <row r="2121">
          <cell r="A2121">
            <v>205010603</v>
          </cell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</row>
        <row r="2122">
          <cell r="A2122">
            <v>205010604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</row>
        <row r="2123">
          <cell r="A2123">
            <v>205010605</v>
          </cell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</row>
        <row r="2124">
          <cell r="A2124">
            <v>205010606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</row>
        <row r="2125">
          <cell r="A2125">
            <v>205010607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</row>
        <row r="2126">
          <cell r="A2126">
            <v>205010608</v>
          </cell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</row>
        <row r="2127">
          <cell r="A2127">
            <v>205010609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</row>
        <row r="2128">
          <cell r="A2128">
            <v>205020000</v>
          </cell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926755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72584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</row>
        <row r="2129">
          <cell r="A2129">
            <v>205020100</v>
          </cell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</row>
        <row r="2130">
          <cell r="A2130">
            <v>205020101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</row>
        <row r="2131">
          <cell r="A2131">
            <v>205020102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</row>
        <row r="2132">
          <cell r="A2132">
            <v>205020103</v>
          </cell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</row>
        <row r="2133">
          <cell r="A2133">
            <v>205020104</v>
          </cell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</row>
        <row r="2134">
          <cell r="A2134">
            <v>205020105</v>
          </cell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</row>
        <row r="2135">
          <cell r="A2135">
            <v>205020106</v>
          </cell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</row>
        <row r="2136">
          <cell r="A2136">
            <v>205020107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</row>
        <row r="2137">
          <cell r="A2137">
            <v>205020108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</row>
        <row r="2138">
          <cell r="A2138">
            <v>205020109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</row>
        <row r="2139">
          <cell r="A2139">
            <v>205020110</v>
          </cell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</row>
        <row r="2140">
          <cell r="A2140">
            <v>205020111</v>
          </cell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</row>
        <row r="2141">
          <cell r="A2141">
            <v>205020112</v>
          </cell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</row>
        <row r="2142">
          <cell r="A2142">
            <v>205020113</v>
          </cell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</row>
        <row r="2143">
          <cell r="A2143">
            <v>205020200</v>
          </cell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926755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</row>
        <row r="2144">
          <cell r="A2144">
            <v>205020201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1361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</row>
        <row r="2145">
          <cell r="A2145">
            <v>205020202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</row>
        <row r="2146">
          <cell r="A2146">
            <v>205020203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</row>
        <row r="2147">
          <cell r="A2147">
            <v>205020204</v>
          </cell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</row>
        <row r="2148">
          <cell r="A2148">
            <v>205020205</v>
          </cell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</row>
        <row r="2149">
          <cell r="A2149">
            <v>205020206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</row>
        <row r="2150">
          <cell r="A2150">
            <v>205020207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</row>
        <row r="2151">
          <cell r="A2151">
            <v>205020208</v>
          </cell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</row>
        <row r="2152">
          <cell r="A2152">
            <v>205020209</v>
          </cell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</row>
        <row r="2153">
          <cell r="A2153">
            <v>205020210</v>
          </cell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</row>
        <row r="2154">
          <cell r="A2154">
            <v>205020211</v>
          </cell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</row>
        <row r="2155">
          <cell r="A2155">
            <v>205020212</v>
          </cell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</row>
        <row r="2156">
          <cell r="A2156">
            <v>205020213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925394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</row>
        <row r="2157">
          <cell r="A2157">
            <v>205020300</v>
          </cell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72584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</row>
        <row r="2158">
          <cell r="A2158">
            <v>205020301</v>
          </cell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</row>
        <row r="2159">
          <cell r="A2159">
            <v>205020302</v>
          </cell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</row>
        <row r="2160">
          <cell r="A2160">
            <v>205020303</v>
          </cell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72584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</row>
        <row r="2161">
          <cell r="A2161">
            <v>205020304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</row>
        <row r="2162">
          <cell r="A2162">
            <v>205020305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</row>
        <row r="2163">
          <cell r="A2163">
            <v>205020306</v>
          </cell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</row>
        <row r="2164">
          <cell r="A2164">
            <v>205020307</v>
          </cell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</row>
        <row r="2165">
          <cell r="A2165">
            <v>205020308</v>
          </cell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</row>
        <row r="2166">
          <cell r="A2166">
            <v>205020309</v>
          </cell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</row>
        <row r="2167">
          <cell r="A2167">
            <v>205020400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</row>
        <row r="2168">
          <cell r="A2168">
            <v>205020401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</row>
        <row r="2169">
          <cell r="A2169">
            <v>205020402</v>
          </cell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</row>
        <row r="2170">
          <cell r="A2170">
            <v>205020403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</row>
        <row r="2171">
          <cell r="A2171">
            <v>205020404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</row>
        <row r="2172">
          <cell r="A2172">
            <v>205020405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</row>
        <row r="2173">
          <cell r="A2173">
            <v>205020406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</row>
        <row r="2174">
          <cell r="A2174">
            <v>205020407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</row>
        <row r="2175">
          <cell r="A2175">
            <v>205020408</v>
          </cell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</row>
        <row r="2176">
          <cell r="A2176">
            <v>205020409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</row>
        <row r="2177">
          <cell r="A2177">
            <v>205100000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</row>
        <row r="2178">
          <cell r="A2178">
            <v>205100100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</row>
        <row r="2179">
          <cell r="A2179">
            <v>205100101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</row>
        <row r="2180">
          <cell r="A2180">
            <v>205100200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</row>
        <row r="2181">
          <cell r="A2181">
            <v>205100201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</row>
        <row r="2182">
          <cell r="A2182">
            <v>206000000</v>
          </cell>
          <cell r="C2182">
            <v>2480238046</v>
          </cell>
          <cell r="D2182">
            <v>1810652474</v>
          </cell>
          <cell r="E2182">
            <v>1266281397</v>
          </cell>
          <cell r="F2182">
            <v>689909525</v>
          </cell>
          <cell r="G2182">
            <v>2356930975</v>
          </cell>
          <cell r="H2182">
            <v>6591030185</v>
          </cell>
          <cell r="I2182">
            <v>1645289065</v>
          </cell>
          <cell r="J2182">
            <v>508750727</v>
          </cell>
          <cell r="K2182">
            <v>267995249</v>
          </cell>
          <cell r="L2182">
            <v>245535553</v>
          </cell>
          <cell r="M2182">
            <v>593773024</v>
          </cell>
          <cell r="N2182">
            <v>1752365052</v>
          </cell>
          <cell r="O2182">
            <v>1365714702</v>
          </cell>
          <cell r="P2182">
            <v>1537306819</v>
          </cell>
          <cell r="Q2182">
            <v>773634995</v>
          </cell>
          <cell r="R2182">
            <v>736196876</v>
          </cell>
          <cell r="S2182">
            <v>68920821</v>
          </cell>
          <cell r="T2182">
            <v>1607332854</v>
          </cell>
          <cell r="U2182">
            <v>0</v>
          </cell>
          <cell r="V2182">
            <v>3739909320</v>
          </cell>
          <cell r="W2182">
            <v>1516423414</v>
          </cell>
          <cell r="X2182">
            <v>1796996022</v>
          </cell>
          <cell r="Y2182">
            <v>379800120</v>
          </cell>
          <cell r="Z2182">
            <v>1381097739</v>
          </cell>
          <cell r="AA2182">
            <v>490520193</v>
          </cell>
          <cell r="AB2182">
            <v>3274141793</v>
          </cell>
          <cell r="AC2182">
            <v>677669528</v>
          </cell>
          <cell r="AD2182">
            <v>1804726071</v>
          </cell>
          <cell r="AE2182">
            <v>6525255670</v>
          </cell>
          <cell r="AF2182">
            <v>633126473</v>
          </cell>
          <cell r="AG2182">
            <v>1335150178</v>
          </cell>
          <cell r="AH2182">
            <v>455945234</v>
          </cell>
          <cell r="AI2182">
            <v>781488392</v>
          </cell>
        </row>
        <row r="2183">
          <cell r="A2183">
            <v>206010000</v>
          </cell>
          <cell r="C2183">
            <v>466382807</v>
          </cell>
          <cell r="D2183">
            <v>363603587</v>
          </cell>
          <cell r="E2183">
            <v>450003531</v>
          </cell>
          <cell r="F2183">
            <v>269926962</v>
          </cell>
          <cell r="G2183">
            <v>338014504</v>
          </cell>
          <cell r="H2183">
            <v>1192436901</v>
          </cell>
          <cell r="I2183">
            <v>239024619</v>
          </cell>
          <cell r="J2183">
            <v>105195816</v>
          </cell>
          <cell r="K2183">
            <v>30503831</v>
          </cell>
          <cell r="L2183">
            <v>121125932</v>
          </cell>
          <cell r="M2183">
            <v>176104991</v>
          </cell>
          <cell r="N2183">
            <v>367780994</v>
          </cell>
          <cell r="O2183">
            <v>488856361</v>
          </cell>
          <cell r="P2183">
            <v>568763215</v>
          </cell>
          <cell r="Q2183">
            <v>290054038</v>
          </cell>
          <cell r="R2183">
            <v>267799431</v>
          </cell>
          <cell r="S2183">
            <v>53083</v>
          </cell>
          <cell r="T2183">
            <v>238677484</v>
          </cell>
          <cell r="U2183">
            <v>0</v>
          </cell>
          <cell r="V2183">
            <v>1256979329</v>
          </cell>
          <cell r="W2183">
            <v>365741194</v>
          </cell>
          <cell r="X2183">
            <v>382816077</v>
          </cell>
          <cell r="Y2183">
            <v>117370998</v>
          </cell>
          <cell r="Z2183">
            <v>340021704</v>
          </cell>
          <cell r="AA2183">
            <v>61236188</v>
          </cell>
          <cell r="AB2183">
            <v>537389527</v>
          </cell>
          <cell r="AC2183">
            <v>79868963</v>
          </cell>
          <cell r="AD2183">
            <v>507383758</v>
          </cell>
          <cell r="AE2183">
            <v>1999040414</v>
          </cell>
          <cell r="AF2183">
            <v>236783326</v>
          </cell>
          <cell r="AG2183">
            <v>33065089</v>
          </cell>
          <cell r="AH2183">
            <v>132303110</v>
          </cell>
          <cell r="AI2183">
            <v>67456677</v>
          </cell>
        </row>
        <row r="2184">
          <cell r="A2184">
            <v>206010100</v>
          </cell>
          <cell r="C2184">
            <v>466382807</v>
          </cell>
          <cell r="D2184">
            <v>363603587</v>
          </cell>
          <cell r="E2184">
            <v>450003531</v>
          </cell>
          <cell r="F2184">
            <v>269926962</v>
          </cell>
          <cell r="G2184">
            <v>338014504</v>
          </cell>
          <cell r="H2184">
            <v>1192436901</v>
          </cell>
          <cell r="I2184">
            <v>239024619</v>
          </cell>
          <cell r="J2184">
            <v>105195816</v>
          </cell>
          <cell r="K2184">
            <v>30503831</v>
          </cell>
          <cell r="L2184">
            <v>121125932</v>
          </cell>
          <cell r="M2184">
            <v>176104991</v>
          </cell>
          <cell r="N2184">
            <v>367780994</v>
          </cell>
          <cell r="O2184">
            <v>488856361</v>
          </cell>
          <cell r="P2184">
            <v>568763215</v>
          </cell>
          <cell r="Q2184">
            <v>290054038</v>
          </cell>
          <cell r="R2184">
            <v>267799431</v>
          </cell>
          <cell r="S2184">
            <v>53083</v>
          </cell>
          <cell r="T2184">
            <v>238677484</v>
          </cell>
          <cell r="U2184">
            <v>0</v>
          </cell>
          <cell r="V2184">
            <v>1256979329</v>
          </cell>
          <cell r="W2184">
            <v>365741194</v>
          </cell>
          <cell r="X2184">
            <v>382816077</v>
          </cell>
          <cell r="Y2184">
            <v>117370998</v>
          </cell>
          <cell r="Z2184">
            <v>340021704</v>
          </cell>
          <cell r="AA2184">
            <v>61236188</v>
          </cell>
          <cell r="AB2184">
            <v>537389527</v>
          </cell>
          <cell r="AC2184">
            <v>79868963</v>
          </cell>
          <cell r="AD2184">
            <v>507383758</v>
          </cell>
          <cell r="AE2184">
            <v>1999040414</v>
          </cell>
          <cell r="AF2184">
            <v>236783326</v>
          </cell>
          <cell r="AG2184">
            <v>33065089</v>
          </cell>
          <cell r="AH2184">
            <v>132303110</v>
          </cell>
          <cell r="AI2184">
            <v>67456677</v>
          </cell>
        </row>
        <row r="2185">
          <cell r="A2185">
            <v>206010101</v>
          </cell>
          <cell r="C2185">
            <v>466382807</v>
          </cell>
          <cell r="D2185">
            <v>363603587</v>
          </cell>
          <cell r="E2185">
            <v>450003531</v>
          </cell>
          <cell r="F2185">
            <v>269926962</v>
          </cell>
          <cell r="G2185">
            <v>338014504</v>
          </cell>
          <cell r="H2185">
            <v>1192436901</v>
          </cell>
          <cell r="I2185">
            <v>239024619</v>
          </cell>
          <cell r="J2185">
            <v>105195816</v>
          </cell>
          <cell r="K2185">
            <v>30503831</v>
          </cell>
          <cell r="L2185">
            <v>121125932</v>
          </cell>
          <cell r="M2185">
            <v>176104991</v>
          </cell>
          <cell r="N2185">
            <v>367780994</v>
          </cell>
          <cell r="O2185">
            <v>488856361</v>
          </cell>
          <cell r="P2185">
            <v>568763215</v>
          </cell>
          <cell r="Q2185">
            <v>290054038</v>
          </cell>
          <cell r="R2185">
            <v>267799431</v>
          </cell>
          <cell r="S2185">
            <v>53083</v>
          </cell>
          <cell r="T2185">
            <v>238677484</v>
          </cell>
          <cell r="U2185">
            <v>0</v>
          </cell>
          <cell r="V2185">
            <v>1256979329</v>
          </cell>
          <cell r="W2185">
            <v>365741194</v>
          </cell>
          <cell r="X2185">
            <v>382816077</v>
          </cell>
          <cell r="Y2185">
            <v>117370998</v>
          </cell>
          <cell r="Z2185">
            <v>340021704</v>
          </cell>
          <cell r="AA2185">
            <v>61236188</v>
          </cell>
          <cell r="AB2185">
            <v>537389527</v>
          </cell>
          <cell r="AC2185">
            <v>79868963</v>
          </cell>
          <cell r="AD2185">
            <v>507383758</v>
          </cell>
          <cell r="AE2185">
            <v>1999040414</v>
          </cell>
          <cell r="AF2185">
            <v>236783326</v>
          </cell>
          <cell r="AG2185">
            <v>33065089</v>
          </cell>
          <cell r="AH2185">
            <v>132303110</v>
          </cell>
          <cell r="AI2185">
            <v>67456677</v>
          </cell>
        </row>
        <row r="2186">
          <cell r="A2186">
            <v>206020000</v>
          </cell>
          <cell r="C2186">
            <v>2013855239</v>
          </cell>
          <cell r="D2186">
            <v>1447048887</v>
          </cell>
          <cell r="E2186">
            <v>816277866</v>
          </cell>
          <cell r="F2186">
            <v>419982563</v>
          </cell>
          <cell r="G2186">
            <v>2018916471</v>
          </cell>
          <cell r="H2186">
            <v>5398593284</v>
          </cell>
          <cell r="I2186">
            <v>1406264446</v>
          </cell>
          <cell r="J2186">
            <v>403554911</v>
          </cell>
          <cell r="K2186">
            <v>237491418</v>
          </cell>
          <cell r="L2186">
            <v>124409621</v>
          </cell>
          <cell r="M2186">
            <v>417668033</v>
          </cell>
          <cell r="N2186">
            <v>1384584058</v>
          </cell>
          <cell r="O2186">
            <v>876858341</v>
          </cell>
          <cell r="P2186">
            <v>968543604</v>
          </cell>
          <cell r="Q2186">
            <v>483580957</v>
          </cell>
          <cell r="R2186">
            <v>468397445</v>
          </cell>
          <cell r="S2186">
            <v>68867738</v>
          </cell>
          <cell r="T2186">
            <v>1368655370</v>
          </cell>
          <cell r="U2186">
            <v>0</v>
          </cell>
          <cell r="V2186">
            <v>2482929991</v>
          </cell>
          <cell r="W2186">
            <v>1150682220</v>
          </cell>
          <cell r="X2186">
            <v>1414179945</v>
          </cell>
          <cell r="Y2186">
            <v>262429122</v>
          </cell>
          <cell r="Z2186">
            <v>1041076035</v>
          </cell>
          <cell r="AA2186">
            <v>429284005</v>
          </cell>
          <cell r="AB2186">
            <v>2736752266</v>
          </cell>
          <cell r="AC2186">
            <v>597800565</v>
          </cell>
          <cell r="AD2186">
            <v>1297342313</v>
          </cell>
          <cell r="AE2186">
            <v>4526215256</v>
          </cell>
          <cell r="AF2186">
            <v>396343147</v>
          </cell>
          <cell r="AG2186">
            <v>1302085089</v>
          </cell>
          <cell r="AH2186">
            <v>323642124</v>
          </cell>
          <cell r="AI2186">
            <v>714031715</v>
          </cell>
        </row>
        <row r="2187">
          <cell r="A2187">
            <v>206020100</v>
          </cell>
          <cell r="C2187">
            <v>2013483168</v>
          </cell>
          <cell r="D2187">
            <v>1444017820</v>
          </cell>
          <cell r="E2187">
            <v>816277866</v>
          </cell>
          <cell r="F2187">
            <v>419982563</v>
          </cell>
          <cell r="G2187">
            <v>1998940856</v>
          </cell>
          <cell r="H2187">
            <v>5331305968</v>
          </cell>
          <cell r="I2187">
            <v>1406205931</v>
          </cell>
          <cell r="J2187">
            <v>403554911</v>
          </cell>
          <cell r="K2187">
            <v>237446718</v>
          </cell>
          <cell r="L2187">
            <v>119909621</v>
          </cell>
          <cell r="M2187">
            <v>417668033</v>
          </cell>
          <cell r="N2187">
            <v>1378117472</v>
          </cell>
          <cell r="O2187">
            <v>876858341</v>
          </cell>
          <cell r="P2187">
            <v>968543604</v>
          </cell>
          <cell r="Q2187">
            <v>483580957</v>
          </cell>
          <cell r="R2187">
            <v>468308576</v>
          </cell>
          <cell r="S2187">
            <v>68867738</v>
          </cell>
          <cell r="T2187">
            <v>1272583179</v>
          </cell>
          <cell r="U2187">
            <v>0</v>
          </cell>
          <cell r="V2187">
            <v>2428631309</v>
          </cell>
          <cell r="W2187">
            <v>1149822989</v>
          </cell>
          <cell r="X2187">
            <v>1392282863</v>
          </cell>
          <cell r="Y2187">
            <v>262429122</v>
          </cell>
          <cell r="Z2187">
            <v>1041076035</v>
          </cell>
          <cell r="AA2187">
            <v>429284005</v>
          </cell>
          <cell r="AB2187">
            <v>2736009767</v>
          </cell>
          <cell r="AC2187">
            <v>595659150</v>
          </cell>
          <cell r="AD2187">
            <v>1297328734</v>
          </cell>
          <cell r="AE2187">
            <v>4323022067</v>
          </cell>
          <cell r="AF2187">
            <v>391036122</v>
          </cell>
          <cell r="AG2187">
            <v>1300504614</v>
          </cell>
          <cell r="AH2187">
            <v>308104674</v>
          </cell>
          <cell r="AI2187">
            <v>710675486</v>
          </cell>
        </row>
        <row r="2188">
          <cell r="A2188">
            <v>206020101</v>
          </cell>
          <cell r="C2188">
            <v>101947710</v>
          </cell>
          <cell r="D2188">
            <v>319878664</v>
          </cell>
          <cell r="E2188">
            <v>442786843</v>
          </cell>
          <cell r="F2188">
            <v>42889657</v>
          </cell>
          <cell r="G2188">
            <v>87911294</v>
          </cell>
          <cell r="H2188">
            <v>217408101</v>
          </cell>
          <cell r="I2188">
            <v>107526464</v>
          </cell>
          <cell r="J2188">
            <v>37784368</v>
          </cell>
          <cell r="K2188">
            <v>6113486</v>
          </cell>
          <cell r="L2188">
            <v>26035326</v>
          </cell>
          <cell r="M2188">
            <v>1285384</v>
          </cell>
          <cell r="N2188">
            <v>236801469</v>
          </cell>
          <cell r="O2188">
            <v>175656684</v>
          </cell>
          <cell r="P2188">
            <v>82599581</v>
          </cell>
          <cell r="Q2188">
            <v>73487602</v>
          </cell>
          <cell r="R2188">
            <v>46579361</v>
          </cell>
          <cell r="S2188">
            <v>2351256</v>
          </cell>
          <cell r="T2188">
            <v>55047183</v>
          </cell>
          <cell r="U2188">
            <v>0</v>
          </cell>
          <cell r="V2188">
            <v>221746973</v>
          </cell>
          <cell r="W2188">
            <v>74859135</v>
          </cell>
          <cell r="X2188">
            <v>171646668</v>
          </cell>
          <cell r="Y2188">
            <v>46623938</v>
          </cell>
          <cell r="Z2188">
            <v>51145677</v>
          </cell>
          <cell r="AA2188">
            <v>86261555</v>
          </cell>
          <cell r="AB2188">
            <v>165845346</v>
          </cell>
          <cell r="AC2188">
            <v>51220383</v>
          </cell>
          <cell r="AD2188">
            <v>142706230</v>
          </cell>
          <cell r="AE2188">
            <v>971885256</v>
          </cell>
          <cell r="AF2188">
            <v>19039238</v>
          </cell>
          <cell r="AG2188">
            <v>51632709</v>
          </cell>
          <cell r="AH2188">
            <v>10454272</v>
          </cell>
          <cell r="AI2188">
            <v>2677435</v>
          </cell>
        </row>
        <row r="2189">
          <cell r="A2189">
            <v>206020102</v>
          </cell>
          <cell r="C2189">
            <v>15961019</v>
          </cell>
          <cell r="D2189">
            <v>45316495</v>
          </cell>
          <cell r="E2189">
            <v>8667729</v>
          </cell>
          <cell r="F2189">
            <v>4147540</v>
          </cell>
          <cell r="G2189">
            <v>33516966</v>
          </cell>
          <cell r="H2189">
            <v>43306690</v>
          </cell>
          <cell r="I2189">
            <v>19346573</v>
          </cell>
          <cell r="J2189">
            <v>1803065</v>
          </cell>
          <cell r="K2189">
            <v>1253196</v>
          </cell>
          <cell r="L2189">
            <v>950334</v>
          </cell>
          <cell r="M2189">
            <v>2684309</v>
          </cell>
          <cell r="N2189">
            <v>43911851</v>
          </cell>
          <cell r="O2189">
            <v>18611231</v>
          </cell>
          <cell r="P2189">
            <v>39597895</v>
          </cell>
          <cell r="Q2189">
            <v>26637228</v>
          </cell>
          <cell r="R2189">
            <v>17465294</v>
          </cell>
          <cell r="S2189">
            <v>37500</v>
          </cell>
          <cell r="T2189">
            <v>26386067</v>
          </cell>
          <cell r="U2189">
            <v>0</v>
          </cell>
          <cell r="V2189">
            <v>69696042</v>
          </cell>
          <cell r="W2189">
            <v>5902999</v>
          </cell>
          <cell r="X2189">
            <v>63375177</v>
          </cell>
          <cell r="Y2189">
            <v>4090127</v>
          </cell>
          <cell r="Z2189">
            <v>4791314</v>
          </cell>
          <cell r="AA2189">
            <v>9910460</v>
          </cell>
          <cell r="AB2189">
            <v>41843344</v>
          </cell>
          <cell r="AC2189">
            <v>1376177</v>
          </cell>
          <cell r="AD2189">
            <v>14775155</v>
          </cell>
          <cell r="AE2189">
            <v>91325334</v>
          </cell>
          <cell r="AF2189">
            <v>4726681</v>
          </cell>
          <cell r="AG2189">
            <v>26982802</v>
          </cell>
          <cell r="AH2189">
            <v>458138</v>
          </cell>
          <cell r="AI2189">
            <v>4929454</v>
          </cell>
        </row>
        <row r="2190">
          <cell r="A2190">
            <v>206020103</v>
          </cell>
          <cell r="C2190">
            <v>5835473</v>
          </cell>
          <cell r="D2190">
            <v>11804453</v>
          </cell>
          <cell r="E2190">
            <v>27211057</v>
          </cell>
          <cell r="F2190">
            <v>4255847</v>
          </cell>
          <cell r="G2190">
            <v>6392321</v>
          </cell>
          <cell r="H2190">
            <v>10214297</v>
          </cell>
          <cell r="I2190">
            <v>991200</v>
          </cell>
          <cell r="J2190">
            <v>3309649</v>
          </cell>
          <cell r="K2190">
            <v>274910</v>
          </cell>
          <cell r="L2190">
            <v>7063235</v>
          </cell>
          <cell r="M2190">
            <v>300600</v>
          </cell>
          <cell r="N2190">
            <v>2814915</v>
          </cell>
          <cell r="O2190">
            <v>14025137</v>
          </cell>
          <cell r="P2190">
            <v>1173056</v>
          </cell>
          <cell r="Q2190">
            <v>17901475</v>
          </cell>
          <cell r="R2190">
            <v>19796109</v>
          </cell>
          <cell r="S2190">
            <v>1389163</v>
          </cell>
          <cell r="T2190">
            <v>5670674</v>
          </cell>
          <cell r="U2190">
            <v>0</v>
          </cell>
          <cell r="V2190">
            <v>176916454</v>
          </cell>
          <cell r="W2190">
            <v>2719938</v>
          </cell>
          <cell r="X2190">
            <v>18225749</v>
          </cell>
          <cell r="Y2190">
            <v>906554</v>
          </cell>
          <cell r="Z2190">
            <v>4234726</v>
          </cell>
          <cell r="AA2190">
            <v>4109907</v>
          </cell>
          <cell r="AB2190">
            <v>41514251</v>
          </cell>
          <cell r="AC2190">
            <v>1883966</v>
          </cell>
          <cell r="AD2190">
            <v>2926270</v>
          </cell>
          <cell r="AE2190">
            <v>29491883</v>
          </cell>
          <cell r="AF2190">
            <v>7332338</v>
          </cell>
          <cell r="AG2190">
            <v>4184662</v>
          </cell>
          <cell r="AH2190">
            <v>3728432</v>
          </cell>
          <cell r="AI2190">
            <v>3170353</v>
          </cell>
        </row>
        <row r="2191">
          <cell r="A2191">
            <v>206020104</v>
          </cell>
          <cell r="C2191">
            <v>1673561841</v>
          </cell>
          <cell r="D2191">
            <v>1015547092</v>
          </cell>
          <cell r="E2191">
            <v>235206253</v>
          </cell>
          <cell r="F2191">
            <v>323437031</v>
          </cell>
          <cell r="G2191">
            <v>1784562309</v>
          </cell>
          <cell r="H2191">
            <v>4790073049</v>
          </cell>
          <cell r="I2191">
            <v>1214001649</v>
          </cell>
          <cell r="J2191">
            <v>353095146</v>
          </cell>
          <cell r="K2191">
            <v>225939726</v>
          </cell>
          <cell r="L2191">
            <v>80156800</v>
          </cell>
          <cell r="M2191">
            <v>141474082</v>
          </cell>
          <cell r="N2191">
            <v>939019195</v>
          </cell>
          <cell r="O2191">
            <v>508052807</v>
          </cell>
          <cell r="P2191">
            <v>808285653</v>
          </cell>
          <cell r="Q2191">
            <v>325374997</v>
          </cell>
          <cell r="R2191">
            <v>316879963</v>
          </cell>
          <cell r="S2191">
            <v>61251380</v>
          </cell>
          <cell r="T2191">
            <v>1125836761</v>
          </cell>
          <cell r="U2191">
            <v>0</v>
          </cell>
          <cell r="V2191">
            <v>1761524619</v>
          </cell>
          <cell r="W2191">
            <v>971766010</v>
          </cell>
          <cell r="X2191">
            <v>1002323334</v>
          </cell>
          <cell r="Y2191">
            <v>200094341</v>
          </cell>
          <cell r="Z2191">
            <v>951533831</v>
          </cell>
          <cell r="AA2191">
            <v>267022187</v>
          </cell>
          <cell r="AB2191">
            <v>2323051141</v>
          </cell>
          <cell r="AC2191">
            <v>506657501</v>
          </cell>
          <cell r="AD2191">
            <v>1051457111</v>
          </cell>
          <cell r="AE2191">
            <v>2992379677</v>
          </cell>
          <cell r="AF2191">
            <v>337317313</v>
          </cell>
          <cell r="AG2191">
            <v>1182813322</v>
          </cell>
          <cell r="AH2191">
            <v>277942326</v>
          </cell>
          <cell r="AI2191">
            <v>12299913</v>
          </cell>
        </row>
        <row r="2192">
          <cell r="A2192">
            <v>206020105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37597471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2075668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7562</v>
          </cell>
          <cell r="AH2192">
            <v>0</v>
          </cell>
          <cell r="AI2192">
            <v>0</v>
          </cell>
        </row>
        <row r="2193">
          <cell r="A2193">
            <v>206020106</v>
          </cell>
          <cell r="C2193">
            <v>8077961</v>
          </cell>
          <cell r="D2193">
            <v>35293425</v>
          </cell>
          <cell r="E2193">
            <v>44563039</v>
          </cell>
          <cell r="F2193">
            <v>9543341</v>
          </cell>
          <cell r="G2193">
            <v>31535292</v>
          </cell>
          <cell r="H2193">
            <v>54361020</v>
          </cell>
          <cell r="I2193">
            <v>43331017</v>
          </cell>
          <cell r="J2193">
            <v>4044150</v>
          </cell>
          <cell r="K2193">
            <v>2063480</v>
          </cell>
          <cell r="L2193">
            <v>2088407</v>
          </cell>
          <cell r="M2193">
            <v>12092817</v>
          </cell>
          <cell r="N2193">
            <v>60119281</v>
          </cell>
          <cell r="O2193">
            <v>30691222</v>
          </cell>
          <cell r="P2193">
            <v>24731482</v>
          </cell>
          <cell r="Q2193">
            <v>20699155</v>
          </cell>
          <cell r="R2193">
            <v>21711320</v>
          </cell>
          <cell r="S2193">
            <v>1069341</v>
          </cell>
          <cell r="T2193">
            <v>25317506</v>
          </cell>
          <cell r="U2193">
            <v>0</v>
          </cell>
          <cell r="V2193">
            <v>67284771</v>
          </cell>
          <cell r="W2193">
            <v>16462981</v>
          </cell>
          <cell r="X2193">
            <v>79683120</v>
          </cell>
          <cell r="Y2193">
            <v>2356503</v>
          </cell>
          <cell r="Z2193">
            <v>17990615</v>
          </cell>
          <cell r="AA2193">
            <v>12340511</v>
          </cell>
          <cell r="AB2193">
            <v>55119926</v>
          </cell>
          <cell r="AC2193">
            <v>13578985</v>
          </cell>
          <cell r="AD2193">
            <v>22635157</v>
          </cell>
          <cell r="AE2193">
            <v>98514501</v>
          </cell>
          <cell r="AF2193">
            <v>12117881</v>
          </cell>
          <cell r="AG2193">
            <v>9195767</v>
          </cell>
          <cell r="AH2193">
            <v>8062058</v>
          </cell>
          <cell r="AI2193">
            <v>248816</v>
          </cell>
        </row>
        <row r="2194">
          <cell r="A2194">
            <v>206020107</v>
          </cell>
          <cell r="C2194">
            <v>773853</v>
          </cell>
          <cell r="D2194">
            <v>4249862</v>
          </cell>
          <cell r="E2194">
            <v>0</v>
          </cell>
          <cell r="F2194">
            <v>841115</v>
          </cell>
          <cell r="G2194">
            <v>827126</v>
          </cell>
          <cell r="H2194">
            <v>4210672</v>
          </cell>
          <cell r="I2194">
            <v>1038802</v>
          </cell>
          <cell r="J2194">
            <v>121925</v>
          </cell>
          <cell r="K2194">
            <v>0</v>
          </cell>
          <cell r="L2194">
            <v>14025</v>
          </cell>
          <cell r="M2194">
            <v>54513</v>
          </cell>
          <cell r="N2194">
            <v>4166160</v>
          </cell>
          <cell r="O2194">
            <v>669945</v>
          </cell>
          <cell r="P2194">
            <v>482075</v>
          </cell>
          <cell r="Q2194">
            <v>1080355</v>
          </cell>
          <cell r="R2194">
            <v>1044315</v>
          </cell>
          <cell r="S2194">
            <v>66000</v>
          </cell>
          <cell r="T2194">
            <v>457412</v>
          </cell>
          <cell r="U2194">
            <v>0</v>
          </cell>
          <cell r="V2194">
            <v>756498</v>
          </cell>
          <cell r="W2194">
            <v>297430</v>
          </cell>
          <cell r="X2194">
            <v>3538314</v>
          </cell>
          <cell r="Y2194">
            <v>89855</v>
          </cell>
          <cell r="Z2194">
            <v>2428386</v>
          </cell>
          <cell r="AA2194">
            <v>721195</v>
          </cell>
          <cell r="AB2194">
            <v>2034349</v>
          </cell>
          <cell r="AC2194">
            <v>3029294</v>
          </cell>
          <cell r="AD2194">
            <v>1162459</v>
          </cell>
          <cell r="AE2194">
            <v>8864500</v>
          </cell>
          <cell r="AF2194">
            <v>377659</v>
          </cell>
          <cell r="AG2194">
            <v>1284783</v>
          </cell>
          <cell r="AH2194">
            <v>548642</v>
          </cell>
          <cell r="AI2194">
            <v>0</v>
          </cell>
        </row>
        <row r="2195">
          <cell r="A2195">
            <v>206020108</v>
          </cell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258363783</v>
          </cell>
          <cell r="N2195">
            <v>381328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111813</v>
          </cell>
          <cell r="AG2195">
            <v>0</v>
          </cell>
          <cell r="AH2195">
            <v>0</v>
          </cell>
          <cell r="AI2195">
            <v>631180454</v>
          </cell>
        </row>
        <row r="2196">
          <cell r="A2196">
            <v>206020109</v>
          </cell>
          <cell r="C2196">
            <v>12032384</v>
          </cell>
          <cell r="D2196">
            <v>880731</v>
          </cell>
          <cell r="E2196">
            <v>6702202</v>
          </cell>
          <cell r="F2196">
            <v>0</v>
          </cell>
          <cell r="G2196">
            <v>1263367</v>
          </cell>
          <cell r="H2196">
            <v>25848149</v>
          </cell>
          <cell r="I2196">
            <v>907844</v>
          </cell>
          <cell r="J2196">
            <v>1240500</v>
          </cell>
          <cell r="K2196">
            <v>1666620</v>
          </cell>
          <cell r="L2196">
            <v>2405648</v>
          </cell>
          <cell r="M2196">
            <v>0</v>
          </cell>
          <cell r="N2196">
            <v>1726595</v>
          </cell>
          <cell r="O2196">
            <v>38803843</v>
          </cell>
          <cell r="P2196">
            <v>0</v>
          </cell>
          <cell r="Q2196">
            <v>276465</v>
          </cell>
          <cell r="R2196">
            <v>3001472</v>
          </cell>
          <cell r="S2196">
            <v>0</v>
          </cell>
          <cell r="T2196">
            <v>5135406</v>
          </cell>
          <cell r="U2196">
            <v>0</v>
          </cell>
          <cell r="V2196">
            <v>27804544</v>
          </cell>
          <cell r="W2196">
            <v>68548581</v>
          </cell>
          <cell r="X2196">
            <v>11343259</v>
          </cell>
          <cell r="Y2196">
            <v>130900</v>
          </cell>
          <cell r="Z2196">
            <v>3871719</v>
          </cell>
          <cell r="AA2196">
            <v>44494300</v>
          </cell>
          <cell r="AB2196">
            <v>21933655</v>
          </cell>
          <cell r="AC2196">
            <v>1537840</v>
          </cell>
          <cell r="AD2196">
            <v>25883334</v>
          </cell>
          <cell r="AE2196">
            <v>86557412</v>
          </cell>
          <cell r="AF2196">
            <v>1811677</v>
          </cell>
          <cell r="AG2196">
            <v>2423449</v>
          </cell>
          <cell r="AH2196">
            <v>4950909</v>
          </cell>
          <cell r="AI2196">
            <v>39181793</v>
          </cell>
        </row>
        <row r="2197">
          <cell r="A2197">
            <v>206020110</v>
          </cell>
          <cell r="C2197">
            <v>64491754</v>
          </cell>
          <cell r="D2197">
            <v>4644084</v>
          </cell>
          <cell r="E2197">
            <v>41025819</v>
          </cell>
          <cell r="F2197">
            <v>1203208</v>
          </cell>
          <cell r="G2197">
            <v>7388519</v>
          </cell>
          <cell r="H2197">
            <v>20879740</v>
          </cell>
          <cell r="I2197">
            <v>16639345</v>
          </cell>
          <cell r="J2197">
            <v>1600705</v>
          </cell>
          <cell r="K2197">
            <v>132800</v>
          </cell>
          <cell r="L2197">
            <v>74800</v>
          </cell>
          <cell r="M2197">
            <v>319200</v>
          </cell>
          <cell r="N2197">
            <v>15452670</v>
          </cell>
          <cell r="O2197">
            <v>8574402</v>
          </cell>
          <cell r="P2197">
            <v>2822670</v>
          </cell>
          <cell r="Q2197">
            <v>4672176</v>
          </cell>
          <cell r="R2197">
            <v>7960659</v>
          </cell>
          <cell r="S2197">
            <v>372757</v>
          </cell>
          <cell r="T2197">
            <v>13448221</v>
          </cell>
          <cell r="U2197">
            <v>0</v>
          </cell>
          <cell r="V2197">
            <v>61570789</v>
          </cell>
          <cell r="W2197">
            <v>3948523</v>
          </cell>
          <cell r="X2197">
            <v>8128882</v>
          </cell>
          <cell r="Y2197">
            <v>3696655</v>
          </cell>
          <cell r="Z2197">
            <v>2810979</v>
          </cell>
          <cell r="AA2197">
            <v>3048723</v>
          </cell>
          <cell r="AB2197">
            <v>33406996</v>
          </cell>
          <cell r="AC2197">
            <v>5839116</v>
          </cell>
          <cell r="AD2197">
            <v>4799750</v>
          </cell>
          <cell r="AE2197">
            <v>26002486</v>
          </cell>
          <cell r="AF2197">
            <v>1821582</v>
          </cell>
          <cell r="AG2197">
            <v>10026683</v>
          </cell>
          <cell r="AH2197">
            <v>50440</v>
          </cell>
          <cell r="AI2197">
            <v>199372</v>
          </cell>
        </row>
        <row r="2198">
          <cell r="A2198">
            <v>206020111</v>
          </cell>
          <cell r="C2198">
            <v>400000</v>
          </cell>
          <cell r="D2198">
            <v>233487</v>
          </cell>
          <cell r="E2198">
            <v>0</v>
          </cell>
          <cell r="F2198">
            <v>0</v>
          </cell>
          <cell r="G2198">
            <v>198160</v>
          </cell>
          <cell r="H2198">
            <v>1026077</v>
          </cell>
          <cell r="I2198">
            <v>0</v>
          </cell>
          <cell r="J2198">
            <v>291400</v>
          </cell>
          <cell r="K2198">
            <v>0</v>
          </cell>
          <cell r="L2198">
            <v>833794</v>
          </cell>
          <cell r="M2198">
            <v>0</v>
          </cell>
          <cell r="N2198">
            <v>2181050</v>
          </cell>
          <cell r="O2198">
            <v>420900</v>
          </cell>
          <cell r="P2198">
            <v>345144</v>
          </cell>
          <cell r="Q2198">
            <v>98000</v>
          </cell>
          <cell r="R2198">
            <v>270720</v>
          </cell>
          <cell r="S2198">
            <v>0</v>
          </cell>
          <cell r="T2198">
            <v>19683</v>
          </cell>
          <cell r="U2198">
            <v>0</v>
          </cell>
          <cell r="V2198">
            <v>0</v>
          </cell>
          <cell r="W2198">
            <v>57482</v>
          </cell>
          <cell r="X2198">
            <v>3581604</v>
          </cell>
          <cell r="Y2198">
            <v>0</v>
          </cell>
          <cell r="Z2198">
            <v>1875020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1544416</v>
          </cell>
          <cell r="AF2198">
            <v>0</v>
          </cell>
          <cell r="AG2198">
            <v>94000</v>
          </cell>
          <cell r="AH2198">
            <v>0</v>
          </cell>
          <cell r="AI2198">
            <v>0</v>
          </cell>
        </row>
        <row r="2199">
          <cell r="A2199">
            <v>206020112</v>
          </cell>
          <cell r="C2199">
            <v>16778558</v>
          </cell>
          <cell r="D2199">
            <v>6169527</v>
          </cell>
          <cell r="E2199">
            <v>6465952</v>
          </cell>
          <cell r="F2199">
            <v>33583619</v>
          </cell>
          <cell r="G2199">
            <v>1053620</v>
          </cell>
          <cell r="H2199">
            <v>25307979</v>
          </cell>
          <cell r="I2199">
            <v>1002537</v>
          </cell>
          <cell r="J2199">
            <v>24150</v>
          </cell>
          <cell r="K2199">
            <v>2500</v>
          </cell>
          <cell r="L2199">
            <v>28050</v>
          </cell>
          <cell r="M2199">
            <v>552800</v>
          </cell>
          <cell r="N2199">
            <v>6824082</v>
          </cell>
          <cell r="O2199">
            <v>63773241</v>
          </cell>
          <cell r="P2199">
            <v>5908144</v>
          </cell>
          <cell r="Q2199">
            <v>1991232</v>
          </cell>
          <cell r="R2199">
            <v>12405297</v>
          </cell>
          <cell r="S2199">
            <v>347080</v>
          </cell>
          <cell r="T2199">
            <v>12058366</v>
          </cell>
          <cell r="U2199">
            <v>0</v>
          </cell>
          <cell r="V2199">
            <v>31876699</v>
          </cell>
          <cell r="W2199">
            <v>3820490</v>
          </cell>
          <cell r="X2199">
            <v>12758749</v>
          </cell>
          <cell r="Y2199">
            <v>432426</v>
          </cell>
          <cell r="Z2199">
            <v>320318</v>
          </cell>
          <cell r="AA2199">
            <v>311380</v>
          </cell>
          <cell r="AB2199">
            <v>22295944</v>
          </cell>
          <cell r="AC2199">
            <v>286990</v>
          </cell>
          <cell r="AD2199">
            <v>28629214</v>
          </cell>
          <cell r="AE2199">
            <v>15507530</v>
          </cell>
          <cell r="AF2199">
            <v>5786654</v>
          </cell>
          <cell r="AG2199">
            <v>1072091</v>
          </cell>
          <cell r="AH2199">
            <v>1789388</v>
          </cell>
          <cell r="AI2199">
            <v>11748842</v>
          </cell>
        </row>
        <row r="2200">
          <cell r="A2200">
            <v>206020113</v>
          </cell>
          <cell r="C2200">
            <v>113622615</v>
          </cell>
          <cell r="D2200">
            <v>0</v>
          </cell>
          <cell r="E2200">
            <v>3648972</v>
          </cell>
          <cell r="F2200">
            <v>81205</v>
          </cell>
          <cell r="G2200">
            <v>6694411</v>
          </cell>
          <cell r="H2200">
            <v>138670194</v>
          </cell>
          <cell r="I2200">
            <v>1420500</v>
          </cell>
          <cell r="J2200">
            <v>239853</v>
          </cell>
          <cell r="K2200">
            <v>0</v>
          </cell>
          <cell r="L2200">
            <v>259202</v>
          </cell>
          <cell r="M2200">
            <v>540545</v>
          </cell>
          <cell r="N2200">
            <v>64718876</v>
          </cell>
          <cell r="O2200">
            <v>17578929</v>
          </cell>
          <cell r="P2200">
            <v>2597904</v>
          </cell>
          <cell r="Q2200">
            <v>11362272</v>
          </cell>
          <cell r="R2200">
            <v>21194066</v>
          </cell>
          <cell r="S2200">
            <v>1983261</v>
          </cell>
          <cell r="T2200">
            <v>3205900</v>
          </cell>
          <cell r="U2200">
            <v>0</v>
          </cell>
          <cell r="V2200">
            <v>9453920</v>
          </cell>
          <cell r="W2200">
            <v>1439420</v>
          </cell>
          <cell r="X2200">
            <v>17678007</v>
          </cell>
          <cell r="Y2200">
            <v>1932155</v>
          </cell>
          <cell r="Z2200">
            <v>73450</v>
          </cell>
          <cell r="AA2200">
            <v>1063787</v>
          </cell>
          <cell r="AB2200">
            <v>28964815</v>
          </cell>
          <cell r="AC2200">
            <v>10248898</v>
          </cell>
          <cell r="AD2200">
            <v>2354054</v>
          </cell>
          <cell r="AE2200">
            <v>949072</v>
          </cell>
          <cell r="AF2200">
            <v>593286</v>
          </cell>
          <cell r="AG2200">
            <v>10786784</v>
          </cell>
          <cell r="AH2200">
            <v>120069</v>
          </cell>
          <cell r="AI2200">
            <v>5039054</v>
          </cell>
        </row>
        <row r="2201">
          <cell r="A2201">
            <v>206020200</v>
          </cell>
          <cell r="C2201">
            <v>372071</v>
          </cell>
          <cell r="D2201">
            <v>3031067</v>
          </cell>
          <cell r="E2201">
            <v>0</v>
          </cell>
          <cell r="F2201">
            <v>0</v>
          </cell>
          <cell r="G2201">
            <v>19975615</v>
          </cell>
          <cell r="H2201">
            <v>67287316</v>
          </cell>
          <cell r="I2201">
            <v>58515</v>
          </cell>
          <cell r="J2201">
            <v>0</v>
          </cell>
          <cell r="K2201">
            <v>44700</v>
          </cell>
          <cell r="L2201">
            <v>4500000</v>
          </cell>
          <cell r="M2201">
            <v>0</v>
          </cell>
          <cell r="N2201">
            <v>6466586</v>
          </cell>
          <cell r="O2201">
            <v>0</v>
          </cell>
          <cell r="P2201">
            <v>0</v>
          </cell>
          <cell r="Q2201">
            <v>0</v>
          </cell>
          <cell r="R2201">
            <v>88869</v>
          </cell>
          <cell r="S2201">
            <v>0</v>
          </cell>
          <cell r="T2201">
            <v>96072191</v>
          </cell>
          <cell r="U2201">
            <v>0</v>
          </cell>
          <cell r="V2201">
            <v>54298682</v>
          </cell>
          <cell r="W2201">
            <v>859231</v>
          </cell>
          <cell r="X2201">
            <v>21897082</v>
          </cell>
          <cell r="Y2201">
            <v>0</v>
          </cell>
          <cell r="Z2201">
            <v>0</v>
          </cell>
          <cell r="AA2201">
            <v>0</v>
          </cell>
          <cell r="AB2201">
            <v>742499</v>
          </cell>
          <cell r="AC2201">
            <v>2141415</v>
          </cell>
          <cell r="AD2201">
            <v>13579</v>
          </cell>
          <cell r="AE2201">
            <v>203193189</v>
          </cell>
          <cell r="AF2201">
            <v>5307025</v>
          </cell>
          <cell r="AG2201">
            <v>1580475</v>
          </cell>
          <cell r="AH2201">
            <v>15537450</v>
          </cell>
          <cell r="AI2201">
            <v>3356229</v>
          </cell>
        </row>
        <row r="2202">
          <cell r="A2202">
            <v>206020201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65036774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</row>
        <row r="2203">
          <cell r="A2203">
            <v>206020202</v>
          </cell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159351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</row>
        <row r="2204">
          <cell r="A2204">
            <v>206020203</v>
          </cell>
          <cell r="C2204">
            <v>372071</v>
          </cell>
          <cell r="D2204">
            <v>3031067</v>
          </cell>
          <cell r="E2204">
            <v>0</v>
          </cell>
          <cell r="F2204">
            <v>0</v>
          </cell>
          <cell r="G2204">
            <v>19975615</v>
          </cell>
          <cell r="H2204">
            <v>67287316</v>
          </cell>
          <cell r="I2204">
            <v>58515</v>
          </cell>
          <cell r="J2204">
            <v>0</v>
          </cell>
          <cell r="K2204">
            <v>44700</v>
          </cell>
          <cell r="L2204">
            <v>4500000</v>
          </cell>
          <cell r="M2204">
            <v>0</v>
          </cell>
          <cell r="N2204">
            <v>6466586</v>
          </cell>
          <cell r="O2204">
            <v>0</v>
          </cell>
          <cell r="P2204">
            <v>0</v>
          </cell>
          <cell r="Q2204">
            <v>0</v>
          </cell>
          <cell r="R2204">
            <v>88869</v>
          </cell>
          <cell r="S2204">
            <v>0</v>
          </cell>
          <cell r="T2204">
            <v>30808297</v>
          </cell>
          <cell r="U2204">
            <v>0</v>
          </cell>
          <cell r="V2204">
            <v>54298682</v>
          </cell>
          <cell r="W2204">
            <v>859231</v>
          </cell>
          <cell r="X2204">
            <v>21897082</v>
          </cell>
          <cell r="Y2204">
            <v>0</v>
          </cell>
          <cell r="Z2204">
            <v>0</v>
          </cell>
          <cell r="AA2204">
            <v>0</v>
          </cell>
          <cell r="AB2204">
            <v>742499</v>
          </cell>
          <cell r="AC2204">
            <v>1957260</v>
          </cell>
          <cell r="AD2204">
            <v>13579</v>
          </cell>
          <cell r="AE2204">
            <v>203193189</v>
          </cell>
          <cell r="AF2204">
            <v>5307025</v>
          </cell>
          <cell r="AG2204">
            <v>1580475</v>
          </cell>
          <cell r="AH2204">
            <v>15537450</v>
          </cell>
          <cell r="AI2204">
            <v>3356229</v>
          </cell>
        </row>
        <row r="2205">
          <cell r="A2205">
            <v>206020204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</row>
        <row r="2206">
          <cell r="A2206">
            <v>206020205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</row>
        <row r="2207">
          <cell r="A2207">
            <v>206020206</v>
          </cell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184155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</row>
        <row r="2208">
          <cell r="A2208">
            <v>206020207</v>
          </cell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</row>
        <row r="2209">
          <cell r="A2209">
            <v>206020208</v>
          </cell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67769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</row>
        <row r="2210">
          <cell r="A2210">
            <v>206020209</v>
          </cell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</row>
        <row r="2211">
          <cell r="A2211">
            <v>210000000</v>
          </cell>
          <cell r="C2211">
            <v>972764005</v>
          </cell>
          <cell r="D2211">
            <v>973860680</v>
          </cell>
          <cell r="E2211">
            <v>55896484</v>
          </cell>
          <cell r="F2211">
            <v>52266759</v>
          </cell>
          <cell r="G2211">
            <v>768824240</v>
          </cell>
          <cell r="H2211">
            <v>1406742839</v>
          </cell>
          <cell r="I2211">
            <v>0</v>
          </cell>
          <cell r="J2211">
            <v>220577485</v>
          </cell>
          <cell r="K2211">
            <v>550000</v>
          </cell>
          <cell r="L2211">
            <v>12335500</v>
          </cell>
          <cell r="M2211">
            <v>47778477</v>
          </cell>
          <cell r="N2211">
            <v>296516963</v>
          </cell>
          <cell r="O2211">
            <v>145898989</v>
          </cell>
          <cell r="P2211">
            <v>343501602</v>
          </cell>
          <cell r="Q2211">
            <v>0</v>
          </cell>
          <cell r="R2211">
            <v>159686736</v>
          </cell>
          <cell r="S2211">
            <v>18952551</v>
          </cell>
          <cell r="T2211">
            <v>897632097</v>
          </cell>
          <cell r="U2211">
            <v>140766497</v>
          </cell>
          <cell r="V2211">
            <v>1975565514</v>
          </cell>
          <cell r="W2211">
            <v>280416344</v>
          </cell>
          <cell r="X2211">
            <v>161473356</v>
          </cell>
          <cell r="Y2211">
            <v>198632713</v>
          </cell>
          <cell r="Z2211">
            <v>729743315</v>
          </cell>
          <cell r="AA2211">
            <v>57473300</v>
          </cell>
          <cell r="AB2211">
            <v>1749067277</v>
          </cell>
          <cell r="AC2211">
            <v>4145471</v>
          </cell>
          <cell r="AD2211">
            <v>95564968</v>
          </cell>
          <cell r="AE2211">
            <v>0</v>
          </cell>
          <cell r="AF2211">
            <v>0</v>
          </cell>
          <cell r="AG2211">
            <v>250083417</v>
          </cell>
          <cell r="AH2211">
            <v>39085753</v>
          </cell>
          <cell r="AI2211">
            <v>0</v>
          </cell>
        </row>
        <row r="2212">
          <cell r="A2212">
            <v>210010000</v>
          </cell>
          <cell r="C2212">
            <v>972764005</v>
          </cell>
          <cell r="D2212">
            <v>973860680</v>
          </cell>
          <cell r="E2212">
            <v>55896484</v>
          </cell>
          <cell r="F2212">
            <v>52266759</v>
          </cell>
          <cell r="G2212">
            <v>768824240</v>
          </cell>
          <cell r="H2212">
            <v>1406742839</v>
          </cell>
          <cell r="I2212">
            <v>0</v>
          </cell>
          <cell r="J2212">
            <v>220577485</v>
          </cell>
          <cell r="K2212">
            <v>550000</v>
          </cell>
          <cell r="L2212">
            <v>12335500</v>
          </cell>
          <cell r="M2212">
            <v>47778477</v>
          </cell>
          <cell r="N2212">
            <v>296516963</v>
          </cell>
          <cell r="O2212">
            <v>145898989</v>
          </cell>
          <cell r="P2212">
            <v>343501602</v>
          </cell>
          <cell r="Q2212">
            <v>0</v>
          </cell>
          <cell r="R2212">
            <v>159686736</v>
          </cell>
          <cell r="S2212">
            <v>18952551</v>
          </cell>
          <cell r="T2212">
            <v>897632097</v>
          </cell>
          <cell r="U2212">
            <v>140766497</v>
          </cell>
          <cell r="V2212">
            <v>1975565514</v>
          </cell>
          <cell r="W2212">
            <v>280416344</v>
          </cell>
          <cell r="X2212">
            <v>161473356</v>
          </cell>
          <cell r="Y2212">
            <v>198632713</v>
          </cell>
          <cell r="Z2212">
            <v>729743315</v>
          </cell>
          <cell r="AA2212">
            <v>57473300</v>
          </cell>
          <cell r="AB2212">
            <v>1749067277</v>
          </cell>
          <cell r="AC2212">
            <v>4145471</v>
          </cell>
          <cell r="AD2212">
            <v>95564968</v>
          </cell>
          <cell r="AE2212">
            <v>0</v>
          </cell>
          <cell r="AF2212">
            <v>0</v>
          </cell>
          <cell r="AG2212">
            <v>250083417</v>
          </cell>
          <cell r="AH2212">
            <v>39085753</v>
          </cell>
          <cell r="AI2212">
            <v>0</v>
          </cell>
        </row>
        <row r="2213">
          <cell r="A2213">
            <v>210010100</v>
          </cell>
          <cell r="C2213">
            <v>565386051</v>
          </cell>
          <cell r="D2213">
            <v>458915466</v>
          </cell>
          <cell r="E2213">
            <v>55373890</v>
          </cell>
          <cell r="F2213">
            <v>13414316</v>
          </cell>
          <cell r="G2213">
            <v>768824240</v>
          </cell>
          <cell r="H2213">
            <v>1389269454</v>
          </cell>
          <cell r="I2213">
            <v>0</v>
          </cell>
          <cell r="J2213">
            <v>0</v>
          </cell>
          <cell r="K2213">
            <v>0</v>
          </cell>
          <cell r="L2213">
            <v>5033920</v>
          </cell>
          <cell r="M2213">
            <v>25214600</v>
          </cell>
          <cell r="N2213">
            <v>0</v>
          </cell>
          <cell r="O2213">
            <v>56006500</v>
          </cell>
          <cell r="P2213">
            <v>227479687</v>
          </cell>
          <cell r="Q2213">
            <v>0</v>
          </cell>
          <cell r="R2213">
            <v>104489606</v>
          </cell>
          <cell r="S2213">
            <v>0</v>
          </cell>
          <cell r="T2213">
            <v>897632097</v>
          </cell>
          <cell r="U2213">
            <v>0</v>
          </cell>
          <cell r="V2213">
            <v>1014391483</v>
          </cell>
          <cell r="W2213">
            <v>142820340</v>
          </cell>
          <cell r="X2213">
            <v>118400410</v>
          </cell>
          <cell r="Y2213">
            <v>127007320</v>
          </cell>
          <cell r="Z2213">
            <v>347343070</v>
          </cell>
          <cell r="AA2213">
            <v>28599000</v>
          </cell>
          <cell r="AB2213">
            <v>933727465</v>
          </cell>
          <cell r="AC2213">
            <v>0</v>
          </cell>
          <cell r="AD2213">
            <v>68277400</v>
          </cell>
          <cell r="AE2213">
            <v>0</v>
          </cell>
          <cell r="AF2213">
            <v>0</v>
          </cell>
          <cell r="AG2213">
            <v>0</v>
          </cell>
          <cell r="AH2213">
            <v>39085753</v>
          </cell>
          <cell r="AI2213">
            <v>0</v>
          </cell>
        </row>
        <row r="2214">
          <cell r="A2214">
            <v>210010101</v>
          </cell>
          <cell r="C2214">
            <v>14541115</v>
          </cell>
          <cell r="D2214">
            <v>0</v>
          </cell>
          <cell r="E2214">
            <v>20143739</v>
          </cell>
          <cell r="F2214">
            <v>482400</v>
          </cell>
          <cell r="G2214">
            <v>0</v>
          </cell>
          <cell r="H2214">
            <v>10560751</v>
          </cell>
          <cell r="I2214">
            <v>0</v>
          </cell>
          <cell r="J2214">
            <v>0</v>
          </cell>
          <cell r="K2214">
            <v>0</v>
          </cell>
          <cell r="L2214">
            <v>1430000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39534373</v>
          </cell>
          <cell r="U2214">
            <v>0</v>
          </cell>
          <cell r="V2214">
            <v>7496940</v>
          </cell>
          <cell r="W2214">
            <v>1430000</v>
          </cell>
          <cell r="X2214">
            <v>0</v>
          </cell>
          <cell r="Y2214">
            <v>0</v>
          </cell>
          <cell r="Z2214">
            <v>9280000</v>
          </cell>
          <cell r="AA2214">
            <v>0</v>
          </cell>
          <cell r="AB2214">
            <v>986700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</row>
        <row r="2215">
          <cell r="A2215">
            <v>210010102</v>
          </cell>
          <cell r="C2215">
            <v>836000</v>
          </cell>
          <cell r="D2215">
            <v>11568650</v>
          </cell>
          <cell r="E2215">
            <v>1907335</v>
          </cell>
          <cell r="F2215">
            <v>0</v>
          </cell>
          <cell r="G2215">
            <v>0</v>
          </cell>
          <cell r="H2215">
            <v>341563861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286000</v>
          </cell>
          <cell r="P2215">
            <v>0</v>
          </cell>
          <cell r="Q2215">
            <v>0</v>
          </cell>
          <cell r="R2215">
            <v>737000</v>
          </cell>
          <cell r="S2215">
            <v>0</v>
          </cell>
          <cell r="T2215">
            <v>5717532</v>
          </cell>
          <cell r="U2215">
            <v>0</v>
          </cell>
          <cell r="V2215">
            <v>7738500</v>
          </cell>
          <cell r="W2215">
            <v>0</v>
          </cell>
          <cell r="X2215">
            <v>4325200</v>
          </cell>
          <cell r="Y2215">
            <v>2310000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1595000</v>
          </cell>
          <cell r="AI2215">
            <v>0</v>
          </cell>
        </row>
        <row r="2216">
          <cell r="A2216">
            <v>210010103</v>
          </cell>
          <cell r="C2216">
            <v>0</v>
          </cell>
          <cell r="D2216">
            <v>0</v>
          </cell>
          <cell r="E2216">
            <v>3087052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264000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</row>
        <row r="2217">
          <cell r="A2217">
            <v>210010104</v>
          </cell>
          <cell r="C2217">
            <v>526360523</v>
          </cell>
          <cell r="D2217">
            <v>441856816</v>
          </cell>
          <cell r="E2217">
            <v>18030488</v>
          </cell>
          <cell r="F2217">
            <v>12931916</v>
          </cell>
          <cell r="G2217">
            <v>0</v>
          </cell>
          <cell r="H2217">
            <v>881648456</v>
          </cell>
          <cell r="I2217">
            <v>0</v>
          </cell>
          <cell r="J2217">
            <v>0</v>
          </cell>
          <cell r="K2217">
            <v>0</v>
          </cell>
          <cell r="L2217">
            <v>3603920</v>
          </cell>
          <cell r="M2217">
            <v>25214600</v>
          </cell>
          <cell r="N2217">
            <v>0</v>
          </cell>
          <cell r="O2217">
            <v>52970500</v>
          </cell>
          <cell r="P2217">
            <v>227479687</v>
          </cell>
          <cell r="Q2217">
            <v>0</v>
          </cell>
          <cell r="R2217">
            <v>99190154</v>
          </cell>
          <cell r="S2217">
            <v>0</v>
          </cell>
          <cell r="T2217">
            <v>844231692</v>
          </cell>
          <cell r="U2217">
            <v>0</v>
          </cell>
          <cell r="V2217">
            <v>990970534</v>
          </cell>
          <cell r="W2217">
            <v>140887340</v>
          </cell>
          <cell r="X2217">
            <v>111796210</v>
          </cell>
          <cell r="Y2217">
            <v>119165720</v>
          </cell>
          <cell r="Z2217">
            <v>333806070</v>
          </cell>
          <cell r="AA2217">
            <v>28599000</v>
          </cell>
          <cell r="AB2217">
            <v>929671765</v>
          </cell>
          <cell r="AC2217">
            <v>0</v>
          </cell>
          <cell r="AD2217">
            <v>68277400</v>
          </cell>
          <cell r="AE2217">
            <v>0</v>
          </cell>
          <cell r="AF2217">
            <v>0</v>
          </cell>
          <cell r="AG2217">
            <v>0</v>
          </cell>
          <cell r="AH2217">
            <v>36830753</v>
          </cell>
          <cell r="AI2217">
            <v>0</v>
          </cell>
        </row>
        <row r="2218">
          <cell r="A2218">
            <v>210010105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</row>
        <row r="2219">
          <cell r="A2219">
            <v>210010106</v>
          </cell>
          <cell r="C2219">
            <v>12517173</v>
          </cell>
          <cell r="D2219">
            <v>3740000</v>
          </cell>
          <cell r="E2219">
            <v>6053291</v>
          </cell>
          <cell r="F2219">
            <v>0</v>
          </cell>
          <cell r="G2219">
            <v>0</v>
          </cell>
          <cell r="H2219">
            <v>15073490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1650000</v>
          </cell>
          <cell r="S2219">
            <v>0</v>
          </cell>
          <cell r="T2219">
            <v>3690500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2739000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</row>
        <row r="2220">
          <cell r="A2220">
            <v>210010107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850000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</row>
        <row r="2221">
          <cell r="A2221">
            <v>210010108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</row>
        <row r="2222">
          <cell r="A2222">
            <v>210010109</v>
          </cell>
          <cell r="C2222">
            <v>595000</v>
          </cell>
          <cell r="D2222">
            <v>0</v>
          </cell>
          <cell r="E2222">
            <v>593639</v>
          </cell>
          <cell r="F2222">
            <v>0</v>
          </cell>
          <cell r="G2222">
            <v>0</v>
          </cell>
          <cell r="H2222">
            <v>2450000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2648452</v>
          </cell>
          <cell r="S2222">
            <v>0</v>
          </cell>
          <cell r="T2222">
            <v>3215000</v>
          </cell>
          <cell r="U2222">
            <v>0</v>
          </cell>
          <cell r="V2222">
            <v>1045000</v>
          </cell>
          <cell r="W2222">
            <v>0</v>
          </cell>
          <cell r="X2222">
            <v>870000</v>
          </cell>
          <cell r="Y2222">
            <v>0</v>
          </cell>
          <cell r="Z2222">
            <v>4257000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660000</v>
          </cell>
          <cell r="AI2222">
            <v>0</v>
          </cell>
        </row>
        <row r="2223">
          <cell r="A2223">
            <v>210010110</v>
          </cell>
          <cell r="C2223">
            <v>2450470</v>
          </cell>
          <cell r="D2223">
            <v>1750000</v>
          </cell>
          <cell r="E2223">
            <v>2903036</v>
          </cell>
          <cell r="F2223">
            <v>0</v>
          </cell>
          <cell r="G2223">
            <v>0</v>
          </cell>
          <cell r="H2223">
            <v>6649272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2750000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2322509</v>
          </cell>
          <cell r="W2223">
            <v>503000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330000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</row>
        <row r="2224">
          <cell r="A2224">
            <v>210010111</v>
          </cell>
          <cell r="C2224">
            <v>0</v>
          </cell>
          <cell r="D2224">
            <v>0</v>
          </cell>
          <cell r="E2224">
            <v>23649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</row>
        <row r="2225">
          <cell r="A2225">
            <v>210010112</v>
          </cell>
          <cell r="C2225">
            <v>8085770</v>
          </cell>
          <cell r="D2225">
            <v>0</v>
          </cell>
          <cell r="E2225">
            <v>1015671</v>
          </cell>
          <cell r="F2225">
            <v>0</v>
          </cell>
          <cell r="G2225">
            <v>0</v>
          </cell>
          <cell r="H2225">
            <v>131323624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1067000</v>
          </cell>
          <cell r="U2225">
            <v>0</v>
          </cell>
          <cell r="V2225">
            <v>4818000</v>
          </cell>
          <cell r="W2225">
            <v>0</v>
          </cell>
          <cell r="X2225">
            <v>559000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</row>
        <row r="2226">
          <cell r="A2226">
            <v>210010113</v>
          </cell>
          <cell r="C2226">
            <v>0</v>
          </cell>
          <cell r="D2226">
            <v>0</v>
          </cell>
          <cell r="E2226">
            <v>1615990</v>
          </cell>
          <cell r="F2226">
            <v>0</v>
          </cell>
          <cell r="G2226">
            <v>768824240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176000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5531600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</row>
        <row r="2227">
          <cell r="A2227">
            <v>210010200</v>
          </cell>
          <cell r="C2227">
            <v>0</v>
          </cell>
          <cell r="D2227">
            <v>0</v>
          </cell>
          <cell r="E2227">
            <v>522594</v>
          </cell>
          <cell r="F2227">
            <v>0</v>
          </cell>
          <cell r="G2227">
            <v>0</v>
          </cell>
          <cell r="H2227">
            <v>17473385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5343979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38317335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20000000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</row>
        <row r="2228">
          <cell r="A2228">
            <v>210010201</v>
          </cell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5343979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38317335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</row>
        <row r="2229">
          <cell r="A2229">
            <v>210010202</v>
          </cell>
          <cell r="C2229">
            <v>0</v>
          </cell>
          <cell r="D2229">
            <v>0</v>
          </cell>
          <cell r="E2229">
            <v>522594</v>
          </cell>
          <cell r="F2229">
            <v>0</v>
          </cell>
          <cell r="G2229">
            <v>0</v>
          </cell>
          <cell r="H2229">
            <v>17473385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20000000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</row>
        <row r="2230">
          <cell r="A2230">
            <v>210010300</v>
          </cell>
          <cell r="C2230">
            <v>407377954</v>
          </cell>
          <cell r="D2230">
            <v>514945214</v>
          </cell>
          <cell r="E2230">
            <v>0</v>
          </cell>
          <cell r="F2230">
            <v>38852443</v>
          </cell>
          <cell r="G2230">
            <v>0</v>
          </cell>
          <cell r="H2230">
            <v>0</v>
          </cell>
          <cell r="I2230">
            <v>0</v>
          </cell>
          <cell r="J2230">
            <v>220577485</v>
          </cell>
          <cell r="K2230">
            <v>550000</v>
          </cell>
          <cell r="L2230">
            <v>7301580</v>
          </cell>
          <cell r="M2230">
            <v>22563877</v>
          </cell>
          <cell r="N2230">
            <v>291172984</v>
          </cell>
          <cell r="O2230">
            <v>89892489</v>
          </cell>
          <cell r="P2230">
            <v>116021915</v>
          </cell>
          <cell r="Q2230">
            <v>0</v>
          </cell>
          <cell r="R2230">
            <v>55197130</v>
          </cell>
          <cell r="S2230">
            <v>18952551</v>
          </cell>
          <cell r="T2230">
            <v>0</v>
          </cell>
          <cell r="U2230">
            <v>140766497</v>
          </cell>
          <cell r="V2230">
            <v>922856696</v>
          </cell>
          <cell r="W2230">
            <v>137596004</v>
          </cell>
          <cell r="X2230">
            <v>43072946</v>
          </cell>
          <cell r="Y2230">
            <v>71625393</v>
          </cell>
          <cell r="Z2230">
            <v>382400245</v>
          </cell>
          <cell r="AA2230">
            <v>28874300</v>
          </cell>
          <cell r="AB2230">
            <v>795339812</v>
          </cell>
          <cell r="AC2230">
            <v>4145471</v>
          </cell>
          <cell r="AD2230">
            <v>27287568</v>
          </cell>
          <cell r="AE2230">
            <v>0</v>
          </cell>
          <cell r="AF2230">
            <v>0</v>
          </cell>
          <cell r="AG2230">
            <v>250083417</v>
          </cell>
          <cell r="AH2230">
            <v>0</v>
          </cell>
          <cell r="AI2230">
            <v>0</v>
          </cell>
        </row>
        <row r="2231">
          <cell r="A2231">
            <v>210010301</v>
          </cell>
          <cell r="C2231">
            <v>1813850</v>
          </cell>
          <cell r="D2231">
            <v>0</v>
          </cell>
          <cell r="E2231">
            <v>0</v>
          </cell>
          <cell r="F2231">
            <v>2156000</v>
          </cell>
          <cell r="G2231">
            <v>0</v>
          </cell>
          <cell r="H2231">
            <v>0</v>
          </cell>
          <cell r="I2231">
            <v>0</v>
          </cell>
          <cell r="J2231">
            <v>942791</v>
          </cell>
          <cell r="K2231">
            <v>0</v>
          </cell>
          <cell r="L2231">
            <v>0</v>
          </cell>
          <cell r="M2231">
            <v>0</v>
          </cell>
          <cell r="N2231">
            <v>7690292</v>
          </cell>
          <cell r="O2231">
            <v>0</v>
          </cell>
          <cell r="P2231">
            <v>20931460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330000</v>
          </cell>
          <cell r="W2231">
            <v>814000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10759110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</row>
        <row r="2232">
          <cell r="A2232">
            <v>210010302</v>
          </cell>
          <cell r="C2232">
            <v>0</v>
          </cell>
          <cell r="D2232">
            <v>8296753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3154980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</row>
        <row r="2233">
          <cell r="A2233">
            <v>210010303</v>
          </cell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</row>
        <row r="2234">
          <cell r="A2234">
            <v>210010304</v>
          </cell>
          <cell r="C2234">
            <v>403209102</v>
          </cell>
          <cell r="D2234">
            <v>504866398</v>
          </cell>
          <cell r="E2234">
            <v>0</v>
          </cell>
          <cell r="F2234">
            <v>36696443</v>
          </cell>
          <cell r="G2234">
            <v>0</v>
          </cell>
          <cell r="H2234">
            <v>0</v>
          </cell>
          <cell r="I2234">
            <v>0</v>
          </cell>
          <cell r="J2234">
            <v>218594694</v>
          </cell>
          <cell r="K2234">
            <v>550000</v>
          </cell>
          <cell r="L2234">
            <v>7301580</v>
          </cell>
          <cell r="M2234">
            <v>22563877</v>
          </cell>
          <cell r="N2234">
            <v>257278472</v>
          </cell>
          <cell r="O2234">
            <v>89892489</v>
          </cell>
          <cell r="P2234">
            <v>95090455</v>
          </cell>
          <cell r="Q2234">
            <v>0</v>
          </cell>
          <cell r="R2234">
            <v>54128924</v>
          </cell>
          <cell r="S2234">
            <v>18952551</v>
          </cell>
          <cell r="T2234">
            <v>0</v>
          </cell>
          <cell r="U2234">
            <v>140766497</v>
          </cell>
          <cell r="V2234">
            <v>922526696</v>
          </cell>
          <cell r="W2234">
            <v>135652004</v>
          </cell>
          <cell r="X2234">
            <v>43072946</v>
          </cell>
          <cell r="Y2234">
            <v>70528173</v>
          </cell>
          <cell r="Z2234">
            <v>381440245</v>
          </cell>
          <cell r="AA2234">
            <v>28874300</v>
          </cell>
          <cell r="AB2234">
            <v>784580702</v>
          </cell>
          <cell r="AC2234">
            <v>4145471</v>
          </cell>
          <cell r="AD2234">
            <v>27287568</v>
          </cell>
          <cell r="AE2234">
            <v>0</v>
          </cell>
          <cell r="AF2234">
            <v>0</v>
          </cell>
          <cell r="AG2234">
            <v>250083417</v>
          </cell>
          <cell r="AH2234">
            <v>0</v>
          </cell>
          <cell r="AI2234">
            <v>0</v>
          </cell>
        </row>
        <row r="2235">
          <cell r="A2235">
            <v>210010305</v>
          </cell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</row>
        <row r="2236">
          <cell r="A2236">
            <v>210010306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13940880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</row>
        <row r="2237">
          <cell r="A2237">
            <v>210010307</v>
          </cell>
          <cell r="C2237">
            <v>1500000</v>
          </cell>
          <cell r="D2237">
            <v>0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0</v>
          </cell>
          <cell r="J2237">
            <v>1040000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1130000</v>
          </cell>
          <cell r="X2237">
            <v>0</v>
          </cell>
          <cell r="Y2237">
            <v>0</v>
          </cell>
          <cell r="Z2237">
            <v>960000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</row>
        <row r="2238">
          <cell r="A2238">
            <v>210010308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</row>
        <row r="2239">
          <cell r="A2239">
            <v>210010309</v>
          </cell>
          <cell r="C2239">
            <v>580000</v>
          </cell>
          <cell r="D2239">
            <v>1584063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330000</v>
          </cell>
          <cell r="O2239">
            <v>0</v>
          </cell>
          <cell r="P2239">
            <v>0</v>
          </cell>
          <cell r="Q2239">
            <v>0</v>
          </cell>
          <cell r="R2239">
            <v>1065691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228000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</row>
        <row r="2240">
          <cell r="A2240">
            <v>210010310</v>
          </cell>
          <cell r="C2240">
            <v>275002</v>
          </cell>
          <cell r="D2240">
            <v>198000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2093360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869220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</row>
        <row r="2241">
          <cell r="A2241">
            <v>210010311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</row>
        <row r="2242">
          <cell r="A2242">
            <v>210010312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5805000</v>
          </cell>
          <cell r="O2242">
            <v>0</v>
          </cell>
          <cell r="P2242">
            <v>0</v>
          </cell>
          <cell r="Q2242">
            <v>0</v>
          </cell>
          <cell r="R2242">
            <v>2515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</row>
        <row r="2243">
          <cell r="A2243">
            <v>210010313</v>
          </cell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880000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</row>
        <row r="2244">
          <cell r="A2244">
            <v>211000000</v>
          </cell>
          <cell r="C2244">
            <v>1111106460</v>
          </cell>
          <cell r="D2244">
            <v>1211393318</v>
          </cell>
          <cell r="E2244">
            <v>677949447</v>
          </cell>
          <cell r="F2244">
            <v>240372534</v>
          </cell>
          <cell r="G2244">
            <v>1159305682</v>
          </cell>
          <cell r="H2244">
            <v>2845779302</v>
          </cell>
          <cell r="I2244">
            <v>1456299074</v>
          </cell>
          <cell r="J2244">
            <v>228242558</v>
          </cell>
          <cell r="K2244">
            <v>319659657</v>
          </cell>
          <cell r="L2244">
            <v>343544520</v>
          </cell>
          <cell r="M2244">
            <v>454408860</v>
          </cell>
          <cell r="N2244">
            <v>1913236834</v>
          </cell>
          <cell r="O2244">
            <v>382718623</v>
          </cell>
          <cell r="P2244">
            <v>167058534</v>
          </cell>
          <cell r="Q2244">
            <v>64872844</v>
          </cell>
          <cell r="R2244">
            <v>339578219</v>
          </cell>
          <cell r="S2244">
            <v>57934906</v>
          </cell>
          <cell r="T2244">
            <v>2285645731</v>
          </cell>
          <cell r="U2244">
            <v>173869569</v>
          </cell>
          <cell r="V2244">
            <v>2201273467</v>
          </cell>
          <cell r="W2244">
            <v>304886038</v>
          </cell>
          <cell r="X2244">
            <v>1015082740</v>
          </cell>
          <cell r="Y2244">
            <v>185525649</v>
          </cell>
          <cell r="Z2244">
            <v>437204361</v>
          </cell>
          <cell r="AA2244">
            <v>343302579</v>
          </cell>
          <cell r="AB2244">
            <v>1166109870</v>
          </cell>
          <cell r="AC2244">
            <v>225367211</v>
          </cell>
          <cell r="AD2244">
            <v>738652528</v>
          </cell>
          <cell r="AE2244">
            <v>9889301116</v>
          </cell>
          <cell r="AF2244">
            <v>288704291</v>
          </cell>
          <cell r="AG2244">
            <v>601902624</v>
          </cell>
          <cell r="AH2244">
            <v>745570130</v>
          </cell>
          <cell r="AI2244">
            <v>1849007734</v>
          </cell>
        </row>
        <row r="2245">
          <cell r="A2245">
            <v>211010000</v>
          </cell>
          <cell r="C2245">
            <v>1111106460</v>
          </cell>
          <cell r="D2245">
            <v>1211393318</v>
          </cell>
          <cell r="E2245">
            <v>677949447</v>
          </cell>
          <cell r="F2245">
            <v>240372534</v>
          </cell>
          <cell r="G2245">
            <v>1159305682</v>
          </cell>
          <cell r="H2245">
            <v>2845779302</v>
          </cell>
          <cell r="I2245">
            <v>1456299074</v>
          </cell>
          <cell r="J2245">
            <v>228242558</v>
          </cell>
          <cell r="K2245">
            <v>319659657</v>
          </cell>
          <cell r="L2245">
            <v>343544520</v>
          </cell>
          <cell r="M2245">
            <v>454408860</v>
          </cell>
          <cell r="N2245">
            <v>1913236834</v>
          </cell>
          <cell r="O2245">
            <v>382718623</v>
          </cell>
          <cell r="P2245">
            <v>167058534</v>
          </cell>
          <cell r="Q2245">
            <v>64872844</v>
          </cell>
          <cell r="R2245">
            <v>339578219</v>
          </cell>
          <cell r="S2245">
            <v>57934906</v>
          </cell>
          <cell r="T2245">
            <v>2285645731</v>
          </cell>
          <cell r="U2245">
            <v>173869569</v>
          </cell>
          <cell r="V2245">
            <v>2201273467</v>
          </cell>
          <cell r="W2245">
            <v>304886038</v>
          </cell>
          <cell r="X2245">
            <v>1015082740</v>
          </cell>
          <cell r="Y2245">
            <v>185525649</v>
          </cell>
          <cell r="Z2245">
            <v>437204361</v>
          </cell>
          <cell r="AA2245">
            <v>343302579</v>
          </cell>
          <cell r="AB2245">
            <v>1166109870</v>
          </cell>
          <cell r="AC2245">
            <v>225367211</v>
          </cell>
          <cell r="AD2245">
            <v>738652528</v>
          </cell>
          <cell r="AE2245">
            <v>9889301116</v>
          </cell>
          <cell r="AF2245">
            <v>288704291</v>
          </cell>
          <cell r="AG2245">
            <v>601902624</v>
          </cell>
          <cell r="AH2245">
            <v>745570130</v>
          </cell>
          <cell r="AI2245">
            <v>1849007734</v>
          </cell>
        </row>
        <row r="2246">
          <cell r="A2246">
            <v>211010100</v>
          </cell>
          <cell r="C2246">
            <v>127573547</v>
          </cell>
          <cell r="D2246">
            <v>395885164</v>
          </cell>
          <cell r="E2246">
            <v>135131572</v>
          </cell>
          <cell r="F2246">
            <v>91000102</v>
          </cell>
          <cell r="G2246">
            <v>475288427</v>
          </cell>
          <cell r="H2246">
            <v>110023150</v>
          </cell>
          <cell r="I2246">
            <v>194332418</v>
          </cell>
          <cell r="J2246">
            <v>81959669</v>
          </cell>
          <cell r="K2246">
            <v>35663646</v>
          </cell>
          <cell r="L2246">
            <v>63911990</v>
          </cell>
          <cell r="M2246">
            <v>51326575</v>
          </cell>
          <cell r="N2246">
            <v>101106910</v>
          </cell>
          <cell r="O2246">
            <v>32704586</v>
          </cell>
          <cell r="P2246">
            <v>62682380</v>
          </cell>
          <cell r="Q2246">
            <v>12543996</v>
          </cell>
          <cell r="R2246">
            <v>65026444</v>
          </cell>
          <cell r="S2246">
            <v>17473009</v>
          </cell>
          <cell r="T2246">
            <v>252938789</v>
          </cell>
          <cell r="U2246">
            <v>33581729</v>
          </cell>
          <cell r="V2246">
            <v>100851731</v>
          </cell>
          <cell r="W2246">
            <v>67078090</v>
          </cell>
          <cell r="X2246">
            <v>272439838</v>
          </cell>
          <cell r="Y2246">
            <v>94802490</v>
          </cell>
          <cell r="Z2246">
            <v>23924935</v>
          </cell>
          <cell r="AA2246">
            <v>285420147</v>
          </cell>
          <cell r="AB2246">
            <v>136384152</v>
          </cell>
          <cell r="AC2246">
            <v>108153200</v>
          </cell>
          <cell r="AD2246">
            <v>164956663</v>
          </cell>
          <cell r="AE2246">
            <v>1188345319</v>
          </cell>
          <cell r="AF2246">
            <v>25233067</v>
          </cell>
          <cell r="AG2246">
            <v>118000021</v>
          </cell>
          <cell r="AH2246">
            <v>413448562</v>
          </cell>
          <cell r="AI2246">
            <v>79260927</v>
          </cell>
        </row>
        <row r="2247">
          <cell r="A2247">
            <v>211010101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35700000</v>
          </cell>
          <cell r="K2247">
            <v>0</v>
          </cell>
          <cell r="L2247">
            <v>0</v>
          </cell>
          <cell r="M2247">
            <v>1218425</v>
          </cell>
          <cell r="N2247">
            <v>0</v>
          </cell>
          <cell r="O2247">
            <v>0</v>
          </cell>
          <cell r="P2247">
            <v>10337237</v>
          </cell>
          <cell r="Q2247">
            <v>0</v>
          </cell>
          <cell r="R2247">
            <v>0</v>
          </cell>
          <cell r="S2247">
            <v>6299943</v>
          </cell>
          <cell r="T2247">
            <v>15145000</v>
          </cell>
          <cell r="U2247">
            <v>6968134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2594720</v>
          </cell>
          <cell r="AF2247">
            <v>0</v>
          </cell>
          <cell r="AG2247">
            <v>0</v>
          </cell>
          <cell r="AH2247">
            <v>79484</v>
          </cell>
          <cell r="AI2247">
            <v>61667213</v>
          </cell>
        </row>
        <row r="2248">
          <cell r="A2248">
            <v>211010102</v>
          </cell>
          <cell r="C2248">
            <v>0</v>
          </cell>
          <cell r="D2248">
            <v>0</v>
          </cell>
          <cell r="E2248">
            <v>19000000</v>
          </cell>
          <cell r="F2248">
            <v>6440000</v>
          </cell>
          <cell r="G2248">
            <v>27000000</v>
          </cell>
          <cell r="H2248">
            <v>0</v>
          </cell>
          <cell r="I2248">
            <v>8727168</v>
          </cell>
          <cell r="J2248">
            <v>22530200</v>
          </cell>
          <cell r="K2248">
            <v>0</v>
          </cell>
          <cell r="L2248">
            <v>20543379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3525910</v>
          </cell>
          <cell r="T2248">
            <v>48300000</v>
          </cell>
          <cell r="U2248">
            <v>14500000</v>
          </cell>
          <cell r="V2248">
            <v>0</v>
          </cell>
          <cell r="W2248">
            <v>13300000</v>
          </cell>
          <cell r="X2248">
            <v>0</v>
          </cell>
          <cell r="Y2248">
            <v>0</v>
          </cell>
          <cell r="Z2248">
            <v>0</v>
          </cell>
          <cell r="AA2248">
            <v>165343000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</row>
        <row r="2249">
          <cell r="A2249">
            <v>211010103</v>
          </cell>
          <cell r="C2249">
            <v>0</v>
          </cell>
          <cell r="D2249">
            <v>4000000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577500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1650000</v>
          </cell>
          <cell r="V2249">
            <v>0</v>
          </cell>
          <cell r="W2249">
            <v>0</v>
          </cell>
          <cell r="X2249">
            <v>5000000</v>
          </cell>
          <cell r="Y2249">
            <v>0</v>
          </cell>
          <cell r="Z2249">
            <v>0</v>
          </cell>
          <cell r="AA2249">
            <v>7200000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</row>
        <row r="2250">
          <cell r="A2250">
            <v>211010104</v>
          </cell>
          <cell r="C2250">
            <v>15900629</v>
          </cell>
          <cell r="D2250">
            <v>63229630</v>
          </cell>
          <cell r="E2250">
            <v>15790493</v>
          </cell>
          <cell r="F2250">
            <v>14097236</v>
          </cell>
          <cell r="G2250">
            <v>30424160</v>
          </cell>
          <cell r="H2250">
            <v>110023150</v>
          </cell>
          <cell r="I2250">
            <v>22970809</v>
          </cell>
          <cell r="J2250">
            <v>8553720</v>
          </cell>
          <cell r="K2250">
            <v>11547987</v>
          </cell>
          <cell r="L2250">
            <v>7836484</v>
          </cell>
          <cell r="M2250">
            <v>6763131</v>
          </cell>
          <cell r="N2250">
            <v>29602090</v>
          </cell>
          <cell r="O2250">
            <v>32704586</v>
          </cell>
          <cell r="P2250">
            <v>16481049</v>
          </cell>
          <cell r="Q2250">
            <v>5328225</v>
          </cell>
          <cell r="R2250">
            <v>23400398</v>
          </cell>
          <cell r="S2250">
            <v>3562409</v>
          </cell>
          <cell r="T2250">
            <v>79163142</v>
          </cell>
          <cell r="U2250">
            <v>10463595</v>
          </cell>
          <cell r="V2250">
            <v>42242928</v>
          </cell>
          <cell r="W2250">
            <v>23778090</v>
          </cell>
          <cell r="X2250">
            <v>31013658</v>
          </cell>
          <cell r="Y2250">
            <v>8592998</v>
          </cell>
          <cell r="Z2250">
            <v>22274935</v>
          </cell>
          <cell r="AA2250">
            <v>6477000</v>
          </cell>
          <cell r="AB2250">
            <v>36841364</v>
          </cell>
          <cell r="AC2250">
            <v>11092679</v>
          </cell>
          <cell r="AD2250">
            <v>51773354</v>
          </cell>
          <cell r="AE2250">
            <v>167412729</v>
          </cell>
          <cell r="AF2250">
            <v>25233067</v>
          </cell>
          <cell r="AG2250">
            <v>16856182</v>
          </cell>
          <cell r="AH2250">
            <v>121143960</v>
          </cell>
          <cell r="AI2250">
            <v>17593714</v>
          </cell>
        </row>
        <row r="2251">
          <cell r="A2251">
            <v>211010105</v>
          </cell>
          <cell r="C2251">
            <v>72083236</v>
          </cell>
          <cell r="D2251">
            <v>0</v>
          </cell>
          <cell r="E2251">
            <v>0</v>
          </cell>
          <cell r="F2251">
            <v>25439927</v>
          </cell>
          <cell r="G2251">
            <v>356531867</v>
          </cell>
          <cell r="H2251">
            <v>0</v>
          </cell>
          <cell r="I2251">
            <v>349998</v>
          </cell>
          <cell r="J2251">
            <v>0</v>
          </cell>
          <cell r="K2251">
            <v>3059000</v>
          </cell>
          <cell r="L2251">
            <v>1723086</v>
          </cell>
          <cell r="M2251">
            <v>13077843</v>
          </cell>
          <cell r="N2251">
            <v>0</v>
          </cell>
          <cell r="O2251">
            <v>0</v>
          </cell>
          <cell r="P2251">
            <v>28820746</v>
          </cell>
          <cell r="Q2251">
            <v>0</v>
          </cell>
          <cell r="R2251">
            <v>3447888</v>
          </cell>
          <cell r="S2251">
            <v>0</v>
          </cell>
          <cell r="T2251">
            <v>104330647</v>
          </cell>
          <cell r="U2251">
            <v>0</v>
          </cell>
          <cell r="V2251">
            <v>58608803</v>
          </cell>
          <cell r="W2251">
            <v>0</v>
          </cell>
          <cell r="X2251">
            <v>156162341</v>
          </cell>
          <cell r="Y2251">
            <v>26209492</v>
          </cell>
          <cell r="Z2251">
            <v>1650000</v>
          </cell>
          <cell r="AA2251">
            <v>0</v>
          </cell>
          <cell r="AB2251">
            <v>33000000</v>
          </cell>
          <cell r="AC2251">
            <v>0</v>
          </cell>
          <cell r="AD2251">
            <v>14030001</v>
          </cell>
          <cell r="AE2251">
            <v>0</v>
          </cell>
          <cell r="AF2251">
            <v>0</v>
          </cell>
          <cell r="AG2251">
            <v>46968787</v>
          </cell>
          <cell r="AH2251">
            <v>0</v>
          </cell>
          <cell r="AI2251">
            <v>0</v>
          </cell>
        </row>
        <row r="2252">
          <cell r="A2252">
            <v>211010106</v>
          </cell>
          <cell r="C2252">
            <v>39589682</v>
          </cell>
          <cell r="D2252">
            <v>102064735</v>
          </cell>
          <cell r="E2252">
            <v>29493499</v>
          </cell>
          <cell r="F2252">
            <v>26586439</v>
          </cell>
          <cell r="G2252">
            <v>61332400</v>
          </cell>
          <cell r="H2252">
            <v>0</v>
          </cell>
          <cell r="I2252">
            <v>32923739</v>
          </cell>
          <cell r="J2252">
            <v>14598249</v>
          </cell>
          <cell r="K2252">
            <v>21056659</v>
          </cell>
          <cell r="L2252">
            <v>33763717</v>
          </cell>
          <cell r="M2252">
            <v>30267176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38178158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30000000</v>
          </cell>
          <cell r="X2252">
            <v>79783839</v>
          </cell>
          <cell r="Y2252">
            <v>60000000</v>
          </cell>
          <cell r="Z2252">
            <v>0</v>
          </cell>
          <cell r="AA2252">
            <v>58941398</v>
          </cell>
          <cell r="AB2252">
            <v>66542788</v>
          </cell>
          <cell r="AC2252">
            <v>90789030</v>
          </cell>
          <cell r="AD2252">
            <v>99153308</v>
          </cell>
          <cell r="AE2252">
            <v>315911060</v>
          </cell>
          <cell r="AF2252">
            <v>0</v>
          </cell>
          <cell r="AG2252">
            <v>54175052</v>
          </cell>
          <cell r="AH2252">
            <v>162063387</v>
          </cell>
          <cell r="AI2252">
            <v>0</v>
          </cell>
        </row>
        <row r="2253">
          <cell r="A2253">
            <v>211010107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</row>
        <row r="2254">
          <cell r="A2254">
            <v>211010108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71504820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</row>
        <row r="2255">
          <cell r="A2255">
            <v>211010109</v>
          </cell>
          <cell r="C2255">
            <v>0</v>
          </cell>
          <cell r="D2255">
            <v>220630000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122151873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130161731</v>
          </cell>
          <cell r="AI2255">
            <v>0</v>
          </cell>
        </row>
        <row r="2256">
          <cell r="A2256">
            <v>211010130</v>
          </cell>
          <cell r="C2256">
            <v>0</v>
          </cell>
          <cell r="D2256">
            <v>5960799</v>
          </cell>
          <cell r="E2256">
            <v>70847580</v>
          </cell>
          <cell r="F2256">
            <v>18436500</v>
          </cell>
          <cell r="G2256">
            <v>0</v>
          </cell>
          <cell r="H2256">
            <v>0</v>
          </cell>
          <cell r="I2256">
            <v>7208831</v>
          </cell>
          <cell r="J2256">
            <v>0</v>
          </cell>
          <cell r="K2256">
            <v>0</v>
          </cell>
          <cell r="L2256">
            <v>45324</v>
          </cell>
          <cell r="M2256">
            <v>0</v>
          </cell>
          <cell r="N2256">
            <v>0</v>
          </cell>
          <cell r="O2256">
            <v>0</v>
          </cell>
          <cell r="P2256">
            <v>7043348</v>
          </cell>
          <cell r="Q2256">
            <v>7215771</v>
          </cell>
          <cell r="R2256">
            <v>0</v>
          </cell>
          <cell r="S2256">
            <v>4084747</v>
          </cell>
          <cell r="T2256">
            <v>6000000</v>
          </cell>
          <cell r="U2256">
            <v>0</v>
          </cell>
          <cell r="V2256">
            <v>0</v>
          </cell>
          <cell r="W2256">
            <v>0</v>
          </cell>
          <cell r="X2256">
            <v>480000</v>
          </cell>
          <cell r="Y2256">
            <v>0</v>
          </cell>
          <cell r="Z2256">
            <v>0</v>
          </cell>
          <cell r="AA2256">
            <v>47458749</v>
          </cell>
          <cell r="AB2256">
            <v>0</v>
          </cell>
          <cell r="AC2256">
            <v>6271491</v>
          </cell>
          <cell r="AD2256">
            <v>0</v>
          </cell>
          <cell r="AE2256">
            <v>702426810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</row>
        <row r="2257">
          <cell r="A2257">
            <v>211010200</v>
          </cell>
          <cell r="C2257">
            <v>523950556</v>
          </cell>
          <cell r="D2257">
            <v>601952287</v>
          </cell>
          <cell r="E2257">
            <v>448398691</v>
          </cell>
          <cell r="F2257">
            <v>85879656</v>
          </cell>
          <cell r="G2257">
            <v>209089563</v>
          </cell>
          <cell r="H2257">
            <v>1154201682</v>
          </cell>
          <cell r="I2257">
            <v>262632149</v>
          </cell>
          <cell r="J2257">
            <v>39047042</v>
          </cell>
          <cell r="K2257">
            <v>268932408</v>
          </cell>
          <cell r="L2257">
            <v>89947390</v>
          </cell>
          <cell r="M2257">
            <v>377253918</v>
          </cell>
          <cell r="N2257">
            <v>1696017866</v>
          </cell>
          <cell r="O2257">
            <v>222321285</v>
          </cell>
          <cell r="P2257">
            <v>49155017</v>
          </cell>
          <cell r="Q2257">
            <v>52328848</v>
          </cell>
          <cell r="R2257">
            <v>132956897</v>
          </cell>
          <cell r="S2257">
            <v>29036093</v>
          </cell>
          <cell r="T2257">
            <v>385807763</v>
          </cell>
          <cell r="U2257">
            <v>71528271</v>
          </cell>
          <cell r="V2257">
            <v>627925039</v>
          </cell>
          <cell r="W2257">
            <v>153307613</v>
          </cell>
          <cell r="X2257">
            <v>530636461</v>
          </cell>
          <cell r="Y2257">
            <v>51928723</v>
          </cell>
          <cell r="Z2257">
            <v>212341924</v>
          </cell>
          <cell r="AA2257">
            <v>3735333</v>
          </cell>
          <cell r="AB2257">
            <v>184643930</v>
          </cell>
          <cell r="AC2257">
            <v>95868287</v>
          </cell>
          <cell r="AD2257">
            <v>533888365</v>
          </cell>
          <cell r="AE2257">
            <v>5727336251</v>
          </cell>
          <cell r="AF2257">
            <v>218891324</v>
          </cell>
          <cell r="AG2257">
            <v>174095583</v>
          </cell>
          <cell r="AH2257">
            <v>251204509</v>
          </cell>
          <cell r="AI2257">
            <v>648502409</v>
          </cell>
        </row>
        <row r="2258">
          <cell r="A2258">
            <v>211010201</v>
          </cell>
          <cell r="C2258">
            <v>217674815</v>
          </cell>
          <cell r="D2258">
            <v>474331376</v>
          </cell>
          <cell r="E2258">
            <v>310158001</v>
          </cell>
          <cell r="F2258">
            <v>0</v>
          </cell>
          <cell r="G2258">
            <v>61204831</v>
          </cell>
          <cell r="H2258">
            <v>721514044</v>
          </cell>
          <cell r="I2258">
            <v>190040414</v>
          </cell>
          <cell r="J2258">
            <v>0</v>
          </cell>
          <cell r="K2258">
            <v>142681977</v>
          </cell>
          <cell r="L2258">
            <v>0</v>
          </cell>
          <cell r="M2258">
            <v>221724694</v>
          </cell>
          <cell r="N2258">
            <v>193225807</v>
          </cell>
          <cell r="O2258">
            <v>142908498</v>
          </cell>
          <cell r="P2258">
            <v>0</v>
          </cell>
          <cell r="Q2258">
            <v>0</v>
          </cell>
          <cell r="R2258">
            <v>1816022</v>
          </cell>
          <cell r="S2258">
            <v>21089656</v>
          </cell>
          <cell r="T2258">
            <v>167262921</v>
          </cell>
          <cell r="U2258">
            <v>0</v>
          </cell>
          <cell r="V2258">
            <v>201648578</v>
          </cell>
          <cell r="W2258">
            <v>78745053</v>
          </cell>
          <cell r="X2258">
            <v>252119018</v>
          </cell>
          <cell r="Y2258">
            <v>0</v>
          </cell>
          <cell r="Z2258">
            <v>13010244</v>
          </cell>
          <cell r="AA2258">
            <v>833105</v>
          </cell>
          <cell r="AB2258">
            <v>30544292</v>
          </cell>
          <cell r="AC2258">
            <v>9192749</v>
          </cell>
          <cell r="AD2258">
            <v>249675490</v>
          </cell>
          <cell r="AE2258">
            <v>3411480516</v>
          </cell>
          <cell r="AF2258">
            <v>62328246</v>
          </cell>
          <cell r="AG2258">
            <v>52831018</v>
          </cell>
          <cell r="AH2258">
            <v>102536781</v>
          </cell>
          <cell r="AI2258">
            <v>0</v>
          </cell>
        </row>
        <row r="2259">
          <cell r="A2259">
            <v>211010202</v>
          </cell>
          <cell r="C2259">
            <v>53829923</v>
          </cell>
          <cell r="D2259">
            <v>42989609</v>
          </cell>
          <cell r="E2259">
            <v>0</v>
          </cell>
          <cell r="F2259">
            <v>58487285</v>
          </cell>
          <cell r="G2259">
            <v>92164136</v>
          </cell>
          <cell r="H2259">
            <v>214454792</v>
          </cell>
          <cell r="I2259">
            <v>23012428</v>
          </cell>
          <cell r="J2259">
            <v>27328857</v>
          </cell>
          <cell r="K2259">
            <v>34021149</v>
          </cell>
          <cell r="L2259">
            <v>53517021</v>
          </cell>
          <cell r="M2259">
            <v>112548406</v>
          </cell>
          <cell r="N2259">
            <v>1447092930</v>
          </cell>
          <cell r="O2259">
            <v>21737464</v>
          </cell>
          <cell r="P2259">
            <v>23137227</v>
          </cell>
          <cell r="Q2259">
            <v>26155535</v>
          </cell>
          <cell r="R2259">
            <v>34610521</v>
          </cell>
          <cell r="S2259">
            <v>4899337</v>
          </cell>
          <cell r="T2259">
            <v>101621924</v>
          </cell>
          <cell r="U2259">
            <v>1016071</v>
          </cell>
          <cell r="V2259">
            <v>283152897</v>
          </cell>
          <cell r="W2259">
            <v>36158174</v>
          </cell>
          <cell r="X2259">
            <v>226144670</v>
          </cell>
          <cell r="Y2259">
            <v>29024638</v>
          </cell>
          <cell r="Z2259">
            <v>173349965</v>
          </cell>
          <cell r="AA2259">
            <v>2902228</v>
          </cell>
          <cell r="AB2259">
            <v>75926751</v>
          </cell>
          <cell r="AC2259">
            <v>86675538</v>
          </cell>
          <cell r="AD2259">
            <v>277888188</v>
          </cell>
          <cell r="AE2259">
            <v>0</v>
          </cell>
          <cell r="AF2259">
            <v>100197125</v>
          </cell>
          <cell r="AG2259">
            <v>91837846</v>
          </cell>
          <cell r="AH2259">
            <v>115807448</v>
          </cell>
          <cell r="AI2259">
            <v>619004073</v>
          </cell>
        </row>
        <row r="2260">
          <cell r="A2260">
            <v>211010203</v>
          </cell>
          <cell r="C2260">
            <v>135470489</v>
          </cell>
          <cell r="D2260">
            <v>79690771</v>
          </cell>
          <cell r="E2260">
            <v>112186878</v>
          </cell>
          <cell r="F2260">
            <v>13392779</v>
          </cell>
          <cell r="G2260">
            <v>39566442</v>
          </cell>
          <cell r="H2260">
            <v>163265310</v>
          </cell>
          <cell r="I2260">
            <v>43798764</v>
          </cell>
          <cell r="J2260">
            <v>11718185</v>
          </cell>
          <cell r="K2260">
            <v>75060863</v>
          </cell>
          <cell r="L2260">
            <v>31156467</v>
          </cell>
          <cell r="M2260">
            <v>0</v>
          </cell>
          <cell r="N2260">
            <v>904954</v>
          </cell>
          <cell r="O2260">
            <v>39962275</v>
          </cell>
          <cell r="P2260">
            <v>22918816</v>
          </cell>
          <cell r="Q2260">
            <v>24191780</v>
          </cell>
          <cell r="R2260">
            <v>16474378</v>
          </cell>
          <cell r="S2260">
            <v>0</v>
          </cell>
          <cell r="T2260">
            <v>72641408</v>
          </cell>
          <cell r="U2260">
            <v>0</v>
          </cell>
          <cell r="V2260">
            <v>62977645</v>
          </cell>
          <cell r="W2260">
            <v>38404386</v>
          </cell>
          <cell r="X2260">
            <v>48798589</v>
          </cell>
          <cell r="Y2260">
            <v>17413379</v>
          </cell>
          <cell r="Z2260">
            <v>25981715</v>
          </cell>
          <cell r="AA2260">
            <v>0</v>
          </cell>
          <cell r="AB2260">
            <v>69830531</v>
          </cell>
          <cell r="AC2260">
            <v>0</v>
          </cell>
          <cell r="AD2260">
            <v>1420941</v>
          </cell>
          <cell r="AE2260">
            <v>1384069445</v>
          </cell>
          <cell r="AF2260">
            <v>29631864</v>
          </cell>
          <cell r="AG2260">
            <v>29426719</v>
          </cell>
          <cell r="AH2260">
            <v>25462988</v>
          </cell>
          <cell r="AI2260">
            <v>11798556</v>
          </cell>
        </row>
        <row r="2261">
          <cell r="A2261">
            <v>211010204</v>
          </cell>
          <cell r="C2261">
            <v>116975329</v>
          </cell>
          <cell r="D2261">
            <v>4940531</v>
          </cell>
          <cell r="E2261">
            <v>26053812</v>
          </cell>
          <cell r="F2261">
            <v>13999592</v>
          </cell>
          <cell r="G2261">
            <v>16154154</v>
          </cell>
          <cell r="H2261">
            <v>54967536</v>
          </cell>
          <cell r="I2261">
            <v>0</v>
          </cell>
          <cell r="J2261">
            <v>0</v>
          </cell>
          <cell r="K2261">
            <v>17168419</v>
          </cell>
          <cell r="L2261">
            <v>5273902</v>
          </cell>
          <cell r="M2261">
            <v>42980818</v>
          </cell>
          <cell r="N2261">
            <v>55069175</v>
          </cell>
          <cell r="O2261">
            <v>17713048</v>
          </cell>
          <cell r="P2261">
            <v>3098974</v>
          </cell>
          <cell r="Q2261">
            <v>1981533</v>
          </cell>
          <cell r="R2261">
            <v>30353031</v>
          </cell>
          <cell r="S2261">
            <v>0</v>
          </cell>
          <cell r="T2261">
            <v>44281510</v>
          </cell>
          <cell r="U2261">
            <v>0</v>
          </cell>
          <cell r="V2261">
            <v>79426119</v>
          </cell>
          <cell r="W2261">
            <v>0</v>
          </cell>
          <cell r="X2261">
            <v>3574184</v>
          </cell>
          <cell r="Y2261">
            <v>5490706</v>
          </cell>
          <cell r="Z2261">
            <v>0</v>
          </cell>
          <cell r="AA2261">
            <v>0</v>
          </cell>
          <cell r="AB2261">
            <v>8342356</v>
          </cell>
          <cell r="AC2261">
            <v>0</v>
          </cell>
          <cell r="AD2261">
            <v>4903746</v>
          </cell>
          <cell r="AE2261">
            <v>931786290</v>
          </cell>
          <cell r="AF2261">
            <v>26734089</v>
          </cell>
          <cell r="AG2261">
            <v>0</v>
          </cell>
          <cell r="AH2261">
            <v>7397292</v>
          </cell>
          <cell r="AI2261">
            <v>17699780</v>
          </cell>
        </row>
        <row r="2262">
          <cell r="A2262">
            <v>211010205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5780543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-275000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3047100</v>
          </cell>
          <cell r="T2262">
            <v>0</v>
          </cell>
          <cell r="U2262">
            <v>70512200</v>
          </cell>
          <cell r="V2262">
            <v>719800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</row>
        <row r="2263">
          <cell r="A2263">
            <v>211010206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49702945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</row>
        <row r="2264">
          <cell r="A2264">
            <v>211010300</v>
          </cell>
          <cell r="C2264">
            <v>6270000</v>
          </cell>
          <cell r="D2264">
            <v>28000000</v>
          </cell>
          <cell r="E2264">
            <v>10550000</v>
          </cell>
          <cell r="F2264">
            <v>0</v>
          </cell>
          <cell r="G2264">
            <v>20816191</v>
          </cell>
          <cell r="H2264">
            <v>0</v>
          </cell>
          <cell r="I2264">
            <v>113377040</v>
          </cell>
          <cell r="J2264">
            <v>12250000</v>
          </cell>
          <cell r="K2264">
            <v>9770000</v>
          </cell>
          <cell r="L2264">
            <v>24471419</v>
          </cell>
          <cell r="M2264">
            <v>13861745</v>
          </cell>
          <cell r="N2264">
            <v>0</v>
          </cell>
          <cell r="O2264">
            <v>8000000</v>
          </cell>
          <cell r="P2264">
            <v>963710</v>
          </cell>
          <cell r="Q2264">
            <v>0</v>
          </cell>
          <cell r="R2264">
            <v>12789600</v>
          </cell>
          <cell r="S2264">
            <v>1320000</v>
          </cell>
          <cell r="T2264">
            <v>0</v>
          </cell>
          <cell r="U2264">
            <v>1265269</v>
          </cell>
          <cell r="V2264">
            <v>495000</v>
          </cell>
          <cell r="W2264">
            <v>0</v>
          </cell>
          <cell r="X2264">
            <v>35645036</v>
          </cell>
          <cell r="Y2264">
            <v>6260456</v>
          </cell>
          <cell r="Z2264">
            <v>9200000</v>
          </cell>
          <cell r="AA2264">
            <v>7820200</v>
          </cell>
          <cell r="AB2264">
            <v>13420000</v>
          </cell>
          <cell r="AC2264">
            <v>2012987</v>
          </cell>
          <cell r="AD2264">
            <v>182000</v>
          </cell>
          <cell r="AE2264">
            <v>41976000</v>
          </cell>
          <cell r="AF2264">
            <v>7149900</v>
          </cell>
          <cell r="AG2264">
            <v>14400000</v>
          </cell>
          <cell r="AH2264">
            <v>0</v>
          </cell>
          <cell r="AI2264">
            <v>0</v>
          </cell>
        </row>
        <row r="2265">
          <cell r="A2265">
            <v>211010301</v>
          </cell>
          <cell r="C2265">
            <v>0</v>
          </cell>
          <cell r="D2265">
            <v>19500000</v>
          </cell>
          <cell r="E2265">
            <v>4000000</v>
          </cell>
          <cell r="F2265">
            <v>0</v>
          </cell>
          <cell r="G2265">
            <v>8181817</v>
          </cell>
          <cell r="H2265">
            <v>0</v>
          </cell>
          <cell r="I2265">
            <v>2263633</v>
          </cell>
          <cell r="J2265">
            <v>12250000</v>
          </cell>
          <cell r="K2265">
            <v>9000000</v>
          </cell>
          <cell r="L2265">
            <v>23780550</v>
          </cell>
          <cell r="M2265">
            <v>11250000</v>
          </cell>
          <cell r="N2265">
            <v>0</v>
          </cell>
          <cell r="O2265">
            <v>8000000</v>
          </cell>
          <cell r="P2265">
            <v>0</v>
          </cell>
          <cell r="Q2265">
            <v>0</v>
          </cell>
          <cell r="R2265">
            <v>10000000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12954543</v>
          </cell>
          <cell r="Y2265">
            <v>0</v>
          </cell>
          <cell r="Z2265">
            <v>3700000</v>
          </cell>
          <cell r="AA2265">
            <v>0</v>
          </cell>
          <cell r="AB2265">
            <v>3300000</v>
          </cell>
          <cell r="AC2265">
            <v>2012987</v>
          </cell>
          <cell r="AD2265">
            <v>182000</v>
          </cell>
          <cell r="AE2265">
            <v>41976000</v>
          </cell>
          <cell r="AF2265">
            <v>0</v>
          </cell>
          <cell r="AG2265">
            <v>14400000</v>
          </cell>
          <cell r="AH2265">
            <v>0</v>
          </cell>
          <cell r="AI2265">
            <v>0</v>
          </cell>
        </row>
        <row r="2266">
          <cell r="A2266">
            <v>211010302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</row>
        <row r="2267">
          <cell r="A2267">
            <v>211010303</v>
          </cell>
          <cell r="C2267">
            <v>0</v>
          </cell>
          <cell r="D2267">
            <v>2000000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111113407</v>
          </cell>
          <cell r="J2267">
            <v>0</v>
          </cell>
          <cell r="K2267">
            <v>0</v>
          </cell>
          <cell r="L2267">
            <v>0</v>
          </cell>
          <cell r="M2267">
            <v>92928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2789600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4101852</v>
          </cell>
          <cell r="Z2267">
            <v>0</v>
          </cell>
          <cell r="AA2267">
            <v>2250000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7149900</v>
          </cell>
          <cell r="AG2267">
            <v>0</v>
          </cell>
          <cell r="AH2267">
            <v>0</v>
          </cell>
          <cell r="AI2267">
            <v>0</v>
          </cell>
        </row>
        <row r="2268">
          <cell r="A2268">
            <v>211010304</v>
          </cell>
          <cell r="C2268">
            <v>6270000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690869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9454550</v>
          </cell>
          <cell r="Y2268">
            <v>0</v>
          </cell>
          <cell r="Z2268">
            <v>0</v>
          </cell>
          <cell r="AA2268">
            <v>2500000</v>
          </cell>
          <cell r="AB2268">
            <v>10120000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</row>
        <row r="2269">
          <cell r="A2269">
            <v>211010305</v>
          </cell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648817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1265269</v>
          </cell>
          <cell r="V2269">
            <v>495000</v>
          </cell>
          <cell r="W2269">
            <v>0</v>
          </cell>
          <cell r="X2269">
            <v>82500</v>
          </cell>
          <cell r="Y2269">
            <v>0</v>
          </cell>
          <cell r="Z2269">
            <v>0</v>
          </cell>
          <cell r="AA2269">
            <v>800200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</row>
        <row r="2270">
          <cell r="A2270">
            <v>211010306</v>
          </cell>
          <cell r="C2270">
            <v>0</v>
          </cell>
          <cell r="D2270">
            <v>0</v>
          </cell>
          <cell r="E2270">
            <v>4700000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1320000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3575000</v>
          </cell>
          <cell r="Y2270">
            <v>0</v>
          </cell>
          <cell r="Z2270">
            <v>0</v>
          </cell>
          <cell r="AA2270">
            <v>1500000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</row>
        <row r="2271">
          <cell r="A2271">
            <v>211010399</v>
          </cell>
          <cell r="C2271">
            <v>0</v>
          </cell>
          <cell r="D2271">
            <v>6500000</v>
          </cell>
          <cell r="E2271">
            <v>1850000</v>
          </cell>
          <cell r="F2271">
            <v>0</v>
          </cell>
          <cell r="G2271">
            <v>12634374</v>
          </cell>
          <cell r="H2271">
            <v>0</v>
          </cell>
          <cell r="I2271">
            <v>0</v>
          </cell>
          <cell r="J2271">
            <v>0</v>
          </cell>
          <cell r="K2271">
            <v>770000</v>
          </cell>
          <cell r="L2271">
            <v>0</v>
          </cell>
          <cell r="M2271">
            <v>1870000</v>
          </cell>
          <cell r="N2271">
            <v>0</v>
          </cell>
          <cell r="O2271">
            <v>0</v>
          </cell>
          <cell r="P2271">
            <v>963710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9578443</v>
          </cell>
          <cell r="Y2271">
            <v>2158604</v>
          </cell>
          <cell r="Z2271">
            <v>5500000</v>
          </cell>
          <cell r="AA2271">
            <v>770000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</row>
        <row r="2272">
          <cell r="A2272">
            <v>211010400</v>
          </cell>
          <cell r="C2272">
            <v>0</v>
          </cell>
          <cell r="D2272">
            <v>0</v>
          </cell>
          <cell r="E2272">
            <v>1957227</v>
          </cell>
          <cell r="F2272">
            <v>19276259</v>
          </cell>
          <cell r="G2272">
            <v>0</v>
          </cell>
          <cell r="H2272">
            <v>8230849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1219835</v>
          </cell>
          <cell r="O2272">
            <v>0</v>
          </cell>
          <cell r="P2272">
            <v>11741008</v>
          </cell>
          <cell r="Q2272">
            <v>0</v>
          </cell>
          <cell r="R2272">
            <v>26719316</v>
          </cell>
          <cell r="S2272">
            <v>0</v>
          </cell>
          <cell r="T2272">
            <v>1055842563</v>
          </cell>
          <cell r="U2272">
            <v>0</v>
          </cell>
          <cell r="V2272">
            <v>1063884701</v>
          </cell>
          <cell r="W2272">
            <v>32514600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14536237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</row>
        <row r="2273">
          <cell r="A2273">
            <v>211010401</v>
          </cell>
          <cell r="C2273">
            <v>0</v>
          </cell>
          <cell r="D2273">
            <v>0</v>
          </cell>
          <cell r="E2273">
            <v>1957227</v>
          </cell>
          <cell r="F2273">
            <v>19276259</v>
          </cell>
          <cell r="G2273">
            <v>0</v>
          </cell>
          <cell r="H2273">
            <v>8230849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1219835</v>
          </cell>
          <cell r="O2273">
            <v>0</v>
          </cell>
          <cell r="P2273">
            <v>11741008</v>
          </cell>
          <cell r="Q2273">
            <v>0</v>
          </cell>
          <cell r="R2273">
            <v>26719316</v>
          </cell>
          <cell r="S2273">
            <v>0</v>
          </cell>
          <cell r="T2273">
            <v>1055842563</v>
          </cell>
          <cell r="U2273">
            <v>0</v>
          </cell>
          <cell r="V2273">
            <v>1063884701</v>
          </cell>
          <cell r="W2273">
            <v>32514600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14536237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</row>
        <row r="2274">
          <cell r="A2274">
            <v>211010500</v>
          </cell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G2274">
            <v>226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3482000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55950000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2743476212</v>
          </cell>
          <cell r="AF2274">
            <v>0</v>
          </cell>
          <cell r="AG2274">
            <v>0</v>
          </cell>
          <cell r="AH2274">
            <v>63347</v>
          </cell>
          <cell r="AI2274">
            <v>0</v>
          </cell>
        </row>
        <row r="2275">
          <cell r="A2275">
            <v>211010501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3482000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47150000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2743476212</v>
          </cell>
          <cell r="AF2275">
            <v>0</v>
          </cell>
          <cell r="AG2275">
            <v>0</v>
          </cell>
          <cell r="AH2275">
            <v>63347</v>
          </cell>
          <cell r="AI2275">
            <v>0</v>
          </cell>
        </row>
        <row r="2276">
          <cell r="A2276">
            <v>211010502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</row>
        <row r="2277">
          <cell r="A2277">
            <v>211010503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226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8800000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</row>
        <row r="2278">
          <cell r="A2278">
            <v>211010600</v>
          </cell>
          <cell r="C2278">
            <v>453312357</v>
          </cell>
          <cell r="D2278">
            <v>185555867</v>
          </cell>
          <cell r="E2278">
            <v>81911957</v>
          </cell>
          <cell r="F2278">
            <v>44216517</v>
          </cell>
          <cell r="G2278">
            <v>454111275</v>
          </cell>
          <cell r="H2278">
            <v>1573323621</v>
          </cell>
          <cell r="I2278">
            <v>885957467</v>
          </cell>
          <cell r="J2278">
            <v>94985847</v>
          </cell>
          <cell r="K2278">
            <v>5293603</v>
          </cell>
          <cell r="L2278">
            <v>165213721</v>
          </cell>
          <cell r="M2278">
            <v>11966622</v>
          </cell>
          <cell r="N2278">
            <v>114892223</v>
          </cell>
          <cell r="O2278">
            <v>119692752</v>
          </cell>
          <cell r="P2278">
            <v>42516419</v>
          </cell>
          <cell r="Q2278">
            <v>0</v>
          </cell>
          <cell r="R2278">
            <v>102085962</v>
          </cell>
          <cell r="S2278">
            <v>10105804</v>
          </cell>
          <cell r="T2278">
            <v>591056616</v>
          </cell>
          <cell r="U2278">
            <v>64012300</v>
          </cell>
          <cell r="V2278">
            <v>408116996</v>
          </cell>
          <cell r="W2278">
            <v>51985735</v>
          </cell>
          <cell r="X2278">
            <v>176361405</v>
          </cell>
          <cell r="Y2278">
            <v>32533980</v>
          </cell>
          <cell r="Z2278">
            <v>135787502</v>
          </cell>
          <cell r="AA2278">
            <v>46326899</v>
          </cell>
          <cell r="AB2278">
            <v>831661788</v>
          </cell>
          <cell r="AC2278">
            <v>19332737</v>
          </cell>
          <cell r="AD2278">
            <v>25089263</v>
          </cell>
          <cell r="AE2278">
            <v>188167334</v>
          </cell>
          <cell r="AF2278">
            <v>37430000</v>
          </cell>
          <cell r="AG2278">
            <v>295407020</v>
          </cell>
          <cell r="AH2278">
            <v>80853712</v>
          </cell>
          <cell r="AI2278">
            <v>1121244398</v>
          </cell>
        </row>
        <row r="2279">
          <cell r="A2279">
            <v>211010601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350000</v>
          </cell>
          <cell r="J2279">
            <v>0</v>
          </cell>
          <cell r="K2279">
            <v>0</v>
          </cell>
          <cell r="L2279">
            <v>161044522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419320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</row>
        <row r="2280">
          <cell r="A2280">
            <v>211010602</v>
          </cell>
          <cell r="C2280">
            <v>30466300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31838400</v>
          </cell>
          <cell r="P2280">
            <v>0</v>
          </cell>
          <cell r="Q2280">
            <v>0</v>
          </cell>
          <cell r="R2280">
            <v>1940000</v>
          </cell>
          <cell r="S2280">
            <v>1100000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12289898</v>
          </cell>
          <cell r="Y2280">
            <v>1388500</v>
          </cell>
          <cell r="Z2280">
            <v>28521900</v>
          </cell>
          <cell r="AA2280">
            <v>14149471</v>
          </cell>
          <cell r="AB2280">
            <v>0</v>
          </cell>
          <cell r="AC2280">
            <v>0</v>
          </cell>
          <cell r="AD2280">
            <v>550000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</row>
        <row r="2281">
          <cell r="A2281">
            <v>211010603</v>
          </cell>
          <cell r="C2281">
            <v>6810997</v>
          </cell>
          <cell r="D2281">
            <v>3800000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1340000</v>
          </cell>
          <cell r="N2281">
            <v>0</v>
          </cell>
          <cell r="O2281">
            <v>3254919</v>
          </cell>
          <cell r="P2281">
            <v>3632308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990000</v>
          </cell>
          <cell r="V2281">
            <v>17383802</v>
          </cell>
          <cell r="W2281">
            <v>350000</v>
          </cell>
          <cell r="X2281">
            <v>6462422</v>
          </cell>
          <cell r="Y2281">
            <v>10710000</v>
          </cell>
          <cell r="Z2281">
            <v>1188925</v>
          </cell>
          <cell r="AA2281">
            <v>0</v>
          </cell>
          <cell r="AB2281">
            <v>3406260</v>
          </cell>
          <cell r="AC2281">
            <v>0</v>
          </cell>
          <cell r="AD2281">
            <v>1750000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</row>
        <row r="2282">
          <cell r="A2282">
            <v>211010604</v>
          </cell>
          <cell r="C2282">
            <v>0</v>
          </cell>
          <cell r="D2282">
            <v>0</v>
          </cell>
          <cell r="E2282">
            <v>74648490</v>
          </cell>
          <cell r="F2282">
            <v>3800000</v>
          </cell>
          <cell r="G2282">
            <v>0</v>
          </cell>
          <cell r="H2282">
            <v>3850000</v>
          </cell>
          <cell r="I2282">
            <v>14310000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9696000</v>
          </cell>
          <cell r="S2282">
            <v>0</v>
          </cell>
          <cell r="T2282">
            <v>6387140</v>
          </cell>
          <cell r="U2282">
            <v>22500000</v>
          </cell>
          <cell r="V2282">
            <v>0</v>
          </cell>
          <cell r="W2282">
            <v>2275000</v>
          </cell>
          <cell r="X2282">
            <v>16510000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1250000</v>
          </cell>
          <cell r="AG2282">
            <v>1500000</v>
          </cell>
          <cell r="AH2282">
            <v>0</v>
          </cell>
          <cell r="AI2282">
            <v>0</v>
          </cell>
        </row>
        <row r="2283">
          <cell r="A2283">
            <v>211010605</v>
          </cell>
          <cell r="C2283">
            <v>1504873</v>
          </cell>
          <cell r="D2283">
            <v>714703</v>
          </cell>
          <cell r="E2283">
            <v>0</v>
          </cell>
          <cell r="F2283">
            <v>553100</v>
          </cell>
          <cell r="G2283">
            <v>0</v>
          </cell>
          <cell r="H2283">
            <v>245922919</v>
          </cell>
          <cell r="I2283">
            <v>4470478</v>
          </cell>
          <cell r="J2283">
            <v>0</v>
          </cell>
          <cell r="K2283">
            <v>1824586</v>
          </cell>
          <cell r="L2283">
            <v>105589</v>
          </cell>
          <cell r="M2283">
            <v>3187246</v>
          </cell>
          <cell r="N2283">
            <v>0</v>
          </cell>
          <cell r="O2283">
            <v>5306221</v>
          </cell>
          <cell r="P2283">
            <v>3995543</v>
          </cell>
          <cell r="Q2283">
            <v>0</v>
          </cell>
          <cell r="R2283">
            <v>2279413</v>
          </cell>
          <cell r="S2283">
            <v>1024280</v>
          </cell>
          <cell r="T2283">
            <v>11547945</v>
          </cell>
          <cell r="U2283">
            <v>540753</v>
          </cell>
          <cell r="V2283">
            <v>11372011</v>
          </cell>
          <cell r="W2283">
            <v>0</v>
          </cell>
          <cell r="X2283">
            <v>17199845</v>
          </cell>
          <cell r="Y2283">
            <v>3915612</v>
          </cell>
          <cell r="Z2283">
            <v>3443384</v>
          </cell>
          <cell r="AA2283">
            <v>2138538</v>
          </cell>
          <cell r="AB2283">
            <v>8225735</v>
          </cell>
          <cell r="AC2283">
            <v>589373</v>
          </cell>
          <cell r="AD2283">
            <v>14033477</v>
          </cell>
          <cell r="AE2283">
            <v>0</v>
          </cell>
          <cell r="AF2283">
            <v>0</v>
          </cell>
          <cell r="AG2283">
            <v>16024937</v>
          </cell>
          <cell r="AH2283">
            <v>0</v>
          </cell>
          <cell r="AI2283">
            <v>0</v>
          </cell>
        </row>
        <row r="2284">
          <cell r="A2284">
            <v>211010606</v>
          </cell>
          <cell r="C2284">
            <v>0</v>
          </cell>
          <cell r="D2284">
            <v>0</v>
          </cell>
          <cell r="E2284">
            <v>0</v>
          </cell>
          <cell r="F2284">
            <v>1723320</v>
          </cell>
          <cell r="G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418000</v>
          </cell>
          <cell r="M2284">
            <v>0</v>
          </cell>
          <cell r="N2284">
            <v>-766651</v>
          </cell>
          <cell r="O2284">
            <v>0</v>
          </cell>
          <cell r="P2284">
            <v>4524572</v>
          </cell>
          <cell r="Q2284">
            <v>0</v>
          </cell>
          <cell r="R2284">
            <v>0</v>
          </cell>
          <cell r="S2284">
            <v>3907054</v>
          </cell>
          <cell r="T2284">
            <v>0</v>
          </cell>
          <cell r="U2284">
            <v>0</v>
          </cell>
          <cell r="V2284">
            <v>0</v>
          </cell>
          <cell r="W2284">
            <v>533394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91912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2300000</v>
          </cell>
          <cell r="AH2284">
            <v>0</v>
          </cell>
          <cell r="AI2284">
            <v>0</v>
          </cell>
        </row>
        <row r="2285">
          <cell r="A2285">
            <v>211010607</v>
          </cell>
          <cell r="C2285">
            <v>0</v>
          </cell>
          <cell r="D2285">
            <v>188182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2934318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8011094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3300000</v>
          </cell>
          <cell r="X2285">
            <v>6094000</v>
          </cell>
          <cell r="Y2285">
            <v>0</v>
          </cell>
          <cell r="Z2285">
            <v>187000</v>
          </cell>
          <cell r="AA2285">
            <v>0</v>
          </cell>
          <cell r="AB2285">
            <v>19176000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</row>
        <row r="2286">
          <cell r="A2286">
            <v>211010608</v>
          </cell>
          <cell r="C2286">
            <v>327807</v>
          </cell>
          <cell r="D2286">
            <v>27007197</v>
          </cell>
          <cell r="E2286">
            <v>0</v>
          </cell>
          <cell r="F2286">
            <v>17181699</v>
          </cell>
          <cell r="G2286">
            <v>140000000</v>
          </cell>
          <cell r="H2286">
            <v>0</v>
          </cell>
          <cell r="I2286">
            <v>0</v>
          </cell>
          <cell r="J2286">
            <v>17900251</v>
          </cell>
          <cell r="K2286">
            <v>3406917</v>
          </cell>
          <cell r="L2286">
            <v>3278610</v>
          </cell>
          <cell r="M2286">
            <v>6279376</v>
          </cell>
          <cell r="N2286">
            <v>26140176</v>
          </cell>
          <cell r="O2286">
            <v>0</v>
          </cell>
          <cell r="P2286">
            <v>0</v>
          </cell>
          <cell r="Q2286">
            <v>0</v>
          </cell>
          <cell r="R2286">
            <v>38495639</v>
          </cell>
          <cell r="S2286">
            <v>0</v>
          </cell>
          <cell r="T2286">
            <v>26038087</v>
          </cell>
          <cell r="U2286">
            <v>0</v>
          </cell>
          <cell r="V2286">
            <v>349781989</v>
          </cell>
          <cell r="W2286">
            <v>0</v>
          </cell>
          <cell r="X2286">
            <v>85182517</v>
          </cell>
          <cell r="Y2286">
            <v>0</v>
          </cell>
          <cell r="Z2286">
            <v>45532389</v>
          </cell>
          <cell r="AA2286">
            <v>20785230</v>
          </cell>
          <cell r="AB2286">
            <v>0</v>
          </cell>
          <cell r="AC2286">
            <v>0</v>
          </cell>
          <cell r="AD2286">
            <v>134749</v>
          </cell>
          <cell r="AE2286">
            <v>0</v>
          </cell>
          <cell r="AF2286">
            <v>0</v>
          </cell>
          <cell r="AG2286">
            <v>8176802</v>
          </cell>
          <cell r="AH2286">
            <v>0</v>
          </cell>
          <cell r="AI2286">
            <v>0</v>
          </cell>
        </row>
        <row r="2287">
          <cell r="A2287">
            <v>211010609</v>
          </cell>
          <cell r="C2287">
            <v>351542816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800000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</row>
        <row r="2288">
          <cell r="A2288">
            <v>211010610</v>
          </cell>
          <cell r="C2288">
            <v>0</v>
          </cell>
          <cell r="D2288">
            <v>0</v>
          </cell>
          <cell r="E2288">
            <v>0</v>
          </cell>
          <cell r="F2288">
            <v>9469</v>
          </cell>
          <cell r="G2288">
            <v>1158252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1207880</v>
          </cell>
          <cell r="AB2288">
            <v>0</v>
          </cell>
          <cell r="AC2288">
            <v>37376</v>
          </cell>
          <cell r="AD2288">
            <v>257365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</row>
        <row r="2289">
          <cell r="A2289">
            <v>211010611</v>
          </cell>
          <cell r="C2289">
            <v>0</v>
          </cell>
          <cell r="D2289">
            <v>0</v>
          </cell>
          <cell r="E2289">
            <v>0</v>
          </cell>
          <cell r="F2289">
            <v>4809566</v>
          </cell>
          <cell r="G2289">
            <v>0</v>
          </cell>
          <cell r="H2289">
            <v>0</v>
          </cell>
          <cell r="I2289">
            <v>677086541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39981547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</row>
        <row r="2290">
          <cell r="A2290">
            <v>211010612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</row>
        <row r="2291">
          <cell r="A2291">
            <v>211010630</v>
          </cell>
          <cell r="C2291">
            <v>62659564</v>
          </cell>
          <cell r="D2291">
            <v>153845785</v>
          </cell>
          <cell r="E2291">
            <v>7263467</v>
          </cell>
          <cell r="F2291">
            <v>16139363</v>
          </cell>
          <cell r="G2291">
            <v>312953023</v>
          </cell>
          <cell r="H2291">
            <v>1323550702</v>
          </cell>
          <cell r="I2291">
            <v>186806130</v>
          </cell>
          <cell r="J2291">
            <v>77085596</v>
          </cell>
          <cell r="K2291">
            <v>62100</v>
          </cell>
          <cell r="L2291">
            <v>367000</v>
          </cell>
          <cell r="M2291">
            <v>1160000</v>
          </cell>
          <cell r="N2291">
            <v>89518698</v>
          </cell>
          <cell r="O2291">
            <v>71282118</v>
          </cell>
          <cell r="P2291">
            <v>30363996</v>
          </cell>
          <cell r="Q2291">
            <v>0</v>
          </cell>
          <cell r="R2291">
            <v>49674910</v>
          </cell>
          <cell r="S2291">
            <v>4074470</v>
          </cell>
          <cell r="T2291">
            <v>547083444</v>
          </cell>
          <cell r="U2291">
            <v>0</v>
          </cell>
          <cell r="V2291">
            <v>29579194</v>
          </cell>
          <cell r="W2291">
            <v>45108021</v>
          </cell>
          <cell r="X2291">
            <v>32622723</v>
          </cell>
          <cell r="Y2291">
            <v>15719868</v>
          </cell>
          <cell r="Z2291">
            <v>56913904</v>
          </cell>
          <cell r="AA2291">
            <v>8045780</v>
          </cell>
          <cell r="AB2291">
            <v>800761881</v>
          </cell>
          <cell r="AC2291">
            <v>18705988</v>
          </cell>
          <cell r="AD2291">
            <v>8363672</v>
          </cell>
          <cell r="AE2291">
            <v>188167334</v>
          </cell>
          <cell r="AF2291">
            <v>36180000</v>
          </cell>
          <cell r="AG2291">
            <v>267405281</v>
          </cell>
          <cell r="AH2291">
            <v>80853712</v>
          </cell>
          <cell r="AI2291">
            <v>1121244398</v>
          </cell>
        </row>
        <row r="2292">
          <cell r="A2292">
            <v>212000000</v>
          </cell>
          <cell r="C2292">
            <v>16404321646</v>
          </cell>
          <cell r="D2292">
            <v>16468330519</v>
          </cell>
          <cell r="E2292">
            <v>8346284004</v>
          </cell>
          <cell r="F2292">
            <v>5709978284</v>
          </cell>
          <cell r="G2292">
            <v>14027896376</v>
          </cell>
          <cell r="H2292">
            <v>40103013625</v>
          </cell>
          <cell r="I2292">
            <v>11486881897</v>
          </cell>
          <cell r="J2292">
            <v>3744155792</v>
          </cell>
          <cell r="K2292">
            <v>1869665132</v>
          </cell>
          <cell r="L2292">
            <v>3981868519</v>
          </cell>
          <cell r="M2292">
            <v>3130713972</v>
          </cell>
          <cell r="N2292">
            <v>19040199127</v>
          </cell>
          <cell r="O2292">
            <v>9122724658</v>
          </cell>
          <cell r="P2292">
            <v>6676049730</v>
          </cell>
          <cell r="Q2292">
            <v>5548461726</v>
          </cell>
          <cell r="R2292">
            <v>6294049250</v>
          </cell>
          <cell r="S2292">
            <v>1389615808</v>
          </cell>
          <cell r="T2292">
            <v>16493058904</v>
          </cell>
          <cell r="U2292">
            <v>0</v>
          </cell>
          <cell r="V2292">
            <v>28311895761</v>
          </cell>
          <cell r="W2292">
            <v>7797118413</v>
          </cell>
          <cell r="X2292">
            <v>11168536030</v>
          </cell>
          <cell r="Y2292">
            <v>2443436942</v>
          </cell>
          <cell r="Z2292">
            <v>10075466909</v>
          </cell>
          <cell r="AA2292">
            <v>3068840720</v>
          </cell>
          <cell r="AB2292">
            <v>22969058523</v>
          </cell>
          <cell r="AC2292">
            <v>3736763964</v>
          </cell>
          <cell r="AD2292">
            <v>13792984439</v>
          </cell>
          <cell r="AE2292">
            <v>85650483851</v>
          </cell>
          <cell r="AF2292">
            <v>8162943279</v>
          </cell>
          <cell r="AG2292">
            <v>9212676201</v>
          </cell>
          <cell r="AH2292">
            <v>7213416063</v>
          </cell>
          <cell r="AI2292">
            <v>6814516064</v>
          </cell>
        </row>
        <row r="2293">
          <cell r="A2293">
            <v>212010000</v>
          </cell>
          <cell r="C2293">
            <v>16260341038</v>
          </cell>
          <cell r="D2293">
            <v>16079704597</v>
          </cell>
          <cell r="E2293">
            <v>7793864242</v>
          </cell>
          <cell r="F2293">
            <v>5285729002</v>
          </cell>
          <cell r="G2293">
            <v>12691978486</v>
          </cell>
          <cell r="H2293">
            <v>39369000667</v>
          </cell>
          <cell r="I2293">
            <v>10819809489</v>
          </cell>
          <cell r="J2293">
            <v>3459658404</v>
          </cell>
          <cell r="K2293">
            <v>1571972944</v>
          </cell>
          <cell r="L2293">
            <v>3565102175</v>
          </cell>
          <cell r="M2293">
            <v>2834924796</v>
          </cell>
          <cell r="N2293">
            <v>18705915146</v>
          </cell>
          <cell r="O2293">
            <v>8663413701</v>
          </cell>
          <cell r="P2293">
            <v>6319320146</v>
          </cell>
          <cell r="Q2293">
            <v>4940286273</v>
          </cell>
          <cell r="R2293">
            <v>5713866711</v>
          </cell>
          <cell r="S2293">
            <v>1106449695</v>
          </cell>
          <cell r="T2293">
            <v>14284385977</v>
          </cell>
          <cell r="U2293">
            <v>0</v>
          </cell>
          <cell r="V2293">
            <v>28231416386</v>
          </cell>
          <cell r="W2293">
            <v>7492705378</v>
          </cell>
          <cell r="X2293">
            <v>10613616905</v>
          </cell>
          <cell r="Y2293">
            <v>1745287352</v>
          </cell>
          <cell r="Z2293">
            <v>9790681649</v>
          </cell>
          <cell r="AA2293">
            <v>2923100516</v>
          </cell>
          <cell r="AB2293">
            <v>21949488398</v>
          </cell>
          <cell r="AC2293">
            <v>3453597851</v>
          </cell>
          <cell r="AD2293">
            <v>13493152068</v>
          </cell>
          <cell r="AE2293">
            <v>85650483851</v>
          </cell>
          <cell r="AF2293">
            <v>7995733870</v>
          </cell>
          <cell r="AG2293">
            <v>8899276583</v>
          </cell>
          <cell r="AH2293">
            <v>7163879129</v>
          </cell>
          <cell r="AI2293">
            <v>6814516064</v>
          </cell>
        </row>
        <row r="2294">
          <cell r="A2294">
            <v>212010100</v>
          </cell>
          <cell r="C2294">
            <v>16256371255</v>
          </cell>
          <cell r="D2294">
            <v>16015853430</v>
          </cell>
          <cell r="E2294">
            <v>7377673364</v>
          </cell>
          <cell r="F2294">
            <v>5249846216</v>
          </cell>
          <cell r="G2294">
            <v>12674910092</v>
          </cell>
          <cell r="H2294">
            <v>39281391351</v>
          </cell>
          <cell r="I2294">
            <v>10809989382</v>
          </cell>
          <cell r="J2294">
            <v>3459658404</v>
          </cell>
          <cell r="K2294">
            <v>1568364363</v>
          </cell>
          <cell r="L2294">
            <v>1496317615</v>
          </cell>
          <cell r="M2294">
            <v>2834924796</v>
          </cell>
          <cell r="N2294">
            <v>18086472271</v>
          </cell>
          <cell r="O2294">
            <v>8661720692</v>
          </cell>
          <cell r="P2294">
            <v>6319320146</v>
          </cell>
          <cell r="Q2294">
            <v>4940286273</v>
          </cell>
          <cell r="R2294">
            <v>5712689928</v>
          </cell>
          <cell r="S2294">
            <v>1106449695</v>
          </cell>
          <cell r="T2294">
            <v>13700760875</v>
          </cell>
          <cell r="U2294">
            <v>0</v>
          </cell>
          <cell r="V2294">
            <v>27382430762</v>
          </cell>
          <cell r="W2294">
            <v>7479060623</v>
          </cell>
          <cell r="X2294">
            <v>10540501774</v>
          </cell>
          <cell r="Y2294">
            <v>1745287352</v>
          </cell>
          <cell r="Z2294">
            <v>7771585917</v>
          </cell>
          <cell r="AA2294">
            <v>2920008302</v>
          </cell>
          <cell r="AB2294">
            <v>20626106858</v>
          </cell>
          <cell r="AC2294">
            <v>3442325314</v>
          </cell>
          <cell r="AD2294">
            <v>12133766889</v>
          </cell>
          <cell r="AE2294">
            <v>80131042863</v>
          </cell>
          <cell r="AF2294">
            <v>7769057342</v>
          </cell>
          <cell r="AG2294">
            <v>8892784428</v>
          </cell>
          <cell r="AH2294">
            <v>6580284879</v>
          </cell>
          <cell r="AI2294">
            <v>6785468486</v>
          </cell>
        </row>
        <row r="2295">
          <cell r="A2295">
            <v>212010101</v>
          </cell>
          <cell r="C2295">
            <v>695349349</v>
          </cell>
          <cell r="D2295">
            <v>2540302357</v>
          </cell>
          <cell r="E2295">
            <v>3040555433</v>
          </cell>
          <cell r="F2295">
            <v>741703784</v>
          </cell>
          <cell r="G2295">
            <v>534042418</v>
          </cell>
          <cell r="H2295">
            <v>1768910683</v>
          </cell>
          <cell r="I2295">
            <v>1095586361</v>
          </cell>
          <cell r="J2295">
            <v>304091674</v>
          </cell>
          <cell r="K2295">
            <v>337119310</v>
          </cell>
          <cell r="L2295">
            <v>405172991</v>
          </cell>
          <cell r="M2295">
            <v>52342966</v>
          </cell>
          <cell r="N2295">
            <v>1691948471</v>
          </cell>
          <cell r="O2295">
            <v>1677341267</v>
          </cell>
          <cell r="P2295">
            <v>354220424</v>
          </cell>
          <cell r="Q2295">
            <v>567854543</v>
          </cell>
          <cell r="R2295">
            <v>278734683</v>
          </cell>
          <cell r="S2295">
            <v>39947936</v>
          </cell>
          <cell r="T2295">
            <v>1303091061</v>
          </cell>
          <cell r="U2295">
            <v>0</v>
          </cell>
          <cell r="V2295">
            <v>4358469704</v>
          </cell>
          <cell r="W2295">
            <v>500950774</v>
          </cell>
          <cell r="X2295">
            <v>1101572267</v>
          </cell>
          <cell r="Y2295">
            <v>141039645</v>
          </cell>
          <cell r="Z2295">
            <v>334666162</v>
          </cell>
          <cell r="AA2295">
            <v>499049342</v>
          </cell>
          <cell r="AB2295">
            <v>1295810387</v>
          </cell>
          <cell r="AC2295">
            <v>218378824</v>
          </cell>
          <cell r="AD2295">
            <v>1209619036</v>
          </cell>
          <cell r="AE2295">
            <v>11365144834</v>
          </cell>
          <cell r="AF2295">
            <v>641581906</v>
          </cell>
          <cell r="AG2295">
            <v>293102483</v>
          </cell>
          <cell r="AH2295">
            <v>585331704</v>
          </cell>
          <cell r="AI2295">
            <v>28429276</v>
          </cell>
        </row>
        <row r="2296">
          <cell r="A2296">
            <v>212010102</v>
          </cell>
          <cell r="C2296">
            <v>227768966</v>
          </cell>
          <cell r="D2296">
            <v>480360533</v>
          </cell>
          <cell r="E2296">
            <v>131723147</v>
          </cell>
          <cell r="F2296">
            <v>125296941</v>
          </cell>
          <cell r="G2296">
            <v>317877532</v>
          </cell>
          <cell r="H2296">
            <v>446099403</v>
          </cell>
          <cell r="I2296">
            <v>177274349</v>
          </cell>
          <cell r="J2296">
            <v>24995090</v>
          </cell>
          <cell r="K2296">
            <v>12382301</v>
          </cell>
          <cell r="L2296">
            <v>30673419</v>
          </cell>
          <cell r="M2296">
            <v>22392356</v>
          </cell>
          <cell r="N2296">
            <v>422244130</v>
          </cell>
          <cell r="O2296">
            <v>103639351</v>
          </cell>
          <cell r="P2296">
            <v>251157141</v>
          </cell>
          <cell r="Q2296">
            <v>237476924</v>
          </cell>
          <cell r="R2296">
            <v>171277365</v>
          </cell>
          <cell r="S2296">
            <v>2765934</v>
          </cell>
          <cell r="T2296">
            <v>709936558</v>
          </cell>
          <cell r="U2296">
            <v>0</v>
          </cell>
          <cell r="V2296">
            <v>512075021</v>
          </cell>
          <cell r="W2296">
            <v>45681620</v>
          </cell>
          <cell r="X2296">
            <v>114758020</v>
          </cell>
          <cell r="Y2296">
            <v>18650926</v>
          </cell>
          <cell r="Z2296">
            <v>27588933</v>
          </cell>
          <cell r="AA2296">
            <v>59752887</v>
          </cell>
          <cell r="AB2296">
            <v>276449107</v>
          </cell>
          <cell r="AC2296">
            <v>10666396</v>
          </cell>
          <cell r="AD2296">
            <v>184785069</v>
          </cell>
          <cell r="AE2296">
            <v>1818349260</v>
          </cell>
          <cell r="AF2296">
            <v>46152932</v>
          </cell>
          <cell r="AG2296">
            <v>322638477</v>
          </cell>
          <cell r="AH2296">
            <v>35708240</v>
          </cell>
          <cell r="AI2296">
            <v>63031769</v>
          </cell>
        </row>
        <row r="2297">
          <cell r="A2297">
            <v>212010103</v>
          </cell>
          <cell r="C2297">
            <v>71872301</v>
          </cell>
          <cell r="D2297">
            <v>154523555</v>
          </cell>
          <cell r="E2297">
            <v>169722772</v>
          </cell>
          <cell r="F2297">
            <v>156221597</v>
          </cell>
          <cell r="G2297">
            <v>50695197</v>
          </cell>
          <cell r="H2297">
            <v>278892988</v>
          </cell>
          <cell r="I2297">
            <v>8968980</v>
          </cell>
          <cell r="J2297">
            <v>122384846</v>
          </cell>
          <cell r="K2297">
            <v>764474</v>
          </cell>
          <cell r="L2297">
            <v>69198531</v>
          </cell>
          <cell r="M2297">
            <v>2260104</v>
          </cell>
          <cell r="N2297">
            <v>94627030</v>
          </cell>
          <cell r="O2297">
            <v>128321478</v>
          </cell>
          <cell r="P2297">
            <v>15249145</v>
          </cell>
          <cell r="Q2297">
            <v>159466347</v>
          </cell>
          <cell r="R2297">
            <v>243507619</v>
          </cell>
          <cell r="S2297">
            <v>13855589</v>
          </cell>
          <cell r="T2297">
            <v>282822238</v>
          </cell>
          <cell r="U2297">
            <v>0</v>
          </cell>
          <cell r="V2297">
            <v>1357314419</v>
          </cell>
          <cell r="W2297">
            <v>22751797</v>
          </cell>
          <cell r="X2297">
            <v>127974109</v>
          </cell>
          <cell r="Y2297">
            <v>6835440</v>
          </cell>
          <cell r="Z2297">
            <v>27128956</v>
          </cell>
          <cell r="AA2297">
            <v>26237225</v>
          </cell>
          <cell r="AB2297">
            <v>1544135613</v>
          </cell>
          <cell r="AC2297">
            <v>15159596</v>
          </cell>
          <cell r="AD2297">
            <v>54571462</v>
          </cell>
          <cell r="AE2297">
            <v>441547689</v>
          </cell>
          <cell r="AF2297">
            <v>975052225</v>
          </cell>
          <cell r="AG2297">
            <v>107793082</v>
          </cell>
          <cell r="AH2297">
            <v>150307334</v>
          </cell>
          <cell r="AI2297">
            <v>70121513</v>
          </cell>
        </row>
        <row r="2298">
          <cell r="A2298">
            <v>212010104</v>
          </cell>
          <cell r="C2298">
            <v>10263247438</v>
          </cell>
          <cell r="D2298">
            <v>10981625096</v>
          </cell>
          <cell r="E2298">
            <v>2858620044</v>
          </cell>
          <cell r="F2298">
            <v>2886022823</v>
          </cell>
          <cell r="G2298">
            <v>10248521739</v>
          </cell>
          <cell r="H2298">
            <v>29875804712</v>
          </cell>
          <cell r="I2298">
            <v>8126600685</v>
          </cell>
          <cell r="J2298">
            <v>2903448463</v>
          </cell>
          <cell r="K2298">
            <v>1183357284</v>
          </cell>
          <cell r="L2298">
            <v>784540562</v>
          </cell>
          <cell r="M2298">
            <v>900850505</v>
          </cell>
          <cell r="N2298">
            <v>7465161325</v>
          </cell>
          <cell r="O2298">
            <v>3971682318</v>
          </cell>
          <cell r="P2298">
            <v>5219996668</v>
          </cell>
          <cell r="Q2298">
            <v>3135052106</v>
          </cell>
          <cell r="R2298">
            <v>2080980991</v>
          </cell>
          <cell r="S2298">
            <v>894098661</v>
          </cell>
          <cell r="T2298">
            <v>9736375255</v>
          </cell>
          <cell r="U2298">
            <v>0</v>
          </cell>
          <cell r="V2298">
            <v>12808335937</v>
          </cell>
          <cell r="W2298">
            <v>5989556866</v>
          </cell>
          <cell r="X2298">
            <v>7291518153</v>
          </cell>
          <cell r="Y2298">
            <v>1372589016</v>
          </cell>
          <cell r="Z2298">
            <v>5634236430</v>
          </cell>
          <cell r="AA2298">
            <v>1694616749</v>
          </cell>
          <cell r="AB2298">
            <v>14911208649</v>
          </cell>
          <cell r="AC2298">
            <v>2353852821</v>
          </cell>
          <cell r="AD2298">
            <v>9390604274</v>
          </cell>
          <cell r="AE2298">
            <v>56229610990</v>
          </cell>
          <cell r="AF2298">
            <v>4741574486</v>
          </cell>
          <cell r="AG2298">
            <v>7452273644</v>
          </cell>
          <cell r="AH2298">
            <v>5108663212</v>
          </cell>
          <cell r="AI2298">
            <v>206411906</v>
          </cell>
        </row>
        <row r="2299">
          <cell r="A2299">
            <v>212010105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595909252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74960444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</row>
        <row r="2300">
          <cell r="A2300">
            <v>212010106</v>
          </cell>
          <cell r="C2300">
            <v>65263565</v>
          </cell>
          <cell r="D2300">
            <v>806599311</v>
          </cell>
          <cell r="E2300">
            <v>454344767</v>
          </cell>
          <cell r="F2300">
            <v>160685262</v>
          </cell>
          <cell r="G2300">
            <v>240413922</v>
          </cell>
          <cell r="H2300">
            <v>491469432</v>
          </cell>
          <cell r="I2300">
            <v>405422670</v>
          </cell>
          <cell r="J2300">
            <v>32802026</v>
          </cell>
          <cell r="K2300">
            <v>15355649</v>
          </cell>
          <cell r="L2300">
            <v>71398538</v>
          </cell>
          <cell r="M2300">
            <v>147309930</v>
          </cell>
          <cell r="N2300">
            <v>993493075</v>
          </cell>
          <cell r="O2300">
            <v>468990946</v>
          </cell>
          <cell r="P2300">
            <v>247975989</v>
          </cell>
          <cell r="Q2300">
            <v>168082803</v>
          </cell>
          <cell r="R2300">
            <v>191813341</v>
          </cell>
          <cell r="S2300">
            <v>42509892</v>
          </cell>
          <cell r="T2300">
            <v>371431942</v>
          </cell>
          <cell r="U2300">
            <v>0</v>
          </cell>
          <cell r="V2300">
            <v>806664240</v>
          </cell>
          <cell r="W2300">
            <v>314795005</v>
          </cell>
          <cell r="X2300">
            <v>813537317</v>
          </cell>
          <cell r="Y2300">
            <v>20257610</v>
          </cell>
          <cell r="Z2300">
            <v>1621739998</v>
          </cell>
          <cell r="AA2300">
            <v>137100490</v>
          </cell>
          <cell r="AB2300">
            <v>529698648</v>
          </cell>
          <cell r="AC2300">
            <v>60431548</v>
          </cell>
          <cell r="AD2300">
            <v>276700002</v>
          </cell>
          <cell r="AE2300">
            <v>4173660143</v>
          </cell>
          <cell r="AF2300">
            <v>238110168</v>
          </cell>
          <cell r="AG2300">
            <v>297903518</v>
          </cell>
          <cell r="AH2300">
            <v>342288430</v>
          </cell>
          <cell r="AI2300">
            <v>2089546</v>
          </cell>
        </row>
        <row r="2301">
          <cell r="A2301">
            <v>212010107</v>
          </cell>
          <cell r="C2301">
            <v>6151481</v>
          </cell>
          <cell r="D2301">
            <v>68029086</v>
          </cell>
          <cell r="E2301">
            <v>0</v>
          </cell>
          <cell r="F2301">
            <v>16213368</v>
          </cell>
          <cell r="G2301">
            <v>10905863</v>
          </cell>
          <cell r="H2301">
            <v>46996402</v>
          </cell>
          <cell r="I2301">
            <v>61792711</v>
          </cell>
          <cell r="J2301">
            <v>1302971</v>
          </cell>
          <cell r="K2301">
            <v>1482765</v>
          </cell>
          <cell r="L2301">
            <v>2049895</v>
          </cell>
          <cell r="M2301">
            <v>382666</v>
          </cell>
          <cell r="N2301">
            <v>46219835</v>
          </cell>
          <cell r="O2301">
            <v>13710452</v>
          </cell>
          <cell r="P2301">
            <v>5263772</v>
          </cell>
          <cell r="Q2301">
            <v>11555515</v>
          </cell>
          <cell r="R2301">
            <v>8189616</v>
          </cell>
          <cell r="S2301">
            <v>960156</v>
          </cell>
          <cell r="T2301">
            <v>5904971</v>
          </cell>
          <cell r="U2301">
            <v>0</v>
          </cell>
          <cell r="V2301">
            <v>14558251</v>
          </cell>
          <cell r="W2301">
            <v>5972096</v>
          </cell>
          <cell r="X2301">
            <v>44842713</v>
          </cell>
          <cell r="Y2301">
            <v>0</v>
          </cell>
          <cell r="Z2301">
            <v>23616192</v>
          </cell>
          <cell r="AA2301">
            <v>6765902</v>
          </cell>
          <cell r="AB2301">
            <v>47680427</v>
          </cell>
          <cell r="AC2301">
            <v>11952010</v>
          </cell>
          <cell r="AD2301">
            <v>15776227</v>
          </cell>
          <cell r="AE2301">
            <v>123652782</v>
          </cell>
          <cell r="AF2301">
            <v>11247663</v>
          </cell>
          <cell r="AG2301">
            <v>14006621</v>
          </cell>
          <cell r="AH2301">
            <v>20014665</v>
          </cell>
          <cell r="AI2301">
            <v>0</v>
          </cell>
        </row>
        <row r="2302">
          <cell r="A2302">
            <v>212010108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1668127114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53994594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505601181</v>
          </cell>
          <cell r="AF2302">
            <v>1122273</v>
          </cell>
          <cell r="AG2302">
            <v>0</v>
          </cell>
          <cell r="AH2302">
            <v>0</v>
          </cell>
          <cell r="AI2302">
            <v>5731780032</v>
          </cell>
        </row>
        <row r="2303">
          <cell r="A2303">
            <v>212010109</v>
          </cell>
          <cell r="C2303">
            <v>77503194</v>
          </cell>
          <cell r="D2303">
            <v>33929881</v>
          </cell>
          <cell r="E2303">
            <v>48648179</v>
          </cell>
          <cell r="F2303">
            <v>57323159</v>
          </cell>
          <cell r="G2303">
            <v>86665871</v>
          </cell>
          <cell r="H2303">
            <v>1238182877</v>
          </cell>
          <cell r="I2303">
            <v>644906535</v>
          </cell>
          <cell r="J2303">
            <v>26436228</v>
          </cell>
          <cell r="K2303">
            <v>11126564</v>
          </cell>
          <cell r="L2303">
            <v>17166272</v>
          </cell>
          <cell r="M2303">
            <v>0</v>
          </cell>
          <cell r="N2303">
            <v>5200357128</v>
          </cell>
          <cell r="O2303">
            <v>413429886</v>
          </cell>
          <cell r="P2303">
            <v>3394760</v>
          </cell>
          <cell r="Q2303">
            <v>1766320</v>
          </cell>
          <cell r="R2303">
            <v>1437157</v>
          </cell>
          <cell r="S2303">
            <v>724169</v>
          </cell>
          <cell r="T2303">
            <v>107812189</v>
          </cell>
          <cell r="U2303">
            <v>0</v>
          </cell>
          <cell r="V2303">
            <v>5349559370</v>
          </cell>
          <cell r="W2303">
            <v>368726083</v>
          </cell>
          <cell r="X2303">
            <v>247877422</v>
          </cell>
          <cell r="Y2303">
            <v>1062976</v>
          </cell>
          <cell r="Z2303">
            <v>28965911</v>
          </cell>
          <cell r="AA2303">
            <v>415789244</v>
          </cell>
          <cell r="AB2303">
            <v>706215714</v>
          </cell>
          <cell r="AC2303">
            <v>8462556</v>
          </cell>
          <cell r="AD2303">
            <v>556920759</v>
          </cell>
          <cell r="AE2303">
            <v>2752775578</v>
          </cell>
          <cell r="AF2303">
            <v>592202692</v>
          </cell>
          <cell r="AG2303">
            <v>27812143</v>
          </cell>
          <cell r="AH2303">
            <v>135650486</v>
          </cell>
          <cell r="AI2303">
            <v>358011640</v>
          </cell>
        </row>
        <row r="2304">
          <cell r="A2304">
            <v>212010110</v>
          </cell>
          <cell r="C2304">
            <v>1509656232</v>
          </cell>
          <cell r="D2304">
            <v>132234632</v>
          </cell>
          <cell r="E2304">
            <v>452912157</v>
          </cell>
          <cell r="F2304">
            <v>15882468</v>
          </cell>
          <cell r="G2304">
            <v>70651817</v>
          </cell>
          <cell r="H2304">
            <v>355479050</v>
          </cell>
          <cell r="I2304">
            <v>140434905</v>
          </cell>
          <cell r="J2304">
            <v>15245521</v>
          </cell>
          <cell r="K2304">
            <v>2093223</v>
          </cell>
          <cell r="L2304">
            <v>2024261</v>
          </cell>
          <cell r="M2304">
            <v>8160134</v>
          </cell>
          <cell r="N2304">
            <v>342091415</v>
          </cell>
          <cell r="O2304">
            <v>183030595</v>
          </cell>
          <cell r="P2304">
            <v>24307584</v>
          </cell>
          <cell r="Q2304">
            <v>62355605</v>
          </cell>
          <cell r="R2304">
            <v>155255404</v>
          </cell>
          <cell r="S2304">
            <v>11288100</v>
          </cell>
          <cell r="T2304">
            <v>328103446</v>
          </cell>
          <cell r="U2304">
            <v>0</v>
          </cell>
          <cell r="V2304">
            <v>933221379</v>
          </cell>
          <cell r="W2304">
            <v>50986208</v>
          </cell>
          <cell r="X2304">
            <v>96230088</v>
          </cell>
          <cell r="Y2304">
            <v>15168426</v>
          </cell>
          <cell r="Z2304">
            <v>33459197</v>
          </cell>
          <cell r="AA2304">
            <v>30913671</v>
          </cell>
          <cell r="AB2304">
            <v>172810641</v>
          </cell>
          <cell r="AC2304">
            <v>22519477</v>
          </cell>
          <cell r="AD2304">
            <v>69738151</v>
          </cell>
          <cell r="AE2304">
            <v>1897963439</v>
          </cell>
          <cell r="AF2304">
            <v>58900262</v>
          </cell>
          <cell r="AG2304">
            <v>53658536</v>
          </cell>
          <cell r="AH2304">
            <v>26497433</v>
          </cell>
          <cell r="AI2304">
            <v>24124175</v>
          </cell>
        </row>
        <row r="2305">
          <cell r="A2305">
            <v>212010111</v>
          </cell>
          <cell r="C2305">
            <v>26830069</v>
          </cell>
          <cell r="D2305">
            <v>375525840</v>
          </cell>
          <cell r="E2305">
            <v>362628</v>
          </cell>
          <cell r="F2305">
            <v>0</v>
          </cell>
          <cell r="G2305">
            <v>32762373</v>
          </cell>
          <cell r="H2305">
            <v>113727176</v>
          </cell>
          <cell r="I2305">
            <v>0</v>
          </cell>
          <cell r="J2305">
            <v>17722569</v>
          </cell>
          <cell r="K2305">
            <v>0</v>
          </cell>
          <cell r="L2305">
            <v>14572435</v>
          </cell>
          <cell r="M2305">
            <v>0</v>
          </cell>
          <cell r="N2305">
            <v>112075964</v>
          </cell>
          <cell r="O2305">
            <v>5853683</v>
          </cell>
          <cell r="P2305">
            <v>74567622</v>
          </cell>
          <cell r="Q2305">
            <v>28342171</v>
          </cell>
          <cell r="R2305">
            <v>11403774</v>
          </cell>
          <cell r="S2305">
            <v>0</v>
          </cell>
          <cell r="T2305">
            <v>53004485</v>
          </cell>
          <cell r="U2305">
            <v>0</v>
          </cell>
          <cell r="V2305">
            <v>22473681</v>
          </cell>
          <cell r="W2305">
            <v>12950373</v>
          </cell>
          <cell r="X2305">
            <v>90631974</v>
          </cell>
          <cell r="Y2305">
            <v>0</v>
          </cell>
          <cell r="Z2305">
            <v>10292941</v>
          </cell>
          <cell r="AA2305">
            <v>0</v>
          </cell>
          <cell r="AB2305">
            <v>71397913</v>
          </cell>
          <cell r="AC2305">
            <v>0</v>
          </cell>
          <cell r="AD2305">
            <v>0</v>
          </cell>
          <cell r="AE2305">
            <v>262628199</v>
          </cell>
          <cell r="AF2305">
            <v>0</v>
          </cell>
          <cell r="AG2305">
            <v>3274328</v>
          </cell>
          <cell r="AH2305">
            <v>0</v>
          </cell>
          <cell r="AI2305">
            <v>17043902</v>
          </cell>
        </row>
        <row r="2306">
          <cell r="A2306">
            <v>212010112</v>
          </cell>
          <cell r="C2306">
            <v>530230912</v>
          </cell>
          <cell r="D2306">
            <v>126347194</v>
          </cell>
          <cell r="E2306">
            <v>94346646</v>
          </cell>
          <cell r="F2306">
            <v>655648105</v>
          </cell>
          <cell r="G2306">
            <v>129491010</v>
          </cell>
          <cell r="H2306">
            <v>633885032</v>
          </cell>
          <cell r="I2306">
            <v>83390722</v>
          </cell>
          <cell r="J2306">
            <v>265633</v>
          </cell>
          <cell r="K2306">
            <v>3308640</v>
          </cell>
          <cell r="L2306">
            <v>3477081</v>
          </cell>
          <cell r="M2306">
            <v>2740050</v>
          </cell>
          <cell r="N2306">
            <v>372731715</v>
          </cell>
          <cell r="O2306">
            <v>977488642</v>
          </cell>
          <cell r="P2306">
            <v>22207187</v>
          </cell>
          <cell r="Q2306">
            <v>67522206</v>
          </cell>
          <cell r="R2306">
            <v>1491723083</v>
          </cell>
          <cell r="S2306">
            <v>8897083</v>
          </cell>
          <cell r="T2306">
            <v>416420209</v>
          </cell>
          <cell r="U2306">
            <v>0</v>
          </cell>
          <cell r="V2306">
            <v>968999802</v>
          </cell>
          <cell r="W2306">
            <v>63866142</v>
          </cell>
          <cell r="X2306">
            <v>136495267</v>
          </cell>
          <cell r="Y2306">
            <v>3408904</v>
          </cell>
          <cell r="Z2306">
            <v>17452295</v>
          </cell>
          <cell r="AA2306">
            <v>3872390</v>
          </cell>
          <cell r="AB2306">
            <v>456065250</v>
          </cell>
          <cell r="AC2306">
            <v>29756142</v>
          </cell>
          <cell r="AD2306">
            <v>246157222</v>
          </cell>
          <cell r="AE2306">
            <v>296392495</v>
          </cell>
          <cell r="AF2306">
            <v>210540420</v>
          </cell>
          <cell r="AG2306">
            <v>9317993</v>
          </cell>
          <cell r="AH2306">
            <v>37550221</v>
          </cell>
          <cell r="AI2306">
            <v>158312144</v>
          </cell>
        </row>
        <row r="2307">
          <cell r="A2307">
            <v>212010113</v>
          </cell>
          <cell r="C2307">
            <v>2782497748</v>
          </cell>
          <cell r="D2307">
            <v>316375945</v>
          </cell>
          <cell r="E2307">
            <v>126437591</v>
          </cell>
          <cell r="F2307">
            <v>434848709</v>
          </cell>
          <cell r="G2307">
            <v>356973098</v>
          </cell>
          <cell r="H2307">
            <v>4031943596</v>
          </cell>
          <cell r="I2307">
            <v>65611464</v>
          </cell>
          <cell r="J2307">
            <v>10963383</v>
          </cell>
          <cell r="K2307">
            <v>1374153</v>
          </cell>
          <cell r="L2307">
            <v>96043630</v>
          </cell>
          <cell r="M2307">
            <v>30358971</v>
          </cell>
          <cell r="N2307">
            <v>1345522183</v>
          </cell>
          <cell r="O2307">
            <v>718232074</v>
          </cell>
          <cell r="P2307">
            <v>100979854</v>
          </cell>
          <cell r="Q2307">
            <v>500811733</v>
          </cell>
          <cell r="R2307">
            <v>1078366895</v>
          </cell>
          <cell r="S2307">
            <v>91402175</v>
          </cell>
          <cell r="T2307">
            <v>331863927</v>
          </cell>
          <cell r="U2307">
            <v>0</v>
          </cell>
          <cell r="V2307">
            <v>250758958</v>
          </cell>
          <cell r="W2307">
            <v>102823659</v>
          </cell>
          <cell r="X2307">
            <v>475064444</v>
          </cell>
          <cell r="Y2307">
            <v>91313965</v>
          </cell>
          <cell r="Z2307">
            <v>12438902</v>
          </cell>
          <cell r="AA2307">
            <v>45910402</v>
          </cell>
          <cell r="AB2307">
            <v>614634509</v>
          </cell>
          <cell r="AC2307">
            <v>711145944</v>
          </cell>
          <cell r="AD2307">
            <v>128894687</v>
          </cell>
          <cell r="AE2307">
            <v>263716273</v>
          </cell>
          <cell r="AF2307">
            <v>252572315</v>
          </cell>
          <cell r="AG2307">
            <v>311003603</v>
          </cell>
          <cell r="AH2307">
            <v>138273154</v>
          </cell>
          <cell r="AI2307">
            <v>126112583</v>
          </cell>
        </row>
        <row r="2308">
          <cell r="A2308">
            <v>212010200</v>
          </cell>
          <cell r="C2308">
            <v>3969783</v>
          </cell>
          <cell r="D2308">
            <v>63851167</v>
          </cell>
          <cell r="E2308">
            <v>416190878</v>
          </cell>
          <cell r="F2308">
            <v>35882786</v>
          </cell>
          <cell r="G2308">
            <v>17068394</v>
          </cell>
          <cell r="H2308">
            <v>87609316</v>
          </cell>
          <cell r="I2308">
            <v>9820107</v>
          </cell>
          <cell r="J2308">
            <v>0</v>
          </cell>
          <cell r="K2308">
            <v>3608581</v>
          </cell>
          <cell r="L2308">
            <v>2068784560</v>
          </cell>
          <cell r="M2308">
            <v>0</v>
          </cell>
          <cell r="N2308">
            <v>619442875</v>
          </cell>
          <cell r="O2308">
            <v>1693009</v>
          </cell>
          <cell r="P2308">
            <v>0</v>
          </cell>
          <cell r="Q2308">
            <v>0</v>
          </cell>
          <cell r="R2308">
            <v>1176783</v>
          </cell>
          <cell r="S2308">
            <v>0</v>
          </cell>
          <cell r="T2308">
            <v>583625102</v>
          </cell>
          <cell r="U2308">
            <v>0</v>
          </cell>
          <cell r="V2308">
            <v>848985624</v>
          </cell>
          <cell r="W2308">
            <v>13644755</v>
          </cell>
          <cell r="X2308">
            <v>73115131</v>
          </cell>
          <cell r="Y2308">
            <v>0</v>
          </cell>
          <cell r="Z2308">
            <v>2019095732</v>
          </cell>
          <cell r="AA2308">
            <v>3092214</v>
          </cell>
          <cell r="AB2308">
            <v>1323381540</v>
          </cell>
          <cell r="AC2308">
            <v>11272537</v>
          </cell>
          <cell r="AD2308">
            <v>1359385179</v>
          </cell>
          <cell r="AE2308">
            <v>5519440988</v>
          </cell>
          <cell r="AF2308">
            <v>226676528</v>
          </cell>
          <cell r="AG2308">
            <v>6492155</v>
          </cell>
          <cell r="AH2308">
            <v>583594250</v>
          </cell>
          <cell r="AI2308">
            <v>29047578</v>
          </cell>
        </row>
        <row r="2309">
          <cell r="A2309">
            <v>212010201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</row>
        <row r="2310">
          <cell r="A2310">
            <v>212010202</v>
          </cell>
          <cell r="C2310">
            <v>3969783</v>
          </cell>
          <cell r="D2310">
            <v>63851167</v>
          </cell>
          <cell r="E2310">
            <v>416190878</v>
          </cell>
          <cell r="F2310">
            <v>35882786</v>
          </cell>
          <cell r="G2310">
            <v>17068394</v>
          </cell>
          <cell r="H2310">
            <v>87609316</v>
          </cell>
          <cell r="I2310">
            <v>9820107</v>
          </cell>
          <cell r="J2310">
            <v>0</v>
          </cell>
          <cell r="K2310">
            <v>3608581</v>
          </cell>
          <cell r="L2310">
            <v>2068784560</v>
          </cell>
          <cell r="M2310">
            <v>0</v>
          </cell>
          <cell r="N2310">
            <v>619442875</v>
          </cell>
          <cell r="O2310">
            <v>1693009</v>
          </cell>
          <cell r="P2310">
            <v>0</v>
          </cell>
          <cell r="Q2310">
            <v>0</v>
          </cell>
          <cell r="R2310">
            <v>1176783</v>
          </cell>
          <cell r="S2310">
            <v>0</v>
          </cell>
          <cell r="T2310">
            <v>319380796</v>
          </cell>
          <cell r="U2310">
            <v>0</v>
          </cell>
          <cell r="V2310">
            <v>848985624</v>
          </cell>
          <cell r="W2310">
            <v>13644755</v>
          </cell>
          <cell r="X2310">
            <v>73115131</v>
          </cell>
          <cell r="Y2310">
            <v>0</v>
          </cell>
          <cell r="Z2310">
            <v>2019095732</v>
          </cell>
          <cell r="AA2310">
            <v>3092214</v>
          </cell>
          <cell r="AB2310">
            <v>1323381540</v>
          </cell>
          <cell r="AC2310">
            <v>11272537</v>
          </cell>
          <cell r="AD2310">
            <v>1359385179</v>
          </cell>
          <cell r="AE2310">
            <v>5519440988</v>
          </cell>
          <cell r="AF2310">
            <v>226676528</v>
          </cell>
          <cell r="AG2310">
            <v>6492155</v>
          </cell>
          <cell r="AH2310">
            <v>583594250</v>
          </cell>
          <cell r="AI2310">
            <v>29047578</v>
          </cell>
        </row>
        <row r="2311">
          <cell r="A2311">
            <v>212010203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261225638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</row>
        <row r="2312">
          <cell r="A2312">
            <v>212010204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3018668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</row>
        <row r="2313">
          <cell r="A2313">
            <v>212010205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</row>
        <row r="2314">
          <cell r="A2314">
            <v>212010300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</row>
        <row r="2315">
          <cell r="A2315">
            <v>212010301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</row>
        <row r="2316">
          <cell r="A2316">
            <v>212010302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</row>
        <row r="2317">
          <cell r="A2317">
            <v>212010303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</row>
        <row r="2318">
          <cell r="A2318">
            <v>212010304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</row>
        <row r="2319">
          <cell r="A2319">
            <v>212010305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</row>
        <row r="2320">
          <cell r="A2320">
            <v>212010306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</row>
        <row r="2321">
          <cell r="A2321">
            <v>212010307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</row>
        <row r="2322">
          <cell r="A2322">
            <v>212010308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</row>
        <row r="2323">
          <cell r="A2323">
            <v>212010309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</row>
        <row r="2324">
          <cell r="A2324">
            <v>212010310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</row>
        <row r="2325">
          <cell r="A2325">
            <v>212010311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</row>
        <row r="2326">
          <cell r="A2326">
            <v>212010312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</row>
        <row r="2327">
          <cell r="A2327">
            <v>212010313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</row>
        <row r="2328">
          <cell r="A2328">
            <v>212010400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</row>
        <row r="2329">
          <cell r="A2329">
            <v>212010401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</row>
        <row r="2330">
          <cell r="A2330">
            <v>212010402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</row>
        <row r="2331">
          <cell r="A2331">
            <v>212010403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</row>
        <row r="2332">
          <cell r="A2332">
            <v>212010404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</row>
        <row r="2333">
          <cell r="A2333">
            <v>212010405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</row>
        <row r="2334">
          <cell r="A2334">
            <v>212020000</v>
          </cell>
          <cell r="C2334">
            <v>116322821</v>
          </cell>
          <cell r="D2334">
            <v>166843292</v>
          </cell>
          <cell r="E2334">
            <v>166843292</v>
          </cell>
          <cell r="F2334">
            <v>283166113</v>
          </cell>
          <cell r="G2334">
            <v>668478100</v>
          </cell>
          <cell r="H2334">
            <v>283166120</v>
          </cell>
          <cell r="I2334">
            <v>283166113</v>
          </cell>
          <cell r="J2334">
            <v>267683120</v>
          </cell>
          <cell r="K2334">
            <v>283166113</v>
          </cell>
          <cell r="L2334">
            <v>283166113</v>
          </cell>
          <cell r="M2334">
            <v>283166113</v>
          </cell>
          <cell r="N2334">
            <v>0</v>
          </cell>
          <cell r="O2334">
            <v>166843292</v>
          </cell>
          <cell r="P2334">
            <v>283166120</v>
          </cell>
          <cell r="Q2334">
            <v>166843292</v>
          </cell>
          <cell r="R2334">
            <v>283166124</v>
          </cell>
          <cell r="S2334">
            <v>283166113</v>
          </cell>
          <cell r="T2334">
            <v>166843292</v>
          </cell>
          <cell r="U2334">
            <v>0</v>
          </cell>
          <cell r="V2334">
            <v>0</v>
          </cell>
          <cell r="W2334">
            <v>283166113</v>
          </cell>
          <cell r="X2334">
            <v>283166113</v>
          </cell>
          <cell r="Y2334">
            <v>678111599</v>
          </cell>
          <cell r="Z2334">
            <v>283166113</v>
          </cell>
          <cell r="AA2334">
            <v>99976827</v>
          </cell>
          <cell r="AB2334">
            <v>284641963</v>
          </cell>
          <cell r="AC2334">
            <v>283166113</v>
          </cell>
          <cell r="AD2334">
            <v>166843292</v>
          </cell>
          <cell r="AE2334">
            <v>0</v>
          </cell>
          <cell r="AF2334">
            <v>166843292</v>
          </cell>
          <cell r="AG2334">
            <v>283166113</v>
          </cell>
          <cell r="AH2334">
            <v>0</v>
          </cell>
          <cell r="AI2334">
            <v>0</v>
          </cell>
        </row>
        <row r="2335">
          <cell r="A2335">
            <v>212020100</v>
          </cell>
          <cell r="C2335">
            <v>116322821</v>
          </cell>
          <cell r="D2335">
            <v>166843292</v>
          </cell>
          <cell r="E2335">
            <v>166843292</v>
          </cell>
          <cell r="F2335">
            <v>283166113</v>
          </cell>
          <cell r="G2335">
            <v>668478100</v>
          </cell>
          <cell r="H2335">
            <v>283166120</v>
          </cell>
          <cell r="I2335">
            <v>283166113</v>
          </cell>
          <cell r="J2335">
            <v>267683120</v>
          </cell>
          <cell r="K2335">
            <v>283166113</v>
          </cell>
          <cell r="L2335">
            <v>283166113</v>
          </cell>
          <cell r="M2335">
            <v>283166113</v>
          </cell>
          <cell r="N2335">
            <v>0</v>
          </cell>
          <cell r="O2335">
            <v>166843292</v>
          </cell>
          <cell r="P2335">
            <v>283166120</v>
          </cell>
          <cell r="Q2335">
            <v>166843292</v>
          </cell>
          <cell r="R2335">
            <v>283166124</v>
          </cell>
          <cell r="S2335">
            <v>283166113</v>
          </cell>
          <cell r="T2335">
            <v>166843292</v>
          </cell>
          <cell r="U2335">
            <v>0</v>
          </cell>
          <cell r="V2335">
            <v>0</v>
          </cell>
          <cell r="W2335">
            <v>283166113</v>
          </cell>
          <cell r="X2335">
            <v>283166113</v>
          </cell>
          <cell r="Y2335">
            <v>678111599</v>
          </cell>
          <cell r="Z2335">
            <v>283166113</v>
          </cell>
          <cell r="AA2335">
            <v>99976827</v>
          </cell>
          <cell r="AB2335">
            <v>284641963</v>
          </cell>
          <cell r="AC2335">
            <v>283166113</v>
          </cell>
          <cell r="AD2335">
            <v>166843292</v>
          </cell>
          <cell r="AE2335">
            <v>0</v>
          </cell>
          <cell r="AF2335">
            <v>166843292</v>
          </cell>
          <cell r="AG2335">
            <v>283166113</v>
          </cell>
          <cell r="AH2335">
            <v>0</v>
          </cell>
          <cell r="AI2335">
            <v>0</v>
          </cell>
        </row>
        <row r="2336">
          <cell r="A2336">
            <v>212020101</v>
          </cell>
          <cell r="C2336">
            <v>0</v>
          </cell>
          <cell r="D2336">
            <v>166843292</v>
          </cell>
          <cell r="E2336">
            <v>166843292</v>
          </cell>
          <cell r="F2336">
            <v>166843292</v>
          </cell>
          <cell r="G2336">
            <v>166843292</v>
          </cell>
          <cell r="H2336">
            <v>166843292</v>
          </cell>
          <cell r="I2336">
            <v>166843292</v>
          </cell>
          <cell r="J2336">
            <v>166843292</v>
          </cell>
          <cell r="K2336">
            <v>166843292</v>
          </cell>
          <cell r="L2336">
            <v>166843292</v>
          </cell>
          <cell r="M2336">
            <v>166843292</v>
          </cell>
          <cell r="N2336">
            <v>0</v>
          </cell>
          <cell r="O2336">
            <v>166843292</v>
          </cell>
          <cell r="P2336">
            <v>166843299</v>
          </cell>
          <cell r="Q2336">
            <v>166843292</v>
          </cell>
          <cell r="R2336">
            <v>166843292</v>
          </cell>
          <cell r="S2336">
            <v>166843292</v>
          </cell>
          <cell r="T2336">
            <v>166843292</v>
          </cell>
          <cell r="U2336">
            <v>0</v>
          </cell>
          <cell r="V2336">
            <v>0</v>
          </cell>
          <cell r="W2336">
            <v>166843292</v>
          </cell>
          <cell r="X2336">
            <v>166843292</v>
          </cell>
          <cell r="Y2336">
            <v>166843292</v>
          </cell>
          <cell r="Z2336">
            <v>166843292</v>
          </cell>
          <cell r="AA2336">
            <v>52586557</v>
          </cell>
          <cell r="AB2336">
            <v>165147091</v>
          </cell>
          <cell r="AC2336">
            <v>166843292</v>
          </cell>
          <cell r="AD2336">
            <v>166843292</v>
          </cell>
          <cell r="AE2336">
            <v>0</v>
          </cell>
          <cell r="AF2336">
            <v>166843292</v>
          </cell>
          <cell r="AG2336">
            <v>166843292</v>
          </cell>
          <cell r="AH2336">
            <v>0</v>
          </cell>
          <cell r="AI2336">
            <v>0</v>
          </cell>
        </row>
        <row r="2337">
          <cell r="A2337">
            <v>212020102</v>
          </cell>
          <cell r="C2337">
            <v>116322821</v>
          </cell>
          <cell r="D2337">
            <v>0</v>
          </cell>
          <cell r="E2337">
            <v>0</v>
          </cell>
          <cell r="F2337">
            <v>116322821</v>
          </cell>
          <cell r="G2337">
            <v>501634808</v>
          </cell>
          <cell r="H2337">
            <v>116322828</v>
          </cell>
          <cell r="I2337">
            <v>116322821</v>
          </cell>
          <cell r="J2337">
            <v>100839828</v>
          </cell>
          <cell r="K2337">
            <v>116322821</v>
          </cell>
          <cell r="L2337">
            <v>116322821</v>
          </cell>
          <cell r="M2337">
            <v>116322821</v>
          </cell>
          <cell r="N2337">
            <v>0</v>
          </cell>
          <cell r="O2337">
            <v>0</v>
          </cell>
          <cell r="P2337">
            <v>116322821</v>
          </cell>
          <cell r="Q2337">
            <v>0</v>
          </cell>
          <cell r="R2337">
            <v>116322832</v>
          </cell>
          <cell r="S2337">
            <v>116322821</v>
          </cell>
          <cell r="T2337">
            <v>0</v>
          </cell>
          <cell r="U2337">
            <v>0</v>
          </cell>
          <cell r="V2337">
            <v>0</v>
          </cell>
          <cell r="W2337">
            <v>116322821</v>
          </cell>
          <cell r="X2337">
            <v>116322821</v>
          </cell>
          <cell r="Y2337">
            <v>511268307</v>
          </cell>
          <cell r="Z2337">
            <v>116322821</v>
          </cell>
          <cell r="AA2337">
            <v>47390270</v>
          </cell>
          <cell r="AB2337">
            <v>119494872</v>
          </cell>
          <cell r="AC2337">
            <v>116322821</v>
          </cell>
          <cell r="AD2337">
            <v>0</v>
          </cell>
          <cell r="AE2337">
            <v>0</v>
          </cell>
          <cell r="AF2337">
            <v>0</v>
          </cell>
          <cell r="AG2337">
            <v>116322821</v>
          </cell>
          <cell r="AH2337">
            <v>0</v>
          </cell>
          <cell r="AI2337">
            <v>0</v>
          </cell>
        </row>
        <row r="2338">
          <cell r="A2338">
            <v>212030000</v>
          </cell>
          <cell r="C2338">
            <v>27657787</v>
          </cell>
          <cell r="D2338">
            <v>221782630</v>
          </cell>
          <cell r="E2338">
            <v>385576470</v>
          </cell>
          <cell r="F2338">
            <v>55305864</v>
          </cell>
          <cell r="G2338">
            <v>667439790</v>
          </cell>
          <cell r="H2338">
            <v>450846838</v>
          </cell>
          <cell r="I2338">
            <v>383906295</v>
          </cell>
          <cell r="J2338">
            <v>16814268</v>
          </cell>
          <cell r="K2338">
            <v>14526075</v>
          </cell>
          <cell r="L2338">
            <v>133600231</v>
          </cell>
          <cell r="M2338">
            <v>12623063</v>
          </cell>
          <cell r="N2338">
            <v>334283981</v>
          </cell>
          <cell r="O2338">
            <v>292467665</v>
          </cell>
          <cell r="P2338">
            <v>73563464</v>
          </cell>
          <cell r="Q2338">
            <v>441332161</v>
          </cell>
          <cell r="R2338">
            <v>297016415</v>
          </cell>
          <cell r="S2338">
            <v>0</v>
          </cell>
          <cell r="T2338">
            <v>13575950</v>
          </cell>
          <cell r="U2338">
            <v>0</v>
          </cell>
          <cell r="V2338">
            <v>80479375</v>
          </cell>
          <cell r="W2338">
            <v>21246922</v>
          </cell>
          <cell r="X2338">
            <v>271753012</v>
          </cell>
          <cell r="Y2338">
            <v>20037991</v>
          </cell>
          <cell r="Z2338">
            <v>1619147</v>
          </cell>
          <cell r="AA2338">
            <v>45763377</v>
          </cell>
          <cell r="AB2338">
            <v>734928162</v>
          </cell>
          <cell r="AC2338">
            <v>0</v>
          </cell>
          <cell r="AD2338">
            <v>132989079</v>
          </cell>
          <cell r="AE2338">
            <v>0</v>
          </cell>
          <cell r="AF2338">
            <v>366117</v>
          </cell>
          <cell r="AG2338">
            <v>30233505</v>
          </cell>
          <cell r="AH2338">
            <v>49536934</v>
          </cell>
          <cell r="AI2338">
            <v>0</v>
          </cell>
        </row>
        <row r="2339">
          <cell r="A2339">
            <v>212030100</v>
          </cell>
          <cell r="C2339">
            <v>27657787</v>
          </cell>
          <cell r="D2339">
            <v>221782630</v>
          </cell>
          <cell r="E2339">
            <v>385576470</v>
          </cell>
          <cell r="F2339">
            <v>4047337</v>
          </cell>
          <cell r="G2339">
            <v>461119534</v>
          </cell>
          <cell r="H2339">
            <v>0</v>
          </cell>
          <cell r="I2339">
            <v>247225231</v>
          </cell>
          <cell r="J2339">
            <v>16814268</v>
          </cell>
          <cell r="K2339">
            <v>0</v>
          </cell>
          <cell r="L2339">
            <v>133600231</v>
          </cell>
          <cell r="M2339">
            <v>12623063</v>
          </cell>
          <cell r="N2339">
            <v>154473660</v>
          </cell>
          <cell r="O2339">
            <v>292467665</v>
          </cell>
          <cell r="P2339">
            <v>73563464</v>
          </cell>
          <cell r="Q2339">
            <v>441332161</v>
          </cell>
          <cell r="R2339">
            <v>285874070</v>
          </cell>
          <cell r="S2339">
            <v>0</v>
          </cell>
          <cell r="T2339">
            <v>0</v>
          </cell>
          <cell r="U2339">
            <v>0</v>
          </cell>
          <cell r="V2339">
            <v>80479375</v>
          </cell>
          <cell r="W2339">
            <v>21143343</v>
          </cell>
          <cell r="X2339">
            <v>271420683</v>
          </cell>
          <cell r="Y2339">
            <v>0</v>
          </cell>
          <cell r="Z2339">
            <v>1619147</v>
          </cell>
          <cell r="AA2339">
            <v>35728661</v>
          </cell>
          <cell r="AB2339">
            <v>681418179</v>
          </cell>
          <cell r="AC2339">
            <v>0</v>
          </cell>
          <cell r="AD2339">
            <v>132989079</v>
          </cell>
          <cell r="AE2339">
            <v>0</v>
          </cell>
          <cell r="AF2339">
            <v>366117</v>
          </cell>
          <cell r="AG2339">
            <v>30233505</v>
          </cell>
          <cell r="AH2339">
            <v>49536934</v>
          </cell>
          <cell r="AI2339">
            <v>0</v>
          </cell>
        </row>
        <row r="2340">
          <cell r="A2340">
            <v>212030101</v>
          </cell>
          <cell r="C2340">
            <v>5940169</v>
          </cell>
          <cell r="D2340">
            <v>70349362</v>
          </cell>
          <cell r="E2340">
            <v>209417393</v>
          </cell>
          <cell r="F2340">
            <v>2051730</v>
          </cell>
          <cell r="G2340">
            <v>102172100</v>
          </cell>
          <cell r="H2340">
            <v>0</v>
          </cell>
          <cell r="I2340">
            <v>52051286</v>
          </cell>
          <cell r="J2340">
            <v>2434313</v>
          </cell>
          <cell r="K2340">
            <v>0</v>
          </cell>
          <cell r="L2340">
            <v>47662189</v>
          </cell>
          <cell r="M2340">
            <v>30061</v>
          </cell>
          <cell r="N2340">
            <v>65854950</v>
          </cell>
          <cell r="O2340">
            <v>70033174</v>
          </cell>
          <cell r="P2340">
            <v>12913569</v>
          </cell>
          <cell r="Q2340">
            <v>269753524</v>
          </cell>
          <cell r="R2340">
            <v>81775324</v>
          </cell>
          <cell r="S2340">
            <v>0</v>
          </cell>
          <cell r="T2340">
            <v>0</v>
          </cell>
          <cell r="U2340">
            <v>0</v>
          </cell>
          <cell r="V2340">
            <v>58251610</v>
          </cell>
          <cell r="W2340">
            <v>13805910</v>
          </cell>
          <cell r="X2340">
            <v>42627811</v>
          </cell>
          <cell r="Y2340">
            <v>0</v>
          </cell>
          <cell r="Z2340">
            <v>1619147</v>
          </cell>
          <cell r="AA2340">
            <v>2692969</v>
          </cell>
          <cell r="AB2340">
            <v>151076400</v>
          </cell>
          <cell r="AC2340">
            <v>0</v>
          </cell>
          <cell r="AD2340">
            <v>35906352</v>
          </cell>
          <cell r="AE2340">
            <v>0</v>
          </cell>
          <cell r="AF2340">
            <v>366117</v>
          </cell>
          <cell r="AG2340">
            <v>4140666</v>
          </cell>
          <cell r="AH2340">
            <v>11144044</v>
          </cell>
          <cell r="AI2340">
            <v>0</v>
          </cell>
        </row>
        <row r="2341">
          <cell r="A2341">
            <v>212030102</v>
          </cell>
          <cell r="C2341">
            <v>9631662</v>
          </cell>
          <cell r="D2341">
            <v>28073126</v>
          </cell>
          <cell r="E2341">
            <v>20172662</v>
          </cell>
          <cell r="F2341">
            <v>0</v>
          </cell>
          <cell r="G2341">
            <v>127183</v>
          </cell>
          <cell r="H2341">
            <v>0</v>
          </cell>
          <cell r="I2341">
            <v>1079398</v>
          </cell>
          <cell r="J2341">
            <v>0</v>
          </cell>
          <cell r="K2341">
            <v>0</v>
          </cell>
          <cell r="L2341">
            <v>1499744</v>
          </cell>
          <cell r="M2341">
            <v>0</v>
          </cell>
          <cell r="N2341">
            <v>2961895</v>
          </cell>
          <cell r="O2341">
            <v>9867264</v>
          </cell>
          <cell r="P2341">
            <v>1893649</v>
          </cell>
          <cell r="Q2341">
            <v>13639887</v>
          </cell>
          <cell r="R2341">
            <v>21689961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2002704</v>
          </cell>
          <cell r="X2341">
            <v>4852460</v>
          </cell>
          <cell r="Y2341">
            <v>0</v>
          </cell>
          <cell r="Z2341">
            <v>0</v>
          </cell>
          <cell r="AA2341">
            <v>2870571</v>
          </cell>
          <cell r="AB2341">
            <v>10275583</v>
          </cell>
          <cell r="AC2341">
            <v>0</v>
          </cell>
          <cell r="AD2341">
            <v>1193442</v>
          </cell>
          <cell r="AE2341">
            <v>0</v>
          </cell>
          <cell r="AF2341">
            <v>0</v>
          </cell>
          <cell r="AG2341">
            <v>0</v>
          </cell>
          <cell r="AH2341">
            <v>1793962</v>
          </cell>
          <cell r="AI2341">
            <v>0</v>
          </cell>
        </row>
        <row r="2342">
          <cell r="A2342">
            <v>212030103</v>
          </cell>
          <cell r="C2342">
            <v>0</v>
          </cell>
          <cell r="D2342">
            <v>4869309</v>
          </cell>
          <cell r="E2342">
            <v>177997</v>
          </cell>
          <cell r="F2342">
            <v>8565</v>
          </cell>
          <cell r="G2342">
            <v>807083</v>
          </cell>
          <cell r="H2342">
            <v>0</v>
          </cell>
          <cell r="I2342">
            <v>23264735</v>
          </cell>
          <cell r="J2342">
            <v>98821</v>
          </cell>
          <cell r="K2342">
            <v>0</v>
          </cell>
          <cell r="L2342">
            <v>1474665</v>
          </cell>
          <cell r="M2342">
            <v>8565</v>
          </cell>
          <cell r="N2342">
            <v>1340314</v>
          </cell>
          <cell r="O2342">
            <v>3111184</v>
          </cell>
          <cell r="P2342">
            <v>536687</v>
          </cell>
          <cell r="Q2342">
            <v>4582661</v>
          </cell>
          <cell r="R2342">
            <v>330713</v>
          </cell>
          <cell r="S2342">
            <v>0</v>
          </cell>
          <cell r="T2342">
            <v>0</v>
          </cell>
          <cell r="U2342">
            <v>0</v>
          </cell>
          <cell r="V2342">
            <v>191120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22774277</v>
          </cell>
          <cell r="AC2342">
            <v>0</v>
          </cell>
          <cell r="AD2342">
            <v>607133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</row>
        <row r="2343">
          <cell r="A2343">
            <v>212030104</v>
          </cell>
          <cell r="C2343">
            <v>0</v>
          </cell>
          <cell r="D2343">
            <v>45855668</v>
          </cell>
          <cell r="E2343">
            <v>77555832</v>
          </cell>
          <cell r="F2343">
            <v>0</v>
          </cell>
          <cell r="G2343">
            <v>297432526</v>
          </cell>
          <cell r="H2343">
            <v>0</v>
          </cell>
          <cell r="I2343">
            <v>112453775</v>
          </cell>
          <cell r="J2343">
            <v>11900179</v>
          </cell>
          <cell r="K2343">
            <v>0</v>
          </cell>
          <cell r="L2343">
            <v>23061203</v>
          </cell>
          <cell r="M2343">
            <v>11670299</v>
          </cell>
          <cell r="N2343">
            <v>51682622</v>
          </cell>
          <cell r="O2343">
            <v>6150331</v>
          </cell>
          <cell r="P2343">
            <v>33692829</v>
          </cell>
          <cell r="Q2343">
            <v>34256270</v>
          </cell>
          <cell r="R2343">
            <v>72093665</v>
          </cell>
          <cell r="S2343">
            <v>0</v>
          </cell>
          <cell r="T2343">
            <v>0</v>
          </cell>
          <cell r="U2343">
            <v>0</v>
          </cell>
          <cell r="V2343">
            <v>10582874</v>
          </cell>
          <cell r="W2343">
            <v>924165</v>
          </cell>
          <cell r="X2343">
            <v>132065478</v>
          </cell>
          <cell r="Y2343">
            <v>0</v>
          </cell>
          <cell r="Z2343">
            <v>0</v>
          </cell>
          <cell r="AA2343">
            <v>5369978</v>
          </cell>
          <cell r="AB2343">
            <v>326381578</v>
          </cell>
          <cell r="AC2343">
            <v>0</v>
          </cell>
          <cell r="AD2343">
            <v>24189745</v>
          </cell>
          <cell r="AE2343">
            <v>0</v>
          </cell>
          <cell r="AF2343">
            <v>0</v>
          </cell>
          <cell r="AG2343">
            <v>0</v>
          </cell>
          <cell r="AH2343">
            <v>22023929</v>
          </cell>
          <cell r="AI2343">
            <v>0</v>
          </cell>
        </row>
        <row r="2344">
          <cell r="A2344">
            <v>212030105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</row>
        <row r="2345">
          <cell r="A2345">
            <v>212030106</v>
          </cell>
          <cell r="C2345">
            <v>0</v>
          </cell>
          <cell r="D2345">
            <v>13914682</v>
          </cell>
          <cell r="E2345">
            <v>13034204</v>
          </cell>
          <cell r="F2345">
            <v>1532</v>
          </cell>
          <cell r="G2345">
            <v>29986318</v>
          </cell>
          <cell r="H2345">
            <v>0</v>
          </cell>
          <cell r="I2345">
            <v>12409788</v>
          </cell>
          <cell r="J2345">
            <v>37687</v>
          </cell>
          <cell r="K2345">
            <v>0</v>
          </cell>
          <cell r="L2345">
            <v>10226661</v>
          </cell>
          <cell r="M2345">
            <v>26757</v>
          </cell>
          <cell r="N2345">
            <v>12241518</v>
          </cell>
          <cell r="O2345">
            <v>16554452</v>
          </cell>
          <cell r="P2345">
            <v>7241154</v>
          </cell>
          <cell r="Q2345">
            <v>36096239</v>
          </cell>
          <cell r="R2345">
            <v>27284521</v>
          </cell>
          <cell r="S2345">
            <v>0</v>
          </cell>
          <cell r="T2345">
            <v>0</v>
          </cell>
          <cell r="U2345">
            <v>0</v>
          </cell>
          <cell r="V2345">
            <v>6843019</v>
          </cell>
          <cell r="W2345">
            <v>2079009</v>
          </cell>
          <cell r="X2345">
            <v>17865704</v>
          </cell>
          <cell r="Y2345">
            <v>0</v>
          </cell>
          <cell r="Z2345">
            <v>0</v>
          </cell>
          <cell r="AA2345">
            <v>0</v>
          </cell>
          <cell r="AB2345">
            <v>74029546</v>
          </cell>
          <cell r="AC2345">
            <v>0</v>
          </cell>
          <cell r="AD2345">
            <v>10978997</v>
          </cell>
          <cell r="AE2345">
            <v>0</v>
          </cell>
          <cell r="AF2345">
            <v>0</v>
          </cell>
          <cell r="AG2345">
            <v>398218</v>
          </cell>
          <cell r="AH2345">
            <v>1321101</v>
          </cell>
          <cell r="AI2345">
            <v>0</v>
          </cell>
        </row>
        <row r="2346">
          <cell r="A2346">
            <v>212030107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911498</v>
          </cell>
          <cell r="H2346">
            <v>0</v>
          </cell>
          <cell r="I2346">
            <v>1550012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-2</v>
          </cell>
          <cell r="O2346">
            <v>871130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40945</v>
          </cell>
          <cell r="W2346">
            <v>0</v>
          </cell>
          <cell r="X2346">
            <v>911498</v>
          </cell>
          <cell r="Y2346">
            <v>0</v>
          </cell>
          <cell r="Z2346">
            <v>0</v>
          </cell>
          <cell r="AA2346">
            <v>0</v>
          </cell>
          <cell r="AB2346">
            <v>1013078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</row>
        <row r="2347">
          <cell r="A2347">
            <v>212030108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</row>
        <row r="2348">
          <cell r="A2348">
            <v>212030109</v>
          </cell>
          <cell r="C2348">
            <v>0</v>
          </cell>
          <cell r="D2348">
            <v>0</v>
          </cell>
          <cell r="E2348">
            <v>15890489</v>
          </cell>
          <cell r="F2348">
            <v>73603</v>
          </cell>
          <cell r="G2348">
            <v>0</v>
          </cell>
          <cell r="H2348">
            <v>0</v>
          </cell>
          <cell r="I2348">
            <v>1179616</v>
          </cell>
          <cell r="J2348">
            <v>73603</v>
          </cell>
          <cell r="K2348">
            <v>0</v>
          </cell>
          <cell r="L2348">
            <v>0</v>
          </cell>
          <cell r="M2348">
            <v>78730</v>
          </cell>
          <cell r="N2348">
            <v>0</v>
          </cell>
          <cell r="O2348">
            <v>168442</v>
          </cell>
          <cell r="P2348">
            <v>0</v>
          </cell>
          <cell r="Q2348">
            <v>1880548</v>
          </cell>
          <cell r="R2348">
            <v>15540548</v>
          </cell>
          <cell r="S2348">
            <v>0</v>
          </cell>
          <cell r="T2348">
            <v>0</v>
          </cell>
          <cell r="U2348">
            <v>0</v>
          </cell>
          <cell r="V2348">
            <v>508377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6374229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</row>
        <row r="2349">
          <cell r="A2349">
            <v>212030110</v>
          </cell>
          <cell r="C2349">
            <v>0</v>
          </cell>
          <cell r="D2349">
            <v>16219433</v>
          </cell>
          <cell r="E2349">
            <v>14636621</v>
          </cell>
          <cell r="F2349">
            <v>0</v>
          </cell>
          <cell r="G2349">
            <v>581250</v>
          </cell>
          <cell r="H2349">
            <v>0</v>
          </cell>
          <cell r="I2349">
            <v>14531576</v>
          </cell>
          <cell r="J2349">
            <v>380493</v>
          </cell>
          <cell r="K2349">
            <v>0</v>
          </cell>
          <cell r="L2349">
            <v>6983176</v>
          </cell>
          <cell r="M2349">
            <v>0</v>
          </cell>
          <cell r="N2349">
            <v>1</v>
          </cell>
          <cell r="O2349">
            <v>3792329</v>
          </cell>
          <cell r="P2349">
            <v>14128624</v>
          </cell>
          <cell r="Q2349">
            <v>26606286</v>
          </cell>
          <cell r="R2349">
            <v>14996116</v>
          </cell>
          <cell r="S2349">
            <v>0</v>
          </cell>
          <cell r="T2349">
            <v>0</v>
          </cell>
          <cell r="U2349">
            <v>0</v>
          </cell>
          <cell r="V2349">
            <v>454928</v>
          </cell>
          <cell r="W2349">
            <v>1171603</v>
          </cell>
          <cell r="X2349">
            <v>1957872</v>
          </cell>
          <cell r="Y2349">
            <v>0</v>
          </cell>
          <cell r="Z2349">
            <v>0</v>
          </cell>
          <cell r="AA2349">
            <v>2397817</v>
          </cell>
          <cell r="AB2349">
            <v>14825623</v>
          </cell>
          <cell r="AC2349">
            <v>0</v>
          </cell>
          <cell r="AD2349">
            <v>6750724</v>
          </cell>
          <cell r="AE2349">
            <v>0</v>
          </cell>
          <cell r="AF2349">
            <v>0</v>
          </cell>
          <cell r="AG2349">
            <v>4264416</v>
          </cell>
          <cell r="AH2349">
            <v>0</v>
          </cell>
          <cell r="AI2349">
            <v>0</v>
          </cell>
        </row>
        <row r="2350">
          <cell r="A2350">
            <v>212030111</v>
          </cell>
          <cell r="C2350">
            <v>0</v>
          </cell>
          <cell r="D2350">
            <v>2753058</v>
          </cell>
          <cell r="E2350">
            <v>0</v>
          </cell>
          <cell r="F2350">
            <v>0</v>
          </cell>
          <cell r="G2350">
            <v>7278349</v>
          </cell>
          <cell r="H2350">
            <v>0</v>
          </cell>
          <cell r="I2350">
            <v>1526166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3953949</v>
          </cell>
          <cell r="R2350">
            <v>16548150</v>
          </cell>
          <cell r="S2350">
            <v>0</v>
          </cell>
          <cell r="T2350">
            <v>0</v>
          </cell>
          <cell r="U2350">
            <v>0</v>
          </cell>
          <cell r="V2350">
            <v>967821</v>
          </cell>
          <cell r="W2350">
            <v>0</v>
          </cell>
          <cell r="X2350">
            <v>11292121</v>
          </cell>
          <cell r="Y2350">
            <v>0</v>
          </cell>
          <cell r="Z2350">
            <v>0</v>
          </cell>
          <cell r="AA2350">
            <v>0</v>
          </cell>
          <cell r="AB2350">
            <v>7484958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</row>
        <row r="2351">
          <cell r="A2351">
            <v>212030112</v>
          </cell>
          <cell r="C2351">
            <v>0</v>
          </cell>
          <cell r="D2351">
            <v>5962218</v>
          </cell>
          <cell r="E2351">
            <v>5677341</v>
          </cell>
          <cell r="F2351">
            <v>0</v>
          </cell>
          <cell r="G2351">
            <v>16219283</v>
          </cell>
          <cell r="H2351">
            <v>0</v>
          </cell>
          <cell r="I2351">
            <v>27178879</v>
          </cell>
          <cell r="J2351">
            <v>0</v>
          </cell>
          <cell r="K2351">
            <v>0</v>
          </cell>
          <cell r="L2351">
            <v>304970</v>
          </cell>
          <cell r="M2351">
            <v>0</v>
          </cell>
          <cell r="N2351">
            <v>3809991</v>
          </cell>
          <cell r="O2351">
            <v>44346509</v>
          </cell>
          <cell r="P2351">
            <v>0</v>
          </cell>
          <cell r="Q2351">
            <v>2037204</v>
          </cell>
          <cell r="R2351">
            <v>8382030</v>
          </cell>
          <cell r="S2351">
            <v>0</v>
          </cell>
          <cell r="T2351">
            <v>0</v>
          </cell>
          <cell r="U2351">
            <v>0</v>
          </cell>
          <cell r="V2351">
            <v>2638681</v>
          </cell>
          <cell r="W2351">
            <v>269350</v>
          </cell>
          <cell r="X2351">
            <v>16168936</v>
          </cell>
          <cell r="Y2351">
            <v>0</v>
          </cell>
          <cell r="Z2351">
            <v>0</v>
          </cell>
          <cell r="AA2351">
            <v>0</v>
          </cell>
          <cell r="AB2351">
            <v>34097572</v>
          </cell>
          <cell r="AC2351">
            <v>0</v>
          </cell>
          <cell r="AD2351">
            <v>6236204</v>
          </cell>
          <cell r="AE2351">
            <v>0</v>
          </cell>
          <cell r="AF2351">
            <v>0</v>
          </cell>
          <cell r="AG2351">
            <v>0</v>
          </cell>
          <cell r="AH2351">
            <v>4289333</v>
          </cell>
          <cell r="AI2351">
            <v>0</v>
          </cell>
        </row>
        <row r="2352">
          <cell r="A2352">
            <v>212030113</v>
          </cell>
          <cell r="C2352">
            <v>12085956</v>
          </cell>
          <cell r="D2352">
            <v>33785774</v>
          </cell>
          <cell r="E2352">
            <v>29013931</v>
          </cell>
          <cell r="F2352">
            <v>1911907</v>
          </cell>
          <cell r="G2352">
            <v>5603944</v>
          </cell>
          <cell r="H2352">
            <v>0</v>
          </cell>
          <cell r="I2352">
            <v>0</v>
          </cell>
          <cell r="J2352">
            <v>1889172</v>
          </cell>
          <cell r="K2352">
            <v>0</v>
          </cell>
          <cell r="L2352">
            <v>42387623</v>
          </cell>
          <cell r="M2352">
            <v>808651</v>
          </cell>
          <cell r="N2352">
            <v>16582371</v>
          </cell>
          <cell r="O2352">
            <v>137572850</v>
          </cell>
          <cell r="P2352">
            <v>3156952</v>
          </cell>
          <cell r="Q2352">
            <v>48525593</v>
          </cell>
          <cell r="R2352">
            <v>27233042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890602</v>
          </cell>
          <cell r="X2352">
            <v>43678803</v>
          </cell>
          <cell r="Y2352">
            <v>0</v>
          </cell>
          <cell r="Z2352">
            <v>0</v>
          </cell>
          <cell r="AA2352">
            <v>22397326</v>
          </cell>
          <cell r="AB2352">
            <v>33085335</v>
          </cell>
          <cell r="AC2352">
            <v>0</v>
          </cell>
          <cell r="AD2352">
            <v>47126482</v>
          </cell>
          <cell r="AE2352">
            <v>0</v>
          </cell>
          <cell r="AF2352">
            <v>0</v>
          </cell>
          <cell r="AG2352">
            <v>21430205</v>
          </cell>
          <cell r="AH2352">
            <v>8964565</v>
          </cell>
          <cell r="AI2352">
            <v>0</v>
          </cell>
        </row>
        <row r="2353">
          <cell r="A2353">
            <v>212030200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206320256</v>
          </cell>
          <cell r="H2353">
            <v>0</v>
          </cell>
          <cell r="I2353">
            <v>136681064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179810321</v>
          </cell>
          <cell r="O2353">
            <v>0</v>
          </cell>
          <cell r="P2353">
            <v>0</v>
          </cell>
          <cell r="Q2353">
            <v>0</v>
          </cell>
          <cell r="R2353">
            <v>11142345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53509983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</row>
        <row r="2354">
          <cell r="A2354">
            <v>212030201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179810321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</row>
        <row r="2355">
          <cell r="A2355">
            <v>212030202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206320256</v>
          </cell>
          <cell r="H2355">
            <v>0</v>
          </cell>
          <cell r="I2355">
            <v>136681064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11142345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53509983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</row>
        <row r="2356">
          <cell r="A2356">
            <v>212030203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</row>
        <row r="2357">
          <cell r="A2357">
            <v>212030204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</row>
        <row r="2358">
          <cell r="A2358">
            <v>212030205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</row>
        <row r="2359">
          <cell r="A2359">
            <v>212030300</v>
          </cell>
          <cell r="C2359">
            <v>0</v>
          </cell>
          <cell r="D2359">
            <v>0</v>
          </cell>
          <cell r="E2359">
            <v>0</v>
          </cell>
          <cell r="F2359">
            <v>51258527</v>
          </cell>
          <cell r="G2359">
            <v>0</v>
          </cell>
          <cell r="H2359">
            <v>450846838</v>
          </cell>
          <cell r="I2359">
            <v>0</v>
          </cell>
          <cell r="J2359">
            <v>0</v>
          </cell>
          <cell r="K2359">
            <v>14526075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13575950</v>
          </cell>
          <cell r="U2359">
            <v>0</v>
          </cell>
          <cell r="V2359">
            <v>0</v>
          </cell>
          <cell r="W2359">
            <v>103579</v>
          </cell>
          <cell r="X2359">
            <v>332329</v>
          </cell>
          <cell r="Y2359">
            <v>20037991</v>
          </cell>
          <cell r="Z2359">
            <v>0</v>
          </cell>
          <cell r="AA2359">
            <v>10034716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</row>
        <row r="2360">
          <cell r="A2360">
            <v>212030301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37458170</v>
          </cell>
          <cell r="I2360">
            <v>0</v>
          </cell>
          <cell r="J2360">
            <v>0</v>
          </cell>
          <cell r="K2360">
            <v>24649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6749892</v>
          </cell>
          <cell r="Z2360">
            <v>0</v>
          </cell>
          <cell r="AA2360">
            <v>25477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</row>
        <row r="2361">
          <cell r="A2361">
            <v>212030302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1981842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</row>
        <row r="2362">
          <cell r="A2362">
            <v>212030303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8565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8565</v>
          </cell>
          <cell r="Z2362">
            <v>0</v>
          </cell>
          <cell r="AA2362">
            <v>8483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</row>
        <row r="2363">
          <cell r="A2363">
            <v>212030304</v>
          </cell>
          <cell r="C2363">
            <v>0</v>
          </cell>
          <cell r="D2363">
            <v>0</v>
          </cell>
          <cell r="E2363">
            <v>0</v>
          </cell>
          <cell r="F2363">
            <v>51258527</v>
          </cell>
          <cell r="G2363">
            <v>0</v>
          </cell>
          <cell r="H2363">
            <v>44884095</v>
          </cell>
          <cell r="I2363">
            <v>0</v>
          </cell>
          <cell r="J2363">
            <v>0</v>
          </cell>
          <cell r="K2363">
            <v>10768584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103579</v>
          </cell>
          <cell r="X2363">
            <v>332329</v>
          </cell>
          <cell r="Y2363">
            <v>11076821</v>
          </cell>
          <cell r="Z2363">
            <v>0</v>
          </cell>
          <cell r="AA2363">
            <v>9879091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</row>
        <row r="2364">
          <cell r="A2364">
            <v>212030305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</row>
        <row r="2365">
          <cell r="A2365">
            <v>212030306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10105982</v>
          </cell>
          <cell r="I2365">
            <v>0</v>
          </cell>
          <cell r="J2365">
            <v>0</v>
          </cell>
          <cell r="K2365">
            <v>2019310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127655</v>
          </cell>
          <cell r="Z2365">
            <v>0</v>
          </cell>
          <cell r="AA2365">
            <v>-3077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</row>
        <row r="2366">
          <cell r="A2366">
            <v>212030307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</row>
        <row r="2367">
          <cell r="A2367">
            <v>212030308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</row>
        <row r="2368">
          <cell r="A2368">
            <v>212030309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73603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73603</v>
          </cell>
          <cell r="Z2368">
            <v>0</v>
          </cell>
          <cell r="AA2368">
            <v>89138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</row>
        <row r="2369">
          <cell r="A2369">
            <v>212030310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116250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</row>
        <row r="2370">
          <cell r="A2370">
            <v>212030311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</row>
        <row r="2371">
          <cell r="A2371">
            <v>212030312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1503048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</row>
        <row r="2372">
          <cell r="A2372">
            <v>212030313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356779293</v>
          </cell>
          <cell r="I2372">
            <v>0</v>
          </cell>
          <cell r="J2372">
            <v>0</v>
          </cell>
          <cell r="K2372">
            <v>1631364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13575950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19613</v>
          </cell>
          <cell r="Z2372">
            <v>0</v>
          </cell>
          <cell r="AA2372">
            <v>35604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</row>
        <row r="2373">
          <cell r="A2373">
            <v>212030400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</row>
        <row r="2374">
          <cell r="A2374">
            <v>212030401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</row>
        <row r="2375">
          <cell r="A2375">
            <v>212030402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</row>
        <row r="2376">
          <cell r="A2376">
            <v>212030403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</row>
        <row r="2377">
          <cell r="A2377">
            <v>212030404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</row>
        <row r="2378">
          <cell r="A2378">
            <v>212030405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</row>
        <row r="2379">
          <cell r="A2379">
            <v>212030500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</row>
        <row r="2380">
          <cell r="A2380">
            <v>212030501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</row>
        <row r="2381">
          <cell r="A2381">
            <v>212030502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</row>
        <row r="2382">
          <cell r="A2382">
            <v>212030503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</row>
        <row r="2383">
          <cell r="A2383">
            <v>212030504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</row>
        <row r="2384">
          <cell r="A2384">
            <v>212030505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</row>
        <row r="2385">
          <cell r="A2385">
            <v>212030506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</row>
        <row r="2386">
          <cell r="A2386">
            <v>212030507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</row>
        <row r="2387">
          <cell r="A2387">
            <v>212030508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</row>
        <row r="2388">
          <cell r="A2388">
            <v>212030509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</row>
        <row r="2389">
          <cell r="A2389">
            <v>212030510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</row>
        <row r="2390">
          <cell r="A2390">
            <v>212030511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</row>
        <row r="2391">
          <cell r="A2391">
            <v>212030512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</row>
        <row r="2392">
          <cell r="A2392">
            <v>212030513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</row>
        <row r="2393">
          <cell r="A2393">
            <v>212030600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</row>
        <row r="2394">
          <cell r="A2394">
            <v>212030601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</row>
        <row r="2395">
          <cell r="A2395">
            <v>212030602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</row>
        <row r="2396">
          <cell r="A2396">
            <v>212030603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</row>
        <row r="2397">
          <cell r="A2397">
            <v>212030604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</row>
        <row r="2398">
          <cell r="A2398">
            <v>212030605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</row>
        <row r="2399">
          <cell r="A2399">
            <v>212030700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</row>
        <row r="2400">
          <cell r="A2400">
            <v>212030701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</row>
        <row r="2401">
          <cell r="A2401">
            <v>212030702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</row>
        <row r="2402">
          <cell r="A2402">
            <v>212030703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</row>
        <row r="2403">
          <cell r="A2403">
            <v>212030704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</row>
        <row r="2404">
          <cell r="A2404">
            <v>212030705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</row>
        <row r="2405">
          <cell r="A2405">
            <v>212030706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</row>
        <row r="2406">
          <cell r="A2406">
            <v>212030707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</row>
        <row r="2407">
          <cell r="A2407">
            <v>212030708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</row>
        <row r="2408">
          <cell r="A2408">
            <v>212030709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</row>
        <row r="2409">
          <cell r="A2409">
            <v>212030710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</row>
        <row r="2410">
          <cell r="A2410">
            <v>212030711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</row>
        <row r="2411">
          <cell r="A2411">
            <v>212030712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</row>
        <row r="2412">
          <cell r="A2412">
            <v>212030713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</row>
        <row r="2413">
          <cell r="A2413">
            <v>212030800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</row>
        <row r="2414">
          <cell r="A2414">
            <v>212030801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</row>
        <row r="2415">
          <cell r="A2415">
            <v>212030802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</row>
        <row r="2416">
          <cell r="A2416">
            <v>212030803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</row>
        <row r="2417">
          <cell r="A2417">
            <v>212030804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</row>
        <row r="2418">
          <cell r="A2418">
            <v>212030805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</row>
        <row r="2419">
          <cell r="A2419">
            <v>212040000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</row>
        <row r="2420">
          <cell r="A2420">
            <v>212040100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</row>
        <row r="2421">
          <cell r="A2421">
            <v>212040101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</row>
        <row r="2422">
          <cell r="A2422">
            <v>212040102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</row>
        <row r="2423">
          <cell r="A2423">
            <v>212040103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</row>
        <row r="2424">
          <cell r="A2424">
            <v>212040104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</row>
        <row r="2425">
          <cell r="A2425">
            <v>212040105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</row>
        <row r="2426">
          <cell r="A2426">
            <v>212040106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</row>
        <row r="2427">
          <cell r="A2427">
            <v>212040107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</row>
        <row r="2428">
          <cell r="A2428">
            <v>212040108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</row>
        <row r="2429">
          <cell r="A2429">
            <v>212040109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</row>
        <row r="2430">
          <cell r="A2430">
            <v>212040110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</row>
        <row r="2431">
          <cell r="A2431">
            <v>212040111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</row>
        <row r="2432">
          <cell r="A2432">
            <v>212040112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</row>
        <row r="2433">
          <cell r="A2433">
            <v>212040113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</row>
        <row r="2434">
          <cell r="A2434">
            <v>212040200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</row>
        <row r="2435">
          <cell r="A2435">
            <v>212040201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</row>
        <row r="2436">
          <cell r="A2436">
            <v>212040202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</row>
        <row r="2437">
          <cell r="A2437">
            <v>212040203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</row>
        <row r="2438">
          <cell r="A2438">
            <v>212040204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</row>
        <row r="2439">
          <cell r="A2439">
            <v>212040205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</row>
        <row r="2440">
          <cell r="A2440">
            <v>212040300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</row>
        <row r="2441">
          <cell r="A2441">
            <v>212040301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</row>
        <row r="2442">
          <cell r="A2442">
            <v>212040302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</row>
        <row r="2443">
          <cell r="A2443">
            <v>212040303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</row>
        <row r="2444">
          <cell r="A2444">
            <v>212040304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</row>
        <row r="2445">
          <cell r="A2445">
            <v>212040305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</row>
        <row r="2446">
          <cell r="A2446">
            <v>212040306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</row>
        <row r="2447">
          <cell r="A2447">
            <v>212040307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</row>
        <row r="2448">
          <cell r="A2448">
            <v>212040308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</row>
        <row r="2449">
          <cell r="A2449">
            <v>212040309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</row>
        <row r="2450">
          <cell r="A2450">
            <v>212040310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</row>
        <row r="2451">
          <cell r="A2451">
            <v>212040311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</row>
        <row r="2452">
          <cell r="A2452">
            <v>212040312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</row>
        <row r="2453">
          <cell r="A2453">
            <v>212040313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</row>
        <row r="2454">
          <cell r="A2454">
            <v>212040400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</row>
        <row r="2455">
          <cell r="A2455">
            <v>212040401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</row>
        <row r="2456">
          <cell r="A2456">
            <v>212040402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</row>
        <row r="2457">
          <cell r="A2457">
            <v>212040403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</row>
        <row r="2458">
          <cell r="A2458">
            <v>212040404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</row>
        <row r="2459">
          <cell r="A2459">
            <v>212040405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</row>
        <row r="2460">
          <cell r="A2460">
            <v>212040500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</row>
        <row r="2461">
          <cell r="A2461">
            <v>212040501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</row>
        <row r="2462">
          <cell r="A2462">
            <v>212040502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</row>
        <row r="2463">
          <cell r="A2463">
            <v>212040503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</row>
        <row r="2464">
          <cell r="A2464">
            <v>212040504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</row>
        <row r="2465">
          <cell r="A2465">
            <v>212040505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</row>
        <row r="2466">
          <cell r="A2466">
            <v>212040506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</row>
        <row r="2467">
          <cell r="A2467">
            <v>212040507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</row>
        <row r="2468">
          <cell r="A2468">
            <v>212040508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</row>
        <row r="2469">
          <cell r="A2469">
            <v>212040509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</row>
        <row r="2470">
          <cell r="A2470">
            <v>212040510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</row>
        <row r="2471">
          <cell r="A2471">
            <v>212040511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</row>
        <row r="2472">
          <cell r="A2472">
            <v>212040512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</row>
        <row r="2473">
          <cell r="A2473">
            <v>212040513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</row>
        <row r="2474">
          <cell r="A2474">
            <v>212040600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</row>
        <row r="2475">
          <cell r="A2475">
            <v>212040601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</row>
        <row r="2476">
          <cell r="A2476">
            <v>212040602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</row>
        <row r="2477">
          <cell r="A2477">
            <v>212040603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</row>
        <row r="2478">
          <cell r="A2478">
            <v>212040604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</row>
        <row r="2479">
          <cell r="A2479">
            <v>212040605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</row>
        <row r="2480">
          <cell r="A2480">
            <v>212040700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</row>
        <row r="2481">
          <cell r="A2481">
            <v>212040701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</row>
        <row r="2482">
          <cell r="A2482">
            <v>212040702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</row>
        <row r="2483">
          <cell r="A2483">
            <v>212040703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</row>
        <row r="2484">
          <cell r="A2484">
            <v>212040704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</row>
        <row r="2485">
          <cell r="A2485">
            <v>212040705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</row>
        <row r="2486">
          <cell r="A2486">
            <v>212040706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</row>
        <row r="2487">
          <cell r="A2487">
            <v>212040707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</row>
        <row r="2488">
          <cell r="A2488">
            <v>212040708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</row>
        <row r="2489">
          <cell r="A2489">
            <v>212040709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</row>
        <row r="2490">
          <cell r="A2490">
            <v>212040710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</row>
        <row r="2491">
          <cell r="A2491">
            <v>212040711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</row>
        <row r="2492">
          <cell r="A2492">
            <v>212040712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</row>
        <row r="2493">
          <cell r="A2493">
            <v>212040713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</row>
        <row r="2494">
          <cell r="A2494">
            <v>212040800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</row>
        <row r="2495">
          <cell r="A2495">
            <v>212040801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</row>
        <row r="2496">
          <cell r="A2496">
            <v>212040802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</row>
        <row r="2497">
          <cell r="A2497">
            <v>212040803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</row>
        <row r="2498">
          <cell r="A2498">
            <v>212040804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</row>
        <row r="2499">
          <cell r="A2499">
            <v>212040805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</row>
        <row r="2500">
          <cell r="A2500">
            <v>212050000</v>
          </cell>
          <cell r="C2500">
            <v>0</v>
          </cell>
          <cell r="D2500">
            <v>0</v>
          </cell>
          <cell r="E2500">
            <v>0</v>
          </cell>
          <cell r="F2500">
            <v>85777305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2028253685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</row>
        <row r="2501">
          <cell r="A2501">
            <v>212050100</v>
          </cell>
          <cell r="C2501">
            <v>0</v>
          </cell>
          <cell r="D2501">
            <v>0</v>
          </cell>
          <cell r="E2501">
            <v>0</v>
          </cell>
          <cell r="F2501">
            <v>85777305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2003622360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</row>
        <row r="2502">
          <cell r="A2502">
            <v>212050101</v>
          </cell>
          <cell r="C2502">
            <v>0</v>
          </cell>
          <cell r="D2502">
            <v>0</v>
          </cell>
          <cell r="E2502">
            <v>0</v>
          </cell>
          <cell r="F2502">
            <v>85777305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2003622360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</row>
        <row r="2503">
          <cell r="A2503">
            <v>212050102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</row>
        <row r="2504">
          <cell r="A2504">
            <v>212050200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24631325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</row>
        <row r="2505">
          <cell r="A2505">
            <v>212050201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24631325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</row>
        <row r="2506">
          <cell r="A2506">
            <v>213000000</v>
          </cell>
          <cell r="C2506">
            <v>5002983565</v>
          </cell>
          <cell r="D2506">
            <v>5744087243</v>
          </cell>
          <cell r="E2506">
            <v>1344866676</v>
          </cell>
          <cell r="F2506">
            <v>1208798049</v>
          </cell>
          <cell r="G2506">
            <v>9837216358</v>
          </cell>
          <cell r="H2506">
            <v>4955323376</v>
          </cell>
          <cell r="I2506">
            <v>981678314</v>
          </cell>
          <cell r="J2506">
            <v>1666697297</v>
          </cell>
          <cell r="K2506">
            <v>512970960</v>
          </cell>
          <cell r="L2506">
            <v>272762919</v>
          </cell>
          <cell r="M2506">
            <v>449775148</v>
          </cell>
          <cell r="N2506">
            <v>1696445835</v>
          </cell>
          <cell r="O2506">
            <v>1640559170</v>
          </cell>
          <cell r="P2506">
            <v>1391167804</v>
          </cell>
          <cell r="Q2506">
            <v>1803966103</v>
          </cell>
          <cell r="R2506">
            <v>2925871663</v>
          </cell>
          <cell r="S2506">
            <v>514116834</v>
          </cell>
          <cell r="T2506">
            <v>2050510695</v>
          </cell>
          <cell r="U2506">
            <v>252188000</v>
          </cell>
          <cell r="V2506">
            <v>2096875243</v>
          </cell>
          <cell r="W2506">
            <v>1945103123</v>
          </cell>
          <cell r="X2506">
            <v>1967907075</v>
          </cell>
          <cell r="Y2506">
            <v>1246158463</v>
          </cell>
          <cell r="Z2506">
            <v>2590596179</v>
          </cell>
          <cell r="AA2506">
            <v>497518797</v>
          </cell>
          <cell r="AB2506">
            <v>3834169236</v>
          </cell>
          <cell r="AC2506">
            <v>1550417198</v>
          </cell>
          <cell r="AD2506">
            <v>1887024102</v>
          </cell>
          <cell r="AE2506">
            <v>23172209258</v>
          </cell>
          <cell r="AF2506">
            <v>1095678226</v>
          </cell>
          <cell r="AG2506">
            <v>947584392</v>
          </cell>
          <cell r="AH2506">
            <v>1442937069</v>
          </cell>
          <cell r="AI2506">
            <v>316595911</v>
          </cell>
        </row>
        <row r="2507">
          <cell r="A2507">
            <v>213010000</v>
          </cell>
          <cell r="C2507">
            <v>98001464</v>
          </cell>
          <cell r="D2507">
            <v>109699736</v>
          </cell>
          <cell r="E2507">
            <v>887865</v>
          </cell>
          <cell r="F2507">
            <v>48104295</v>
          </cell>
          <cell r="G2507">
            <v>118376556</v>
          </cell>
          <cell r="H2507">
            <v>180101057</v>
          </cell>
          <cell r="I2507">
            <v>49560321</v>
          </cell>
          <cell r="J2507">
            <v>14887786</v>
          </cell>
          <cell r="K2507">
            <v>16801188</v>
          </cell>
          <cell r="L2507">
            <v>7877357</v>
          </cell>
          <cell r="M2507">
            <v>11862227</v>
          </cell>
          <cell r="N2507">
            <v>194093321</v>
          </cell>
          <cell r="O2507">
            <v>46105696</v>
          </cell>
          <cell r="P2507">
            <v>32809300</v>
          </cell>
          <cell r="Q2507">
            <v>887865</v>
          </cell>
          <cell r="R2507">
            <v>27338312</v>
          </cell>
          <cell r="S2507">
            <v>1437754</v>
          </cell>
          <cell r="T2507">
            <v>40680203</v>
          </cell>
          <cell r="U2507">
            <v>0</v>
          </cell>
          <cell r="V2507">
            <v>182337007</v>
          </cell>
          <cell r="W2507">
            <v>1437754</v>
          </cell>
          <cell r="X2507">
            <v>55806070</v>
          </cell>
          <cell r="Y2507">
            <v>17177894</v>
          </cell>
          <cell r="Z2507">
            <v>46743309</v>
          </cell>
          <cell r="AA2507">
            <v>11249301</v>
          </cell>
          <cell r="AB2507">
            <v>102445696</v>
          </cell>
          <cell r="AC2507">
            <v>15958023</v>
          </cell>
          <cell r="AD2507">
            <v>69588469</v>
          </cell>
          <cell r="AE2507">
            <v>659908579</v>
          </cell>
          <cell r="AF2507">
            <v>41845715</v>
          </cell>
          <cell r="AG2507">
            <v>34012273</v>
          </cell>
          <cell r="AH2507">
            <v>73634350</v>
          </cell>
          <cell r="AI2507">
            <v>147556707</v>
          </cell>
        </row>
        <row r="2508">
          <cell r="A2508">
            <v>213010100</v>
          </cell>
          <cell r="C2508">
            <v>97451575</v>
          </cell>
          <cell r="D2508">
            <v>108811871</v>
          </cell>
          <cell r="E2508">
            <v>0</v>
          </cell>
          <cell r="F2508">
            <v>46665111</v>
          </cell>
          <cell r="G2508">
            <v>68569173</v>
          </cell>
          <cell r="H2508">
            <v>178615304</v>
          </cell>
          <cell r="I2508">
            <v>48074572</v>
          </cell>
          <cell r="J2508">
            <v>13999921</v>
          </cell>
          <cell r="K2508">
            <v>12751817</v>
          </cell>
          <cell r="L2508">
            <v>6439603</v>
          </cell>
          <cell r="M2508">
            <v>10424473</v>
          </cell>
          <cell r="N2508">
            <v>194093321</v>
          </cell>
          <cell r="O2508">
            <v>45217831</v>
          </cell>
          <cell r="P2508">
            <v>32809300</v>
          </cell>
          <cell r="Q2508">
            <v>0</v>
          </cell>
          <cell r="R2508">
            <v>25900548</v>
          </cell>
          <cell r="S2508">
            <v>0</v>
          </cell>
          <cell r="T2508">
            <v>39862244</v>
          </cell>
          <cell r="U2508">
            <v>0</v>
          </cell>
          <cell r="V2508">
            <v>182337007</v>
          </cell>
          <cell r="W2508">
            <v>0</v>
          </cell>
          <cell r="X2508">
            <v>48534596</v>
          </cell>
          <cell r="Y2508">
            <v>12953972</v>
          </cell>
          <cell r="Z2508">
            <v>45305555</v>
          </cell>
          <cell r="AA2508">
            <v>10332416</v>
          </cell>
          <cell r="AB2508">
            <v>89322183</v>
          </cell>
          <cell r="AC2508">
            <v>14520269</v>
          </cell>
          <cell r="AD2508">
            <v>68700604</v>
          </cell>
          <cell r="AE2508">
            <v>659908579</v>
          </cell>
          <cell r="AF2508">
            <v>40957850</v>
          </cell>
          <cell r="AG2508">
            <v>32574519</v>
          </cell>
          <cell r="AH2508">
            <v>73634350</v>
          </cell>
          <cell r="AI2508">
            <v>147556707</v>
          </cell>
        </row>
        <row r="2509">
          <cell r="A2509">
            <v>213010101</v>
          </cell>
          <cell r="C2509">
            <v>0</v>
          </cell>
          <cell r="D2509">
            <v>0</v>
          </cell>
          <cell r="E2509">
            <v>0</v>
          </cell>
          <cell r="F2509">
            <v>986</v>
          </cell>
          <cell r="G2509">
            <v>1846953</v>
          </cell>
          <cell r="H2509">
            <v>0</v>
          </cell>
          <cell r="I2509">
            <v>48074572</v>
          </cell>
          <cell r="J2509">
            <v>0</v>
          </cell>
          <cell r="K2509">
            <v>594992</v>
          </cell>
          <cell r="L2509">
            <v>0</v>
          </cell>
          <cell r="M2509">
            <v>0</v>
          </cell>
          <cell r="N2509">
            <v>0</v>
          </cell>
          <cell r="O2509">
            <v>4360575</v>
          </cell>
          <cell r="P2509">
            <v>3921119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5083438</v>
          </cell>
          <cell r="Y2509">
            <v>8513</v>
          </cell>
          <cell r="Z2509">
            <v>0</v>
          </cell>
          <cell r="AA2509">
            <v>0</v>
          </cell>
          <cell r="AB2509">
            <v>6269647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</row>
        <row r="2510">
          <cell r="A2510">
            <v>213010102</v>
          </cell>
          <cell r="C2510">
            <v>0</v>
          </cell>
          <cell r="D2510">
            <v>0</v>
          </cell>
          <cell r="E2510">
            <v>0</v>
          </cell>
          <cell r="F2510">
            <v>44944</v>
          </cell>
          <cell r="G2510">
            <v>568583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33859</v>
          </cell>
          <cell r="P2510">
            <v>112848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4474512</v>
          </cell>
          <cell r="Y2510">
            <v>0</v>
          </cell>
          <cell r="Z2510">
            <v>0</v>
          </cell>
          <cell r="AA2510">
            <v>0</v>
          </cell>
          <cell r="AB2510">
            <v>2580089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</row>
        <row r="2511">
          <cell r="A2511">
            <v>213010103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348592</v>
          </cell>
          <cell r="P2511">
            <v>2002334</v>
          </cell>
          <cell r="Q2511">
            <v>0</v>
          </cell>
          <cell r="R2511">
            <v>0</v>
          </cell>
          <cell r="S2511">
            <v>0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1522313</v>
          </cell>
          <cell r="Y2511">
            <v>0</v>
          </cell>
          <cell r="Z2511">
            <v>0</v>
          </cell>
          <cell r="AA2511">
            <v>0</v>
          </cell>
          <cell r="AB2511">
            <v>135937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</row>
        <row r="2512">
          <cell r="A2512">
            <v>213010104</v>
          </cell>
          <cell r="C2512">
            <v>97451575</v>
          </cell>
          <cell r="D2512">
            <v>108811871</v>
          </cell>
          <cell r="E2512">
            <v>0</v>
          </cell>
          <cell r="F2512">
            <v>46289379</v>
          </cell>
          <cell r="G2512">
            <v>62128805</v>
          </cell>
          <cell r="H2512">
            <v>178615304</v>
          </cell>
          <cell r="I2512">
            <v>0</v>
          </cell>
          <cell r="J2512">
            <v>13999921</v>
          </cell>
          <cell r="K2512">
            <v>12100498</v>
          </cell>
          <cell r="L2512">
            <v>6439603</v>
          </cell>
          <cell r="M2512">
            <v>10424473</v>
          </cell>
          <cell r="N2512">
            <v>194093321</v>
          </cell>
          <cell r="O2512">
            <v>33354824</v>
          </cell>
          <cell r="P2512">
            <v>25015083</v>
          </cell>
          <cell r="Q2512">
            <v>0</v>
          </cell>
          <cell r="R2512">
            <v>25900548</v>
          </cell>
          <cell r="S2512">
            <v>0</v>
          </cell>
          <cell r="T2512">
            <v>0</v>
          </cell>
          <cell r="U2512">
            <v>0</v>
          </cell>
          <cell r="V2512">
            <v>182337007</v>
          </cell>
          <cell r="W2512">
            <v>0</v>
          </cell>
          <cell r="X2512">
            <v>25373693</v>
          </cell>
          <cell r="Y2512">
            <v>10924408</v>
          </cell>
          <cell r="Z2512">
            <v>45305555</v>
          </cell>
          <cell r="AA2512">
            <v>10332416</v>
          </cell>
          <cell r="AB2512">
            <v>76336365</v>
          </cell>
          <cell r="AC2512">
            <v>14520269</v>
          </cell>
          <cell r="AD2512">
            <v>68700604</v>
          </cell>
          <cell r="AE2512">
            <v>659908579</v>
          </cell>
          <cell r="AF2512">
            <v>40957850</v>
          </cell>
          <cell r="AG2512">
            <v>32574519</v>
          </cell>
          <cell r="AH2512">
            <v>73634350</v>
          </cell>
          <cell r="AI2512">
            <v>0</v>
          </cell>
        </row>
        <row r="2513">
          <cell r="A2513">
            <v>213010105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52533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549889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</row>
        <row r="2514">
          <cell r="A2514">
            <v>213010106</v>
          </cell>
          <cell r="C2514">
            <v>0</v>
          </cell>
          <cell r="D2514">
            <v>0</v>
          </cell>
          <cell r="E2514">
            <v>0</v>
          </cell>
          <cell r="F2514">
            <v>296344</v>
          </cell>
          <cell r="G2514">
            <v>618404</v>
          </cell>
          <cell r="H2514">
            <v>0</v>
          </cell>
          <cell r="I2514">
            <v>0</v>
          </cell>
          <cell r="J2514">
            <v>0</v>
          </cell>
          <cell r="K2514">
            <v>9796</v>
          </cell>
          <cell r="L2514">
            <v>0</v>
          </cell>
          <cell r="M2514">
            <v>0</v>
          </cell>
          <cell r="N2514">
            <v>0</v>
          </cell>
          <cell r="O2514">
            <v>1650433</v>
          </cell>
          <cell r="P2514">
            <v>293476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5203048</v>
          </cell>
          <cell r="Y2514">
            <v>0</v>
          </cell>
          <cell r="Z2514">
            <v>0</v>
          </cell>
          <cell r="AA2514">
            <v>0</v>
          </cell>
          <cell r="AB2514">
            <v>930936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</row>
        <row r="2515">
          <cell r="A2515">
            <v>213010107</v>
          </cell>
          <cell r="C2515">
            <v>0</v>
          </cell>
          <cell r="D2515">
            <v>0</v>
          </cell>
          <cell r="E2515">
            <v>0</v>
          </cell>
          <cell r="F2515">
            <v>14312</v>
          </cell>
          <cell r="G2515">
            <v>32292</v>
          </cell>
          <cell r="H2515">
            <v>0</v>
          </cell>
          <cell r="I2515">
            <v>0</v>
          </cell>
          <cell r="J2515">
            <v>0</v>
          </cell>
          <cell r="K2515">
            <v>39184</v>
          </cell>
          <cell r="L2515">
            <v>0</v>
          </cell>
          <cell r="M2515">
            <v>0</v>
          </cell>
          <cell r="N2515">
            <v>0</v>
          </cell>
          <cell r="O2515">
            <v>21166</v>
          </cell>
          <cell r="P2515">
            <v>26680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228347</v>
          </cell>
          <cell r="Y2515">
            <v>0</v>
          </cell>
          <cell r="Z2515">
            <v>0</v>
          </cell>
          <cell r="AA2515">
            <v>0</v>
          </cell>
          <cell r="AB2515">
            <v>95455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</row>
        <row r="2516">
          <cell r="A2516">
            <v>213010108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147556707</v>
          </cell>
        </row>
        <row r="2517">
          <cell r="A2517">
            <v>213010109</v>
          </cell>
          <cell r="C2517">
            <v>0</v>
          </cell>
          <cell r="D2517">
            <v>0</v>
          </cell>
          <cell r="E2517">
            <v>0</v>
          </cell>
          <cell r="F2517">
            <v>4055</v>
          </cell>
          <cell r="G2517">
            <v>719609</v>
          </cell>
          <cell r="H2517">
            <v>0</v>
          </cell>
          <cell r="I2517">
            <v>0</v>
          </cell>
          <cell r="J2517">
            <v>0</v>
          </cell>
          <cell r="K2517">
            <v>7347</v>
          </cell>
          <cell r="L2517">
            <v>0</v>
          </cell>
          <cell r="M2517">
            <v>0</v>
          </cell>
          <cell r="N2517">
            <v>0</v>
          </cell>
          <cell r="O2517">
            <v>1047369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39862244</v>
          </cell>
          <cell r="U2517">
            <v>0</v>
          </cell>
          <cell r="V2517">
            <v>0</v>
          </cell>
          <cell r="W2517">
            <v>0</v>
          </cell>
          <cell r="X2517">
            <v>891640</v>
          </cell>
          <cell r="Y2517">
            <v>0</v>
          </cell>
          <cell r="Z2517">
            <v>0</v>
          </cell>
          <cell r="AA2517">
            <v>0</v>
          </cell>
          <cell r="AB2517">
            <v>1198080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</row>
        <row r="2518">
          <cell r="A2518">
            <v>213010110</v>
          </cell>
          <cell r="C2518">
            <v>0</v>
          </cell>
          <cell r="D2518">
            <v>0</v>
          </cell>
          <cell r="E2518">
            <v>0</v>
          </cell>
          <cell r="F2518">
            <v>5841</v>
          </cell>
          <cell r="G2518">
            <v>100194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3440516</v>
          </cell>
          <cell r="P2518">
            <v>887871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2071433</v>
          </cell>
          <cell r="Y2518">
            <v>0</v>
          </cell>
          <cell r="Z2518">
            <v>0</v>
          </cell>
          <cell r="AA2518">
            <v>0</v>
          </cell>
          <cell r="AB2518">
            <v>685751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</row>
        <row r="2519">
          <cell r="A2519">
            <v>213010111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220770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434947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</row>
        <row r="2520">
          <cell r="A2520">
            <v>213010112</v>
          </cell>
          <cell r="C2520">
            <v>0</v>
          </cell>
          <cell r="D2520">
            <v>0</v>
          </cell>
          <cell r="E2520">
            <v>0</v>
          </cell>
          <cell r="F2520">
            <v>9250</v>
          </cell>
          <cell r="G2520">
            <v>336080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784001</v>
          </cell>
          <cell r="P2520">
            <v>0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706788</v>
          </cell>
          <cell r="Y2520">
            <v>0</v>
          </cell>
          <cell r="Z2520">
            <v>0</v>
          </cell>
          <cell r="AA2520">
            <v>0</v>
          </cell>
          <cell r="AB2520">
            <v>1089923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</row>
        <row r="2521">
          <cell r="A2521">
            <v>213010113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1944950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176496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2544437</v>
          </cell>
          <cell r="Y2521">
            <v>2021051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</row>
        <row r="2522">
          <cell r="A2522">
            <v>213010120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</row>
        <row r="2523">
          <cell r="A2523">
            <v>213010200</v>
          </cell>
          <cell r="C2523">
            <v>0</v>
          </cell>
          <cell r="D2523">
            <v>0</v>
          </cell>
          <cell r="E2523">
            <v>0</v>
          </cell>
          <cell r="F2523">
            <v>1430</v>
          </cell>
          <cell r="G2523">
            <v>44842116</v>
          </cell>
          <cell r="H2523">
            <v>0</v>
          </cell>
          <cell r="I2523">
            <v>0</v>
          </cell>
          <cell r="J2523">
            <v>0</v>
          </cell>
          <cell r="K2523">
            <v>2611617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5833720</v>
          </cell>
          <cell r="Y2523">
            <v>0</v>
          </cell>
          <cell r="Z2523">
            <v>0</v>
          </cell>
          <cell r="AA2523">
            <v>0</v>
          </cell>
          <cell r="AB2523">
            <v>11637760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</row>
        <row r="2524">
          <cell r="A2524">
            <v>213010201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</row>
        <row r="2525">
          <cell r="A2525">
            <v>213010202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</row>
        <row r="2526">
          <cell r="A2526">
            <v>213010203</v>
          </cell>
          <cell r="C2526">
            <v>0</v>
          </cell>
          <cell r="D2526">
            <v>0</v>
          </cell>
          <cell r="E2526">
            <v>0</v>
          </cell>
          <cell r="F2526">
            <v>1430</v>
          </cell>
          <cell r="G2526">
            <v>44842116</v>
          </cell>
          <cell r="H2526">
            <v>0</v>
          </cell>
          <cell r="I2526">
            <v>0</v>
          </cell>
          <cell r="J2526">
            <v>0</v>
          </cell>
          <cell r="K2526">
            <v>2611617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5833720</v>
          </cell>
          <cell r="Y2526">
            <v>0</v>
          </cell>
          <cell r="Z2526">
            <v>0</v>
          </cell>
          <cell r="AA2526">
            <v>0</v>
          </cell>
          <cell r="AB2526">
            <v>11637760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</row>
        <row r="2527">
          <cell r="A2527">
            <v>213010204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</row>
        <row r="2528">
          <cell r="A2528">
            <v>213010205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</row>
        <row r="2529">
          <cell r="A2529">
            <v>213010206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</row>
        <row r="2530">
          <cell r="A2530">
            <v>213010207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</row>
        <row r="2531">
          <cell r="A2531">
            <v>213010208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</row>
        <row r="2532">
          <cell r="A2532">
            <v>213010209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</row>
        <row r="2533">
          <cell r="A2533">
            <v>213010300</v>
          </cell>
          <cell r="C2533">
            <v>549889</v>
          </cell>
          <cell r="D2533">
            <v>887865</v>
          </cell>
          <cell r="E2533">
            <v>887865</v>
          </cell>
          <cell r="F2533">
            <v>1437754</v>
          </cell>
          <cell r="G2533">
            <v>4965267</v>
          </cell>
          <cell r="H2533">
            <v>1485753</v>
          </cell>
          <cell r="I2533">
            <v>1485749</v>
          </cell>
          <cell r="J2533">
            <v>887865</v>
          </cell>
          <cell r="K2533">
            <v>1437754</v>
          </cell>
          <cell r="L2533">
            <v>1437754</v>
          </cell>
          <cell r="M2533">
            <v>1437754</v>
          </cell>
          <cell r="N2533">
            <v>0</v>
          </cell>
          <cell r="O2533">
            <v>887865</v>
          </cell>
          <cell r="P2533">
            <v>0</v>
          </cell>
          <cell r="Q2533">
            <v>887865</v>
          </cell>
          <cell r="R2533">
            <v>1437764</v>
          </cell>
          <cell r="S2533">
            <v>1437754</v>
          </cell>
          <cell r="T2533">
            <v>817959</v>
          </cell>
          <cell r="U2533">
            <v>0</v>
          </cell>
          <cell r="V2533">
            <v>0</v>
          </cell>
          <cell r="W2533">
            <v>1437754</v>
          </cell>
          <cell r="X2533">
            <v>1437754</v>
          </cell>
          <cell r="Y2533">
            <v>4223922</v>
          </cell>
          <cell r="Z2533">
            <v>1437754</v>
          </cell>
          <cell r="AA2533">
            <v>916885</v>
          </cell>
          <cell r="AB2533">
            <v>1485753</v>
          </cell>
          <cell r="AC2533">
            <v>1437754</v>
          </cell>
          <cell r="AD2533">
            <v>887865</v>
          </cell>
          <cell r="AE2533">
            <v>0</v>
          </cell>
          <cell r="AF2533">
            <v>887865</v>
          </cell>
          <cell r="AG2533">
            <v>1437754</v>
          </cell>
          <cell r="AH2533">
            <v>0</v>
          </cell>
          <cell r="AI2533">
            <v>0</v>
          </cell>
        </row>
        <row r="2534">
          <cell r="A2534">
            <v>213010301</v>
          </cell>
          <cell r="C2534">
            <v>0</v>
          </cell>
          <cell r="D2534">
            <v>887865</v>
          </cell>
          <cell r="E2534">
            <v>887865</v>
          </cell>
          <cell r="F2534">
            <v>887865</v>
          </cell>
          <cell r="G2534">
            <v>887865</v>
          </cell>
          <cell r="H2534">
            <v>935860</v>
          </cell>
          <cell r="I2534">
            <v>935860</v>
          </cell>
          <cell r="J2534">
            <v>887865</v>
          </cell>
          <cell r="K2534">
            <v>887865</v>
          </cell>
          <cell r="L2534">
            <v>887865</v>
          </cell>
          <cell r="M2534">
            <v>887865</v>
          </cell>
          <cell r="N2534">
            <v>0</v>
          </cell>
          <cell r="O2534">
            <v>887865</v>
          </cell>
          <cell r="P2534">
            <v>0</v>
          </cell>
          <cell r="Q2534">
            <v>887865</v>
          </cell>
          <cell r="R2534">
            <v>887865</v>
          </cell>
          <cell r="S2534">
            <v>887865</v>
          </cell>
          <cell r="T2534">
            <v>817959</v>
          </cell>
          <cell r="U2534">
            <v>0</v>
          </cell>
          <cell r="V2534">
            <v>0</v>
          </cell>
          <cell r="W2534">
            <v>887865</v>
          </cell>
          <cell r="X2534">
            <v>887865</v>
          </cell>
          <cell r="Y2534">
            <v>887865</v>
          </cell>
          <cell r="Z2534">
            <v>887865</v>
          </cell>
          <cell r="AA2534">
            <v>552034</v>
          </cell>
          <cell r="AB2534">
            <v>935860</v>
          </cell>
          <cell r="AC2534">
            <v>887865</v>
          </cell>
          <cell r="AD2534">
            <v>887865</v>
          </cell>
          <cell r="AE2534">
            <v>0</v>
          </cell>
          <cell r="AF2534">
            <v>887865</v>
          </cell>
          <cell r="AG2534">
            <v>887865</v>
          </cell>
          <cell r="AH2534">
            <v>0</v>
          </cell>
          <cell r="AI2534">
            <v>0</v>
          </cell>
        </row>
        <row r="2535">
          <cell r="A2535">
            <v>213010302</v>
          </cell>
          <cell r="C2535">
            <v>549889</v>
          </cell>
          <cell r="D2535">
            <v>0</v>
          </cell>
          <cell r="E2535">
            <v>0</v>
          </cell>
          <cell r="F2535">
            <v>549889</v>
          </cell>
          <cell r="G2535">
            <v>4077402</v>
          </cell>
          <cell r="H2535">
            <v>549893</v>
          </cell>
          <cell r="I2535">
            <v>549889</v>
          </cell>
          <cell r="J2535">
            <v>0</v>
          </cell>
          <cell r="K2535">
            <v>549889</v>
          </cell>
          <cell r="L2535">
            <v>549889</v>
          </cell>
          <cell r="M2535">
            <v>549889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549899</v>
          </cell>
          <cell r="S2535">
            <v>549889</v>
          </cell>
          <cell r="T2535">
            <v>0</v>
          </cell>
          <cell r="U2535">
            <v>0</v>
          </cell>
          <cell r="V2535">
            <v>0</v>
          </cell>
          <cell r="W2535">
            <v>549889</v>
          </cell>
          <cell r="X2535">
            <v>549889</v>
          </cell>
          <cell r="Y2535">
            <v>3336057</v>
          </cell>
          <cell r="Z2535">
            <v>549889</v>
          </cell>
          <cell r="AA2535">
            <v>364851</v>
          </cell>
          <cell r="AB2535">
            <v>549893</v>
          </cell>
          <cell r="AC2535">
            <v>549889</v>
          </cell>
          <cell r="AD2535">
            <v>0</v>
          </cell>
          <cell r="AE2535">
            <v>0</v>
          </cell>
          <cell r="AF2535">
            <v>0</v>
          </cell>
          <cell r="AG2535">
            <v>549889</v>
          </cell>
          <cell r="AH2535">
            <v>0</v>
          </cell>
          <cell r="AI2535">
            <v>0</v>
          </cell>
        </row>
        <row r="2536">
          <cell r="A2536">
            <v>213020000</v>
          </cell>
          <cell r="C2536">
            <v>4096119834</v>
          </cell>
          <cell r="D2536">
            <v>5495887507</v>
          </cell>
          <cell r="E2536">
            <v>1343978811</v>
          </cell>
          <cell r="F2536">
            <v>1160693754</v>
          </cell>
          <cell r="G2536">
            <v>8195851347</v>
          </cell>
          <cell r="H2536">
            <v>3735729074</v>
          </cell>
          <cell r="I2536">
            <v>796093845</v>
          </cell>
          <cell r="J2536">
            <v>1310448815</v>
          </cell>
          <cell r="K2536">
            <v>496169772</v>
          </cell>
          <cell r="L2536">
            <v>264885562</v>
          </cell>
          <cell r="M2536">
            <v>437912921</v>
          </cell>
          <cell r="N2536">
            <v>1502352514</v>
          </cell>
          <cell r="O2536">
            <v>1594453474</v>
          </cell>
          <cell r="P2536">
            <v>1358358504</v>
          </cell>
          <cell r="Q2536">
            <v>1749404158</v>
          </cell>
          <cell r="R2536">
            <v>984575101</v>
          </cell>
          <cell r="S2536">
            <v>447027080</v>
          </cell>
          <cell r="T2536">
            <v>1908870492</v>
          </cell>
          <cell r="U2536">
            <v>0</v>
          </cell>
          <cell r="V2536">
            <v>1648635581</v>
          </cell>
          <cell r="W2536">
            <v>1609174578</v>
          </cell>
          <cell r="X2536">
            <v>1816859983</v>
          </cell>
          <cell r="Y2536">
            <v>1125269188</v>
          </cell>
          <cell r="Z2536">
            <v>2349551509</v>
          </cell>
          <cell r="AA2536">
            <v>486269496</v>
          </cell>
          <cell r="AB2536">
            <v>3731723540</v>
          </cell>
          <cell r="AC2536">
            <v>1135309415</v>
          </cell>
          <cell r="AD2536">
            <v>1357992146</v>
          </cell>
          <cell r="AE2536">
            <v>20573897381</v>
          </cell>
          <cell r="AF2536">
            <v>1018733511</v>
          </cell>
          <cell r="AG2536">
            <v>913572119</v>
          </cell>
          <cell r="AH2536">
            <v>1369302719</v>
          </cell>
          <cell r="AI2536">
            <v>169039204</v>
          </cell>
        </row>
        <row r="2537">
          <cell r="A2537">
            <v>213020100</v>
          </cell>
          <cell r="C2537">
            <v>4060944518</v>
          </cell>
          <cell r="D2537">
            <v>5335780554</v>
          </cell>
          <cell r="E2537">
            <v>1160442904</v>
          </cell>
          <cell r="F2537">
            <v>978164339</v>
          </cell>
          <cell r="G2537">
            <v>7221537212</v>
          </cell>
          <cell r="H2537">
            <v>3342796897</v>
          </cell>
          <cell r="I2537">
            <v>612936425</v>
          </cell>
          <cell r="J2537">
            <v>1150701862</v>
          </cell>
          <cell r="K2537">
            <v>260349810</v>
          </cell>
          <cell r="L2537">
            <v>82386147</v>
          </cell>
          <cell r="M2537">
            <v>255413506</v>
          </cell>
          <cell r="N2537">
            <v>1340565171</v>
          </cell>
          <cell r="O2537">
            <v>1434706521</v>
          </cell>
          <cell r="P2537">
            <v>1358358504</v>
          </cell>
          <cell r="Q2537">
            <v>1589657205</v>
          </cell>
          <cell r="R2537">
            <v>643957273</v>
          </cell>
          <cell r="S2537">
            <v>264527665</v>
          </cell>
          <cell r="T2537">
            <v>1588382076</v>
          </cell>
          <cell r="U2537">
            <v>0</v>
          </cell>
          <cell r="V2537">
            <v>1576786606</v>
          </cell>
          <cell r="W2537">
            <v>1426675163</v>
          </cell>
          <cell r="X2537">
            <v>1514106435</v>
          </cell>
          <cell r="Y2537">
            <v>608702068</v>
          </cell>
          <cell r="Z2537">
            <v>2167052094</v>
          </cell>
          <cell r="AA2537">
            <v>421132202</v>
          </cell>
          <cell r="AB2537">
            <v>3140143761</v>
          </cell>
          <cell r="AC2537">
            <v>902810000</v>
          </cell>
          <cell r="AD2537">
            <v>952888539</v>
          </cell>
          <cell r="AE2537">
            <v>20421220262</v>
          </cell>
          <cell r="AF2537">
            <v>853986552</v>
          </cell>
          <cell r="AG2537">
            <v>722805260</v>
          </cell>
          <cell r="AH2537">
            <v>1031589627</v>
          </cell>
          <cell r="AI2537">
            <v>169039204</v>
          </cell>
        </row>
        <row r="2538">
          <cell r="A2538">
            <v>213020101</v>
          </cell>
          <cell r="C2538">
            <v>123062742</v>
          </cell>
          <cell r="D2538">
            <v>328898269</v>
          </cell>
          <cell r="E2538">
            <v>94586637</v>
          </cell>
          <cell r="F2538">
            <v>20659</v>
          </cell>
          <cell r="G2538">
            <v>196073922</v>
          </cell>
          <cell r="H2538">
            <v>486197567</v>
          </cell>
          <cell r="I2538">
            <v>20955088</v>
          </cell>
          <cell r="J2538">
            <v>600000</v>
          </cell>
          <cell r="K2538">
            <v>12147769</v>
          </cell>
          <cell r="L2538">
            <v>3133538</v>
          </cell>
          <cell r="M2538">
            <v>940000</v>
          </cell>
          <cell r="N2538">
            <v>214089288</v>
          </cell>
          <cell r="O2538">
            <v>138355716</v>
          </cell>
          <cell r="P2538">
            <v>146970260</v>
          </cell>
          <cell r="Q2538">
            <v>187565957</v>
          </cell>
          <cell r="R2538">
            <v>73112860</v>
          </cell>
          <cell r="S2538">
            <v>600000</v>
          </cell>
          <cell r="T2538">
            <v>197201508</v>
          </cell>
          <cell r="U2538">
            <v>0</v>
          </cell>
          <cell r="V2538">
            <v>192921971</v>
          </cell>
          <cell r="W2538">
            <v>187500000</v>
          </cell>
          <cell r="X2538">
            <v>150655429</v>
          </cell>
          <cell r="Y2538">
            <v>400000</v>
          </cell>
          <cell r="Z2538">
            <v>158307804</v>
          </cell>
          <cell r="AA2538">
            <v>2500000</v>
          </cell>
          <cell r="AB2538">
            <v>220411006</v>
          </cell>
          <cell r="AC2538">
            <v>240000000</v>
          </cell>
          <cell r="AD2538">
            <v>29914551</v>
          </cell>
          <cell r="AE2538">
            <v>205516768</v>
          </cell>
          <cell r="AF2538">
            <v>26728682</v>
          </cell>
          <cell r="AG2538">
            <v>54149995</v>
          </cell>
          <cell r="AH2538">
            <v>2330000</v>
          </cell>
          <cell r="AI2538">
            <v>0</v>
          </cell>
        </row>
        <row r="2539">
          <cell r="A2539">
            <v>213020102</v>
          </cell>
          <cell r="C2539">
            <v>165954518</v>
          </cell>
          <cell r="D2539">
            <v>148372542</v>
          </cell>
          <cell r="E2539">
            <v>60500000</v>
          </cell>
          <cell r="F2539">
            <v>942079</v>
          </cell>
          <cell r="G2539">
            <v>475000</v>
          </cell>
          <cell r="H2539">
            <v>1026925</v>
          </cell>
          <cell r="I2539">
            <v>200000</v>
          </cell>
          <cell r="J2539">
            <v>0</v>
          </cell>
          <cell r="K2539">
            <v>0</v>
          </cell>
          <cell r="L2539">
            <v>0</v>
          </cell>
          <cell r="M2539">
            <v>7429500</v>
          </cell>
          <cell r="N2539">
            <v>49605172</v>
          </cell>
          <cell r="O2539">
            <v>1074320</v>
          </cell>
          <cell r="P2539">
            <v>4229727</v>
          </cell>
          <cell r="Q2539">
            <v>122773707</v>
          </cell>
          <cell r="R2539">
            <v>23283800</v>
          </cell>
          <cell r="S2539">
            <v>0</v>
          </cell>
          <cell r="T2539">
            <v>62432668</v>
          </cell>
          <cell r="U2539">
            <v>0</v>
          </cell>
          <cell r="V2539">
            <v>11512850</v>
          </cell>
          <cell r="W2539">
            <v>2762475</v>
          </cell>
          <cell r="X2539">
            <v>225811050</v>
          </cell>
          <cell r="Y2539">
            <v>0</v>
          </cell>
          <cell r="Z2539">
            <v>83769202</v>
          </cell>
          <cell r="AA2539">
            <v>2470000</v>
          </cell>
          <cell r="AB2539">
            <v>90703686</v>
          </cell>
          <cell r="AC2539">
            <v>1400000</v>
          </cell>
          <cell r="AD2539">
            <v>11667750</v>
          </cell>
          <cell r="AE2539">
            <v>463790342</v>
          </cell>
          <cell r="AF2539">
            <v>0</v>
          </cell>
          <cell r="AG2539">
            <v>15244659</v>
          </cell>
          <cell r="AH2539">
            <v>10900000</v>
          </cell>
          <cell r="AI2539">
            <v>0</v>
          </cell>
        </row>
        <row r="2540">
          <cell r="A2540">
            <v>213020103</v>
          </cell>
          <cell r="C2540">
            <v>0</v>
          </cell>
          <cell r="D2540">
            <v>0</v>
          </cell>
          <cell r="E2540">
            <v>15000000</v>
          </cell>
          <cell r="F2540">
            <v>0</v>
          </cell>
          <cell r="G2540">
            <v>0</v>
          </cell>
          <cell r="H2540">
            <v>9000000</v>
          </cell>
          <cell r="I2540">
            <v>0</v>
          </cell>
          <cell r="J2540">
            <v>466000</v>
          </cell>
          <cell r="K2540">
            <v>0</v>
          </cell>
          <cell r="L2540">
            <v>800000</v>
          </cell>
          <cell r="M2540">
            <v>0</v>
          </cell>
          <cell r="N2540">
            <v>459536</v>
          </cell>
          <cell r="O2540">
            <v>11060406</v>
          </cell>
          <cell r="P2540">
            <v>75050900</v>
          </cell>
          <cell r="Q2540">
            <v>22000000</v>
          </cell>
          <cell r="R2540">
            <v>20620455</v>
          </cell>
          <cell r="S2540">
            <v>0</v>
          </cell>
          <cell r="T2540">
            <v>5145392</v>
          </cell>
          <cell r="U2540">
            <v>0</v>
          </cell>
          <cell r="V2540">
            <v>20900000</v>
          </cell>
          <cell r="W2540">
            <v>0</v>
          </cell>
          <cell r="X2540">
            <v>1380000</v>
          </cell>
          <cell r="Y2540">
            <v>0</v>
          </cell>
          <cell r="Z2540">
            <v>200000</v>
          </cell>
          <cell r="AA2540">
            <v>1600000</v>
          </cell>
          <cell r="AB2540">
            <v>4778890</v>
          </cell>
          <cell r="AC2540">
            <v>1000000</v>
          </cell>
          <cell r="AD2540">
            <v>1150000</v>
          </cell>
          <cell r="AE2540">
            <v>28440393</v>
          </cell>
          <cell r="AF2540">
            <v>62389180</v>
          </cell>
          <cell r="AG2540">
            <v>534972</v>
          </cell>
          <cell r="AH2540">
            <v>1620000</v>
          </cell>
          <cell r="AI2540">
            <v>0</v>
          </cell>
        </row>
        <row r="2541">
          <cell r="A2541">
            <v>213020104</v>
          </cell>
          <cell r="C2541">
            <v>2832210709</v>
          </cell>
          <cell r="D2541">
            <v>4544778465</v>
          </cell>
          <cell r="E2541">
            <v>916253142</v>
          </cell>
          <cell r="F2541">
            <v>970288502</v>
          </cell>
          <cell r="G2541">
            <v>6717820965</v>
          </cell>
          <cell r="H2541">
            <v>2492755277</v>
          </cell>
          <cell r="I2541">
            <v>552309464</v>
          </cell>
          <cell r="J2541">
            <v>1140425065</v>
          </cell>
          <cell r="K2541">
            <v>247052041</v>
          </cell>
          <cell r="L2541">
            <v>77426709</v>
          </cell>
          <cell r="M2541">
            <v>230476948</v>
          </cell>
          <cell r="N2541">
            <v>740224464</v>
          </cell>
          <cell r="O2541">
            <v>1058307813</v>
          </cell>
          <cell r="P2541">
            <v>937608196</v>
          </cell>
          <cell r="Q2541">
            <v>760416375</v>
          </cell>
          <cell r="R2541">
            <v>417010244</v>
          </cell>
          <cell r="S2541">
            <v>262900000</v>
          </cell>
          <cell r="T2541">
            <v>1196561683</v>
          </cell>
          <cell r="U2541">
            <v>0</v>
          </cell>
          <cell r="V2541">
            <v>1178602629</v>
          </cell>
          <cell r="W2541">
            <v>1050235371</v>
          </cell>
          <cell r="X2541">
            <v>926900213</v>
          </cell>
          <cell r="Y2541">
            <v>513333668</v>
          </cell>
          <cell r="Z2541">
            <v>1789836710</v>
          </cell>
          <cell r="AA2541">
            <v>384037529</v>
          </cell>
          <cell r="AB2541">
            <v>2683624057</v>
          </cell>
          <cell r="AC2541">
            <v>391360000</v>
          </cell>
          <cell r="AD2541">
            <v>899136448</v>
          </cell>
          <cell r="AE2541">
            <v>18002520055</v>
          </cell>
          <cell r="AF2541">
            <v>694057197</v>
          </cell>
          <cell r="AG2541">
            <v>640607597</v>
          </cell>
          <cell r="AH2541">
            <v>836251191</v>
          </cell>
          <cell r="AI2541">
            <v>110819001</v>
          </cell>
        </row>
        <row r="2542">
          <cell r="A2542">
            <v>213020105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18930995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22752462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</row>
        <row r="2543">
          <cell r="A2543">
            <v>213020106</v>
          </cell>
          <cell r="C2543">
            <v>469073410</v>
          </cell>
          <cell r="D2543">
            <v>123768000</v>
          </cell>
          <cell r="E2543">
            <v>48153125</v>
          </cell>
          <cell r="F2543">
            <v>6211760</v>
          </cell>
          <cell r="G2543">
            <v>22662253</v>
          </cell>
          <cell r="H2543">
            <v>228412133</v>
          </cell>
          <cell r="I2543">
            <v>8591194</v>
          </cell>
          <cell r="J2543">
            <v>0</v>
          </cell>
          <cell r="K2543">
            <v>200000</v>
          </cell>
          <cell r="L2543">
            <v>0</v>
          </cell>
          <cell r="M2543">
            <v>1117058</v>
          </cell>
          <cell r="N2543">
            <v>83304289</v>
          </cell>
          <cell r="O2543">
            <v>52366208</v>
          </cell>
          <cell r="P2543">
            <v>11000000</v>
          </cell>
          <cell r="Q2543">
            <v>68914000</v>
          </cell>
          <cell r="R2543">
            <v>11874757</v>
          </cell>
          <cell r="S2543">
            <v>0</v>
          </cell>
          <cell r="T2543">
            <v>55844029</v>
          </cell>
          <cell r="U2543">
            <v>0</v>
          </cell>
          <cell r="V2543">
            <v>16087927</v>
          </cell>
          <cell r="W2543">
            <v>143183317</v>
          </cell>
          <cell r="X2543">
            <v>152606000</v>
          </cell>
          <cell r="Y2543">
            <v>0</v>
          </cell>
          <cell r="Z2543">
            <v>82538378</v>
          </cell>
          <cell r="AA2543">
            <v>30000000</v>
          </cell>
          <cell r="AB2543">
            <v>32727296</v>
          </cell>
          <cell r="AC2543">
            <v>0</v>
          </cell>
          <cell r="AD2543">
            <v>1691000</v>
          </cell>
          <cell r="AE2543">
            <v>955294939</v>
          </cell>
          <cell r="AF2543">
            <v>310000</v>
          </cell>
          <cell r="AG2543">
            <v>4553717</v>
          </cell>
          <cell r="AH2543">
            <v>150992982</v>
          </cell>
          <cell r="AI2543">
            <v>0</v>
          </cell>
        </row>
        <row r="2544">
          <cell r="A2544">
            <v>213020107</v>
          </cell>
          <cell r="C2544">
            <v>109091</v>
          </cell>
          <cell r="D2544">
            <v>7000000</v>
          </cell>
          <cell r="E2544">
            <v>0</v>
          </cell>
          <cell r="F2544">
            <v>300000</v>
          </cell>
          <cell r="G2544">
            <v>4735000</v>
          </cell>
          <cell r="H2544">
            <v>4500000</v>
          </cell>
          <cell r="I2544">
            <v>256000</v>
          </cell>
          <cell r="J2544">
            <v>1700000</v>
          </cell>
          <cell r="K2544">
            <v>800000</v>
          </cell>
          <cell r="L2544">
            <v>0</v>
          </cell>
          <cell r="M2544">
            <v>0</v>
          </cell>
          <cell r="N2544">
            <v>3309919</v>
          </cell>
          <cell r="O2544">
            <v>671577</v>
          </cell>
          <cell r="P2544">
            <v>1000000</v>
          </cell>
          <cell r="Q2544">
            <v>4250000</v>
          </cell>
          <cell r="R2544">
            <v>1400000</v>
          </cell>
          <cell r="S2544">
            <v>360000</v>
          </cell>
          <cell r="T2544">
            <v>0</v>
          </cell>
          <cell r="U2544">
            <v>0</v>
          </cell>
          <cell r="V2544">
            <v>4834002</v>
          </cell>
          <cell r="W2544">
            <v>0</v>
          </cell>
          <cell r="X2544">
            <v>6601016</v>
          </cell>
          <cell r="Y2544">
            <v>0</v>
          </cell>
          <cell r="Z2544">
            <v>10400000</v>
          </cell>
          <cell r="AA2544">
            <v>0</v>
          </cell>
          <cell r="AB2544">
            <v>3355731</v>
          </cell>
          <cell r="AC2544">
            <v>3000000</v>
          </cell>
          <cell r="AD2544">
            <v>1976500</v>
          </cell>
          <cell r="AE2544">
            <v>2630000</v>
          </cell>
          <cell r="AF2544">
            <v>0</v>
          </cell>
          <cell r="AG2544">
            <v>500000</v>
          </cell>
          <cell r="AH2544">
            <v>3272727</v>
          </cell>
          <cell r="AI2544">
            <v>0</v>
          </cell>
        </row>
        <row r="2545">
          <cell r="A2545">
            <v>213020108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11796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58220203</v>
          </cell>
        </row>
        <row r="2546">
          <cell r="A2546">
            <v>213020109</v>
          </cell>
          <cell r="C2546">
            <v>18421520</v>
          </cell>
          <cell r="D2546">
            <v>56552635</v>
          </cell>
          <cell r="E2546">
            <v>7000000</v>
          </cell>
          <cell r="F2546">
            <v>85000</v>
          </cell>
          <cell r="G2546">
            <v>22689238</v>
          </cell>
          <cell r="H2546">
            <v>9317177</v>
          </cell>
          <cell r="I2546">
            <v>2640547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114996336</v>
          </cell>
          <cell r="O2546">
            <v>33231736</v>
          </cell>
          <cell r="P2546">
            <v>0</v>
          </cell>
          <cell r="Q2546">
            <v>0</v>
          </cell>
          <cell r="R2546">
            <v>0</v>
          </cell>
          <cell r="S2546">
            <v>140000</v>
          </cell>
          <cell r="T2546">
            <v>10025000</v>
          </cell>
          <cell r="U2546">
            <v>0</v>
          </cell>
          <cell r="V2546">
            <v>94349423</v>
          </cell>
          <cell r="W2546">
            <v>2550000</v>
          </cell>
          <cell r="X2546">
            <v>26958829</v>
          </cell>
          <cell r="Y2546">
            <v>0</v>
          </cell>
          <cell r="Z2546">
            <v>9000000</v>
          </cell>
          <cell r="AA2546">
            <v>524673</v>
          </cell>
          <cell r="AB2546">
            <v>42118819</v>
          </cell>
          <cell r="AC2546">
            <v>800000</v>
          </cell>
          <cell r="AD2546">
            <v>4852290</v>
          </cell>
          <cell r="AE2546">
            <v>370441809</v>
          </cell>
          <cell r="AF2546">
            <v>23289000</v>
          </cell>
          <cell r="AG2546">
            <v>1883775</v>
          </cell>
          <cell r="AH2546">
            <v>13422727</v>
          </cell>
          <cell r="AI2546">
            <v>0</v>
          </cell>
        </row>
        <row r="2547">
          <cell r="A2547">
            <v>213020110</v>
          </cell>
          <cell r="C2547">
            <v>382752050</v>
          </cell>
          <cell r="D2547">
            <v>85738629</v>
          </cell>
          <cell r="E2547">
            <v>18950000</v>
          </cell>
          <cell r="F2547">
            <v>122439</v>
          </cell>
          <cell r="G2547">
            <v>13680000</v>
          </cell>
          <cell r="H2547">
            <v>4187818</v>
          </cell>
          <cell r="I2547">
            <v>22325770</v>
          </cell>
          <cell r="J2547">
            <v>0</v>
          </cell>
          <cell r="K2547">
            <v>0</v>
          </cell>
          <cell r="L2547">
            <v>790400</v>
          </cell>
          <cell r="M2547">
            <v>0</v>
          </cell>
          <cell r="N2547">
            <v>19627931</v>
          </cell>
          <cell r="O2547">
            <v>109163354</v>
          </cell>
          <cell r="P2547">
            <v>159746959</v>
          </cell>
          <cell r="Q2547">
            <v>4300000</v>
          </cell>
          <cell r="R2547">
            <v>18000000</v>
          </cell>
          <cell r="S2547">
            <v>527665</v>
          </cell>
          <cell r="T2547">
            <v>1830000</v>
          </cell>
          <cell r="U2547">
            <v>0</v>
          </cell>
          <cell r="V2547">
            <v>38526271</v>
          </cell>
          <cell r="W2547">
            <v>1855000</v>
          </cell>
          <cell r="X2547">
            <v>4560000</v>
          </cell>
          <cell r="Y2547">
            <v>0</v>
          </cell>
          <cell r="Z2547">
            <v>7000000</v>
          </cell>
          <cell r="AA2547">
            <v>0</v>
          </cell>
          <cell r="AB2547">
            <v>24107750</v>
          </cell>
          <cell r="AC2547">
            <v>0</v>
          </cell>
          <cell r="AD2547">
            <v>1500000</v>
          </cell>
          <cell r="AE2547">
            <v>114608719</v>
          </cell>
          <cell r="AF2547">
            <v>0</v>
          </cell>
          <cell r="AG2547">
            <v>150000</v>
          </cell>
          <cell r="AH2547">
            <v>10300000</v>
          </cell>
          <cell r="AI2547">
            <v>0</v>
          </cell>
        </row>
        <row r="2548">
          <cell r="A2548">
            <v>213020111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750000</v>
          </cell>
          <cell r="H2548">
            <v>0</v>
          </cell>
          <cell r="I2548">
            <v>310000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33000000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</row>
        <row r="2549">
          <cell r="A2549">
            <v>213020112</v>
          </cell>
          <cell r="C2549">
            <v>68751710</v>
          </cell>
          <cell r="D2549">
            <v>40382014</v>
          </cell>
          <cell r="E2549">
            <v>0</v>
          </cell>
          <cell r="F2549">
            <v>193900</v>
          </cell>
          <cell r="G2549">
            <v>34492200</v>
          </cell>
          <cell r="H2549">
            <v>107400000</v>
          </cell>
          <cell r="I2549">
            <v>5348362</v>
          </cell>
          <cell r="J2549">
            <v>0</v>
          </cell>
          <cell r="K2549">
            <v>150000</v>
          </cell>
          <cell r="L2549">
            <v>235500</v>
          </cell>
          <cell r="M2549">
            <v>0</v>
          </cell>
          <cell r="N2549">
            <v>10309569</v>
          </cell>
          <cell r="O2549">
            <v>24875391</v>
          </cell>
          <cell r="P2549">
            <v>0</v>
          </cell>
          <cell r="Q2549">
            <v>0</v>
          </cell>
          <cell r="R2549">
            <v>66155157</v>
          </cell>
          <cell r="S2549">
            <v>0</v>
          </cell>
          <cell r="T2549">
            <v>21330000</v>
          </cell>
          <cell r="U2549">
            <v>0</v>
          </cell>
          <cell r="V2549">
            <v>19051533</v>
          </cell>
          <cell r="W2549">
            <v>38589000</v>
          </cell>
          <cell r="X2549">
            <v>18133898</v>
          </cell>
          <cell r="Y2549">
            <v>0</v>
          </cell>
          <cell r="Z2549">
            <v>500000</v>
          </cell>
          <cell r="AA2549">
            <v>0</v>
          </cell>
          <cell r="AB2549">
            <v>38316526</v>
          </cell>
          <cell r="AC2549">
            <v>1750000</v>
          </cell>
          <cell r="AD2549">
            <v>1000000</v>
          </cell>
          <cell r="AE2549">
            <v>103170307</v>
          </cell>
          <cell r="AF2549">
            <v>40174187</v>
          </cell>
          <cell r="AG2549">
            <v>180545</v>
          </cell>
          <cell r="AH2549">
            <v>2500000</v>
          </cell>
          <cell r="AI2549">
            <v>0</v>
          </cell>
        </row>
        <row r="2550">
          <cell r="A2550">
            <v>213020113</v>
          </cell>
          <cell r="C2550">
            <v>608768</v>
          </cell>
          <cell r="D2550">
            <v>290000</v>
          </cell>
          <cell r="E2550">
            <v>0</v>
          </cell>
          <cell r="F2550">
            <v>0</v>
          </cell>
          <cell r="G2550">
            <v>189227639</v>
          </cell>
          <cell r="H2550">
            <v>0</v>
          </cell>
          <cell r="I2550">
            <v>0</v>
          </cell>
          <cell r="J2550">
            <v>7510797</v>
          </cell>
          <cell r="K2550">
            <v>0</v>
          </cell>
          <cell r="L2550">
            <v>0</v>
          </cell>
          <cell r="M2550">
            <v>15450000</v>
          </cell>
          <cell r="N2550">
            <v>104638667</v>
          </cell>
          <cell r="O2550">
            <v>5600000</v>
          </cell>
          <cell r="P2550">
            <v>0</v>
          </cell>
          <cell r="Q2550">
            <v>419437166</v>
          </cell>
          <cell r="R2550">
            <v>12500000</v>
          </cell>
          <cell r="S2550">
            <v>0</v>
          </cell>
          <cell r="T2550">
            <v>5000000</v>
          </cell>
          <cell r="U2550">
            <v>0</v>
          </cell>
          <cell r="V2550">
            <v>0</v>
          </cell>
          <cell r="W2550">
            <v>0</v>
          </cell>
          <cell r="X2550">
            <v>500000</v>
          </cell>
          <cell r="Y2550">
            <v>94968400</v>
          </cell>
          <cell r="Z2550">
            <v>25500000</v>
          </cell>
          <cell r="AA2550">
            <v>0</v>
          </cell>
          <cell r="AB2550">
            <v>0</v>
          </cell>
          <cell r="AC2550">
            <v>263500000</v>
          </cell>
          <cell r="AD2550">
            <v>0</v>
          </cell>
          <cell r="AE2550">
            <v>174806930</v>
          </cell>
          <cell r="AF2550">
            <v>7038306</v>
          </cell>
          <cell r="AG2550">
            <v>5000000</v>
          </cell>
          <cell r="AH2550">
            <v>0</v>
          </cell>
          <cell r="AI2550">
            <v>0</v>
          </cell>
        </row>
        <row r="2551">
          <cell r="A2551">
            <v>213020120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</row>
        <row r="2552">
          <cell r="A2552">
            <v>213020200</v>
          </cell>
          <cell r="C2552">
            <v>12422854</v>
          </cell>
          <cell r="D2552">
            <v>360000</v>
          </cell>
          <cell r="E2552">
            <v>23788954</v>
          </cell>
          <cell r="F2552">
            <v>30000</v>
          </cell>
          <cell r="G2552">
            <v>324800154</v>
          </cell>
          <cell r="H2552">
            <v>210480769</v>
          </cell>
          <cell r="I2552">
            <v>706000</v>
          </cell>
          <cell r="J2552">
            <v>0</v>
          </cell>
          <cell r="K2552">
            <v>53320547</v>
          </cell>
          <cell r="L2552">
            <v>0</v>
          </cell>
          <cell r="M2552">
            <v>0</v>
          </cell>
          <cell r="N2552">
            <v>161787343</v>
          </cell>
          <cell r="O2552">
            <v>0</v>
          </cell>
          <cell r="P2552">
            <v>0</v>
          </cell>
          <cell r="Q2552">
            <v>0</v>
          </cell>
          <cell r="R2552">
            <v>158118400</v>
          </cell>
          <cell r="S2552">
            <v>0</v>
          </cell>
          <cell r="T2552">
            <v>160741463</v>
          </cell>
          <cell r="U2552">
            <v>0</v>
          </cell>
          <cell r="V2552">
            <v>71848975</v>
          </cell>
          <cell r="W2552">
            <v>0</v>
          </cell>
          <cell r="X2552">
            <v>120254133</v>
          </cell>
          <cell r="Y2552">
            <v>0</v>
          </cell>
          <cell r="Z2552">
            <v>0</v>
          </cell>
          <cell r="AA2552">
            <v>0</v>
          </cell>
          <cell r="AB2552">
            <v>409128371</v>
          </cell>
          <cell r="AC2552">
            <v>50000000</v>
          </cell>
          <cell r="AD2552">
            <v>245356654</v>
          </cell>
          <cell r="AE2552">
            <v>152677119</v>
          </cell>
          <cell r="AF2552">
            <v>5000006</v>
          </cell>
          <cell r="AG2552">
            <v>100000</v>
          </cell>
          <cell r="AH2552">
            <v>337713092</v>
          </cell>
          <cell r="AI2552">
            <v>0</v>
          </cell>
        </row>
        <row r="2553">
          <cell r="A2553">
            <v>213020201</v>
          </cell>
          <cell r="C2553">
            <v>12422854</v>
          </cell>
          <cell r="D2553">
            <v>360000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125788011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</row>
        <row r="2554">
          <cell r="A2554">
            <v>213020202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</row>
        <row r="2555">
          <cell r="A2555">
            <v>213020203</v>
          </cell>
          <cell r="C2555">
            <v>0</v>
          </cell>
          <cell r="D2555">
            <v>0</v>
          </cell>
          <cell r="E2555">
            <v>23788954</v>
          </cell>
          <cell r="F2555">
            <v>30000</v>
          </cell>
          <cell r="G2555">
            <v>324800154</v>
          </cell>
          <cell r="H2555">
            <v>210480769</v>
          </cell>
          <cell r="I2555">
            <v>706000</v>
          </cell>
          <cell r="J2555">
            <v>0</v>
          </cell>
          <cell r="K2555">
            <v>29053425</v>
          </cell>
          <cell r="L2555">
            <v>0</v>
          </cell>
          <cell r="M2555">
            <v>0</v>
          </cell>
          <cell r="N2555">
            <v>161787343</v>
          </cell>
          <cell r="O2555">
            <v>0</v>
          </cell>
          <cell r="P2555">
            <v>0</v>
          </cell>
          <cell r="Q2555">
            <v>0</v>
          </cell>
          <cell r="R2555">
            <v>158118400</v>
          </cell>
          <cell r="S2555">
            <v>0</v>
          </cell>
          <cell r="T2555">
            <v>34953452</v>
          </cell>
          <cell r="U2555">
            <v>0</v>
          </cell>
          <cell r="V2555">
            <v>71848975</v>
          </cell>
          <cell r="W2555">
            <v>0</v>
          </cell>
          <cell r="X2555">
            <v>120254133</v>
          </cell>
          <cell r="Y2555">
            <v>0</v>
          </cell>
          <cell r="Z2555">
            <v>0</v>
          </cell>
          <cell r="AA2555">
            <v>0</v>
          </cell>
          <cell r="AB2555">
            <v>409128371</v>
          </cell>
          <cell r="AC2555">
            <v>50000000</v>
          </cell>
          <cell r="AD2555">
            <v>245356654</v>
          </cell>
          <cell r="AE2555">
            <v>152677119</v>
          </cell>
          <cell r="AF2555">
            <v>5000006</v>
          </cell>
          <cell r="AG2555">
            <v>100000</v>
          </cell>
          <cell r="AH2555">
            <v>337713092</v>
          </cell>
          <cell r="AI2555">
            <v>0</v>
          </cell>
        </row>
        <row r="2556">
          <cell r="A2556">
            <v>213020204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</row>
        <row r="2557">
          <cell r="A2557">
            <v>213020205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</row>
        <row r="2558">
          <cell r="A2558">
            <v>213020206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24267122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</row>
        <row r="2559">
          <cell r="A2559">
            <v>213020207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</row>
        <row r="2560">
          <cell r="A2560">
            <v>213020208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</row>
        <row r="2561">
          <cell r="A2561">
            <v>213020209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</row>
        <row r="2562">
          <cell r="A2562">
            <v>213020300</v>
          </cell>
          <cell r="C2562">
            <v>22752462</v>
          </cell>
          <cell r="D2562">
            <v>159746953</v>
          </cell>
          <cell r="E2562">
            <v>159746953</v>
          </cell>
          <cell r="F2562">
            <v>182499415</v>
          </cell>
          <cell r="G2562">
            <v>649513981</v>
          </cell>
          <cell r="H2562">
            <v>182451408</v>
          </cell>
          <cell r="I2562">
            <v>182451420</v>
          </cell>
          <cell r="J2562">
            <v>159746953</v>
          </cell>
          <cell r="K2562">
            <v>182499415</v>
          </cell>
          <cell r="L2562">
            <v>182499415</v>
          </cell>
          <cell r="M2562">
            <v>182499415</v>
          </cell>
          <cell r="N2562">
            <v>0</v>
          </cell>
          <cell r="O2562">
            <v>159746953</v>
          </cell>
          <cell r="P2562">
            <v>0</v>
          </cell>
          <cell r="Q2562">
            <v>159746953</v>
          </cell>
          <cell r="R2562">
            <v>182499428</v>
          </cell>
          <cell r="S2562">
            <v>182499415</v>
          </cell>
          <cell r="T2562">
            <v>159746953</v>
          </cell>
          <cell r="U2562">
            <v>0</v>
          </cell>
          <cell r="V2562">
            <v>0</v>
          </cell>
          <cell r="W2562">
            <v>182499415</v>
          </cell>
          <cell r="X2562">
            <v>182499415</v>
          </cell>
          <cell r="Y2562">
            <v>516567120</v>
          </cell>
          <cell r="Z2562">
            <v>182499415</v>
          </cell>
          <cell r="AA2562">
            <v>65137294</v>
          </cell>
          <cell r="AB2562">
            <v>182451408</v>
          </cell>
          <cell r="AC2562">
            <v>182499415</v>
          </cell>
          <cell r="AD2562">
            <v>159746953</v>
          </cell>
          <cell r="AE2562">
            <v>0</v>
          </cell>
          <cell r="AF2562">
            <v>159746953</v>
          </cell>
          <cell r="AG2562">
            <v>190666859</v>
          </cell>
          <cell r="AH2562">
            <v>0</v>
          </cell>
          <cell r="AI2562">
            <v>0</v>
          </cell>
        </row>
        <row r="2563">
          <cell r="A2563">
            <v>213020301</v>
          </cell>
          <cell r="C2563">
            <v>0</v>
          </cell>
          <cell r="D2563">
            <v>159746953</v>
          </cell>
          <cell r="E2563">
            <v>159746953</v>
          </cell>
          <cell r="F2563">
            <v>159746953</v>
          </cell>
          <cell r="G2563">
            <v>159746953</v>
          </cell>
          <cell r="H2563">
            <v>159698958</v>
          </cell>
          <cell r="I2563">
            <v>159698958</v>
          </cell>
          <cell r="J2563">
            <v>159746953</v>
          </cell>
          <cell r="K2563">
            <v>159746953</v>
          </cell>
          <cell r="L2563">
            <v>159746953</v>
          </cell>
          <cell r="M2563">
            <v>159746953</v>
          </cell>
          <cell r="N2563">
            <v>0</v>
          </cell>
          <cell r="O2563">
            <v>159746953</v>
          </cell>
          <cell r="P2563">
            <v>0</v>
          </cell>
          <cell r="Q2563">
            <v>159746953</v>
          </cell>
          <cell r="R2563">
            <v>159746953</v>
          </cell>
          <cell r="S2563">
            <v>159746953</v>
          </cell>
          <cell r="T2563">
            <v>159746953</v>
          </cell>
          <cell r="U2563">
            <v>0</v>
          </cell>
          <cell r="V2563">
            <v>0</v>
          </cell>
          <cell r="W2563">
            <v>159746953</v>
          </cell>
          <cell r="X2563">
            <v>159746953</v>
          </cell>
          <cell r="Y2563">
            <v>159746953</v>
          </cell>
          <cell r="Z2563">
            <v>159746953</v>
          </cell>
          <cell r="AA2563">
            <v>59126555</v>
          </cell>
          <cell r="AB2563">
            <v>159236490</v>
          </cell>
          <cell r="AC2563">
            <v>159746953</v>
          </cell>
          <cell r="AD2563">
            <v>159746953</v>
          </cell>
          <cell r="AE2563">
            <v>0</v>
          </cell>
          <cell r="AF2563">
            <v>159746953</v>
          </cell>
          <cell r="AG2563">
            <v>159746953</v>
          </cell>
          <cell r="AH2563">
            <v>0</v>
          </cell>
          <cell r="AI2563">
            <v>0</v>
          </cell>
        </row>
        <row r="2564">
          <cell r="A2564">
            <v>213020302</v>
          </cell>
          <cell r="C2564">
            <v>22752462</v>
          </cell>
          <cell r="D2564">
            <v>0</v>
          </cell>
          <cell r="E2564">
            <v>0</v>
          </cell>
          <cell r="F2564">
            <v>22752462</v>
          </cell>
          <cell r="G2564">
            <v>489767028</v>
          </cell>
          <cell r="H2564">
            <v>22752450</v>
          </cell>
          <cell r="I2564">
            <v>22752462</v>
          </cell>
          <cell r="J2564">
            <v>0</v>
          </cell>
          <cell r="K2564">
            <v>22752462</v>
          </cell>
          <cell r="L2564">
            <v>22752462</v>
          </cell>
          <cell r="M2564">
            <v>22752462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22752475</v>
          </cell>
          <cell r="S2564">
            <v>22752462</v>
          </cell>
          <cell r="T2564">
            <v>0</v>
          </cell>
          <cell r="U2564">
            <v>0</v>
          </cell>
          <cell r="V2564">
            <v>0</v>
          </cell>
          <cell r="W2564">
            <v>22752462</v>
          </cell>
          <cell r="X2564">
            <v>22752462</v>
          </cell>
          <cell r="Y2564">
            <v>356820167</v>
          </cell>
          <cell r="Z2564">
            <v>22752462</v>
          </cell>
          <cell r="AA2564">
            <v>6010739</v>
          </cell>
          <cell r="AB2564">
            <v>23214918</v>
          </cell>
          <cell r="AC2564">
            <v>22752462</v>
          </cell>
          <cell r="AD2564">
            <v>0</v>
          </cell>
          <cell r="AE2564">
            <v>0</v>
          </cell>
          <cell r="AF2564">
            <v>0</v>
          </cell>
          <cell r="AG2564">
            <v>30919906</v>
          </cell>
          <cell r="AH2564">
            <v>0</v>
          </cell>
          <cell r="AI2564">
            <v>0</v>
          </cell>
        </row>
        <row r="2565">
          <cell r="A2565">
            <v>213030000</v>
          </cell>
          <cell r="C2565">
            <v>808862267</v>
          </cell>
          <cell r="D2565">
            <v>138500000</v>
          </cell>
          <cell r="E2565">
            <v>0</v>
          </cell>
          <cell r="F2565">
            <v>0</v>
          </cell>
          <cell r="G2565">
            <v>1522988455</v>
          </cell>
          <cell r="H2565">
            <v>1039493245</v>
          </cell>
          <cell r="I2565">
            <v>136024148</v>
          </cell>
          <cell r="J2565">
            <v>341360696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53674080</v>
          </cell>
          <cell r="R2565">
            <v>1913958250</v>
          </cell>
          <cell r="S2565">
            <v>65652000</v>
          </cell>
          <cell r="T2565">
            <v>100960000</v>
          </cell>
          <cell r="U2565">
            <v>252188000</v>
          </cell>
          <cell r="V2565">
            <v>265902655</v>
          </cell>
          <cell r="W2565">
            <v>334490791</v>
          </cell>
          <cell r="X2565">
            <v>95241022</v>
          </cell>
          <cell r="Y2565">
            <v>103711381</v>
          </cell>
          <cell r="Z2565">
            <v>194301361</v>
          </cell>
          <cell r="AA2565">
            <v>0</v>
          </cell>
          <cell r="AB2565">
            <v>0</v>
          </cell>
          <cell r="AC2565">
            <v>399149760</v>
          </cell>
          <cell r="AD2565">
            <v>459443487</v>
          </cell>
          <cell r="AE2565">
            <v>1938403298</v>
          </cell>
          <cell r="AF2565">
            <v>35099000</v>
          </cell>
          <cell r="AG2565">
            <v>0</v>
          </cell>
          <cell r="AH2565">
            <v>0</v>
          </cell>
          <cell r="AI2565">
            <v>0</v>
          </cell>
        </row>
        <row r="2566">
          <cell r="A2566">
            <v>213030100</v>
          </cell>
          <cell r="C2566">
            <v>808862267</v>
          </cell>
          <cell r="D2566">
            <v>138500000</v>
          </cell>
          <cell r="E2566">
            <v>0</v>
          </cell>
          <cell r="F2566">
            <v>0</v>
          </cell>
          <cell r="G2566">
            <v>1449883591</v>
          </cell>
          <cell r="H2566">
            <v>1039493245</v>
          </cell>
          <cell r="I2566">
            <v>136024148</v>
          </cell>
          <cell r="J2566">
            <v>341360696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53674080</v>
          </cell>
          <cell r="R2566">
            <v>1913958250</v>
          </cell>
          <cell r="S2566">
            <v>65652000</v>
          </cell>
          <cell r="T2566">
            <v>100960000</v>
          </cell>
          <cell r="U2566">
            <v>252188000</v>
          </cell>
          <cell r="V2566">
            <v>265902655</v>
          </cell>
          <cell r="W2566">
            <v>334490791</v>
          </cell>
          <cell r="X2566">
            <v>95241022</v>
          </cell>
          <cell r="Y2566">
            <v>0</v>
          </cell>
          <cell r="Z2566">
            <v>194301361</v>
          </cell>
          <cell r="AA2566">
            <v>0</v>
          </cell>
          <cell r="AB2566">
            <v>0</v>
          </cell>
          <cell r="AC2566">
            <v>339149760</v>
          </cell>
          <cell r="AD2566">
            <v>459443487</v>
          </cell>
          <cell r="AE2566">
            <v>1938403298</v>
          </cell>
          <cell r="AF2566">
            <v>35099000</v>
          </cell>
          <cell r="AG2566">
            <v>0</v>
          </cell>
          <cell r="AH2566">
            <v>0</v>
          </cell>
          <cell r="AI2566">
            <v>0</v>
          </cell>
        </row>
        <row r="2567">
          <cell r="A2567">
            <v>213030101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</row>
        <row r="2568">
          <cell r="A2568">
            <v>213030102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</row>
        <row r="2569">
          <cell r="A2569">
            <v>213030103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</row>
        <row r="2570">
          <cell r="A2570">
            <v>213030104</v>
          </cell>
          <cell r="C2570">
            <v>808862267</v>
          </cell>
          <cell r="D2570">
            <v>138500000</v>
          </cell>
          <cell r="E2570">
            <v>0</v>
          </cell>
          <cell r="F2570">
            <v>0</v>
          </cell>
          <cell r="G2570">
            <v>1224501219</v>
          </cell>
          <cell r="H2570">
            <v>867549245</v>
          </cell>
          <cell r="I2570">
            <v>54900000</v>
          </cell>
          <cell r="J2570">
            <v>341360696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381594000</v>
          </cell>
          <cell r="S2570">
            <v>65652000</v>
          </cell>
          <cell r="T2570">
            <v>84140000</v>
          </cell>
          <cell r="U2570">
            <v>85780000</v>
          </cell>
          <cell r="V2570">
            <v>265902655</v>
          </cell>
          <cell r="W2570">
            <v>275990791</v>
          </cell>
          <cell r="X2570">
            <v>71487322</v>
          </cell>
          <cell r="Y2570">
            <v>0</v>
          </cell>
          <cell r="Z2570">
            <v>194301361</v>
          </cell>
          <cell r="AA2570">
            <v>0</v>
          </cell>
          <cell r="AB2570">
            <v>0</v>
          </cell>
          <cell r="AC2570">
            <v>259149760</v>
          </cell>
          <cell r="AD2570">
            <v>459443487</v>
          </cell>
          <cell r="AE2570">
            <v>1938403298</v>
          </cell>
          <cell r="AF2570">
            <v>35099000</v>
          </cell>
          <cell r="AG2570">
            <v>0</v>
          </cell>
          <cell r="AH2570">
            <v>0</v>
          </cell>
          <cell r="AI2570">
            <v>0</v>
          </cell>
        </row>
        <row r="2571">
          <cell r="A2571">
            <v>213030105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</row>
        <row r="2572">
          <cell r="A2572">
            <v>213030106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9500000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58500000</v>
          </cell>
          <cell r="X2572">
            <v>23753700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</row>
        <row r="2573">
          <cell r="A2573">
            <v>213030107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</row>
        <row r="2574">
          <cell r="A2574">
            <v>213030108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</row>
        <row r="2575">
          <cell r="A2575">
            <v>213030109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</row>
        <row r="2576">
          <cell r="A2576">
            <v>213030110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60000000</v>
          </cell>
          <cell r="I2576">
            <v>81124148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</row>
        <row r="2577">
          <cell r="A2577">
            <v>213030111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166408000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</row>
        <row r="2578">
          <cell r="A2578">
            <v>213030112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</row>
        <row r="2579">
          <cell r="A2579">
            <v>213030113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215882372</v>
          </cell>
          <cell r="H2579">
            <v>111944000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53674080</v>
          </cell>
          <cell r="R2579">
            <v>1532364250</v>
          </cell>
          <cell r="S2579">
            <v>0</v>
          </cell>
          <cell r="T2579">
            <v>16820000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80000000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</row>
        <row r="2580">
          <cell r="A2580">
            <v>213030120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</row>
        <row r="2581">
          <cell r="A2581">
            <v>213030200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60000000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</row>
        <row r="2582">
          <cell r="A2582">
            <v>213030201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</row>
        <row r="2583">
          <cell r="A2583">
            <v>213030202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</row>
        <row r="2584">
          <cell r="A2584">
            <v>213030203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60000000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</row>
        <row r="2585">
          <cell r="A2585">
            <v>213030204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</row>
        <row r="2586">
          <cell r="A2586">
            <v>213030205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</row>
        <row r="2587">
          <cell r="A2587">
            <v>213030206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</row>
        <row r="2588">
          <cell r="A2588">
            <v>213030207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</row>
        <row r="2589">
          <cell r="A2589">
            <v>213030208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</row>
        <row r="2590">
          <cell r="A2590">
            <v>213030209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</row>
        <row r="2591">
          <cell r="A2591">
            <v>213030300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73104864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103711381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</row>
        <row r="2592">
          <cell r="A2592">
            <v>213030301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</row>
        <row r="2593">
          <cell r="A2593">
            <v>213030302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73104864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103711381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</row>
        <row r="2594">
          <cell r="A2594">
            <v>213040000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</row>
        <row r="2595">
          <cell r="A2595">
            <v>213040100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</row>
        <row r="2596">
          <cell r="A2596">
            <v>213040101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</row>
        <row r="2597">
          <cell r="A2597">
            <v>213040102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</row>
        <row r="2598">
          <cell r="A2598">
            <v>213040103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</row>
        <row r="2599">
          <cell r="A2599">
            <v>213040104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</row>
        <row r="2600">
          <cell r="A2600">
            <v>213040105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</row>
        <row r="2601">
          <cell r="A2601">
            <v>213040106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</row>
        <row r="2602">
          <cell r="A2602">
            <v>213040107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</row>
        <row r="2603">
          <cell r="A2603">
            <v>213040108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</row>
        <row r="2604">
          <cell r="A2604">
            <v>213040109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</row>
        <row r="2605">
          <cell r="A2605">
            <v>213040110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</row>
        <row r="2606">
          <cell r="A2606">
            <v>213040111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</row>
        <row r="2607">
          <cell r="A2607">
            <v>213040112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</row>
        <row r="2608">
          <cell r="A2608">
            <v>213040113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</row>
        <row r="2609">
          <cell r="A2609">
            <v>213040120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</row>
        <row r="2610">
          <cell r="A2610">
            <v>214000000</v>
          </cell>
          <cell r="C2610">
            <v>2127428432</v>
          </cell>
          <cell r="D2610">
            <v>10850575</v>
          </cell>
          <cell r="E2610">
            <v>24801542</v>
          </cell>
          <cell r="F2610">
            <v>529390636</v>
          </cell>
          <cell r="G2610">
            <v>775648332</v>
          </cell>
          <cell r="H2610">
            <v>1666501304</v>
          </cell>
          <cell r="I2610">
            <v>440917098</v>
          </cell>
          <cell r="J2610">
            <v>0</v>
          </cell>
          <cell r="K2610">
            <v>51692400</v>
          </cell>
          <cell r="L2610">
            <v>312709169</v>
          </cell>
          <cell r="M2610">
            <v>348308410</v>
          </cell>
          <cell r="N2610">
            <v>681679025</v>
          </cell>
          <cell r="O2610">
            <v>1078186403</v>
          </cell>
          <cell r="P2610">
            <v>817314</v>
          </cell>
          <cell r="Q2610">
            <v>87135020</v>
          </cell>
          <cell r="R2610">
            <v>613826333</v>
          </cell>
          <cell r="S2610">
            <v>139506863</v>
          </cell>
          <cell r="T2610">
            <v>1345892400</v>
          </cell>
          <cell r="U2610">
            <v>0</v>
          </cell>
          <cell r="V2610">
            <v>3054435931</v>
          </cell>
          <cell r="W2610">
            <v>293239576</v>
          </cell>
          <cell r="X2610">
            <v>625022697</v>
          </cell>
          <cell r="Y2610">
            <v>76170294</v>
          </cell>
          <cell r="Z2610">
            <v>281909982</v>
          </cell>
          <cell r="AA2610">
            <v>162564029</v>
          </cell>
          <cell r="AB2610">
            <v>1790505291</v>
          </cell>
          <cell r="AC2610">
            <v>0</v>
          </cell>
          <cell r="AD2610">
            <v>428422514</v>
          </cell>
          <cell r="AE2610">
            <v>5713580729</v>
          </cell>
          <cell r="AF2610">
            <v>155023449</v>
          </cell>
          <cell r="AG2610">
            <v>757846079</v>
          </cell>
          <cell r="AH2610">
            <v>208795370</v>
          </cell>
          <cell r="AI2610">
            <v>758839463</v>
          </cell>
        </row>
        <row r="2611">
          <cell r="A2611">
            <v>214010000</v>
          </cell>
          <cell r="C2611">
            <v>1086054885</v>
          </cell>
          <cell r="D2611">
            <v>0</v>
          </cell>
          <cell r="E2611">
            <v>24801542</v>
          </cell>
          <cell r="F2611">
            <v>174440107</v>
          </cell>
          <cell r="G2611">
            <v>472414777</v>
          </cell>
          <cell r="H2611">
            <v>1008553925</v>
          </cell>
          <cell r="I2611">
            <v>68915886</v>
          </cell>
          <cell r="J2611">
            <v>0</v>
          </cell>
          <cell r="K2611">
            <v>0</v>
          </cell>
          <cell r="L2611">
            <v>32655238</v>
          </cell>
          <cell r="M2611">
            <v>28191564</v>
          </cell>
          <cell r="N2611">
            <v>859522</v>
          </cell>
          <cell r="O2611">
            <v>354294567</v>
          </cell>
          <cell r="P2611">
            <v>0</v>
          </cell>
          <cell r="Q2611">
            <v>87123939</v>
          </cell>
          <cell r="R2611">
            <v>181743272</v>
          </cell>
          <cell r="S2611">
            <v>139506863</v>
          </cell>
          <cell r="T2611">
            <v>1234508432</v>
          </cell>
          <cell r="U2611">
            <v>0</v>
          </cell>
          <cell r="V2611">
            <v>555846632</v>
          </cell>
          <cell r="W2611">
            <v>293239576</v>
          </cell>
          <cell r="X2611">
            <v>625022697</v>
          </cell>
          <cell r="Y2611">
            <v>76170294</v>
          </cell>
          <cell r="Z2611">
            <v>281909982</v>
          </cell>
          <cell r="AA2611">
            <v>0</v>
          </cell>
          <cell r="AB2611">
            <v>1790505291</v>
          </cell>
          <cell r="AC2611">
            <v>0</v>
          </cell>
          <cell r="AD2611">
            <v>428422514</v>
          </cell>
          <cell r="AE2611">
            <v>3195896170</v>
          </cell>
          <cell r="AF2611">
            <v>153910190</v>
          </cell>
          <cell r="AG2611">
            <v>757846079</v>
          </cell>
          <cell r="AH2611">
            <v>204711227</v>
          </cell>
          <cell r="AI2611">
            <v>54460804</v>
          </cell>
        </row>
        <row r="2612">
          <cell r="A2612">
            <v>214010100</v>
          </cell>
          <cell r="C2612">
            <v>1086054885</v>
          </cell>
          <cell r="D2612">
            <v>0</v>
          </cell>
          <cell r="E2612">
            <v>24801542</v>
          </cell>
          <cell r="F2612">
            <v>174289726</v>
          </cell>
          <cell r="G2612">
            <v>472414777</v>
          </cell>
          <cell r="H2612">
            <v>1008553925</v>
          </cell>
          <cell r="I2612">
            <v>68915886</v>
          </cell>
          <cell r="J2612">
            <v>0</v>
          </cell>
          <cell r="K2612">
            <v>0</v>
          </cell>
          <cell r="L2612">
            <v>31651561</v>
          </cell>
          <cell r="M2612">
            <v>28191564</v>
          </cell>
          <cell r="N2612">
            <v>859522</v>
          </cell>
          <cell r="O2612">
            <v>354294567</v>
          </cell>
          <cell r="P2612">
            <v>0</v>
          </cell>
          <cell r="Q2612">
            <v>87123939</v>
          </cell>
          <cell r="R2612">
            <v>181730564</v>
          </cell>
          <cell r="S2612">
            <v>139506863</v>
          </cell>
          <cell r="T2612">
            <v>1234508432</v>
          </cell>
          <cell r="U2612">
            <v>0</v>
          </cell>
          <cell r="V2612">
            <v>544858573</v>
          </cell>
          <cell r="W2612">
            <v>293135934</v>
          </cell>
          <cell r="X2612">
            <v>625010258</v>
          </cell>
          <cell r="Y2612">
            <v>76170294</v>
          </cell>
          <cell r="Z2612">
            <v>281909982</v>
          </cell>
          <cell r="AA2612">
            <v>0</v>
          </cell>
          <cell r="AB2612">
            <v>1773928673</v>
          </cell>
          <cell r="AC2612">
            <v>0</v>
          </cell>
          <cell r="AD2612">
            <v>428251500</v>
          </cell>
          <cell r="AE2612">
            <v>3195896170</v>
          </cell>
          <cell r="AF2612">
            <v>153904565</v>
          </cell>
          <cell r="AG2612">
            <v>757368968</v>
          </cell>
          <cell r="AH2612">
            <v>204711227</v>
          </cell>
          <cell r="AI2612">
            <v>52673425</v>
          </cell>
        </row>
        <row r="2613">
          <cell r="A2613">
            <v>214010101</v>
          </cell>
          <cell r="C2613">
            <v>43644700</v>
          </cell>
          <cell r="D2613">
            <v>0</v>
          </cell>
          <cell r="E2613">
            <v>6832269</v>
          </cell>
          <cell r="F2613">
            <v>16014248</v>
          </cell>
          <cell r="G2613">
            <v>12835314</v>
          </cell>
          <cell r="H2613">
            <v>27138490</v>
          </cell>
          <cell r="I2613">
            <v>4790478</v>
          </cell>
          <cell r="J2613">
            <v>0</v>
          </cell>
          <cell r="K2613">
            <v>0</v>
          </cell>
          <cell r="L2613">
            <v>3260617</v>
          </cell>
          <cell r="M2613">
            <v>154179</v>
          </cell>
          <cell r="N2613">
            <v>44084</v>
          </cell>
          <cell r="O2613">
            <v>34333199</v>
          </cell>
          <cell r="P2613">
            <v>0</v>
          </cell>
          <cell r="Q2613">
            <v>1154256</v>
          </cell>
          <cell r="R2613">
            <v>14988666</v>
          </cell>
          <cell r="S2613">
            <v>3453228</v>
          </cell>
          <cell r="T2613">
            <v>41273363</v>
          </cell>
          <cell r="U2613">
            <v>0</v>
          </cell>
          <cell r="V2613">
            <v>33149976</v>
          </cell>
          <cell r="W2613">
            <v>5939742</v>
          </cell>
          <cell r="X2613">
            <v>47795884</v>
          </cell>
          <cell r="Y2613">
            <v>392637</v>
          </cell>
          <cell r="Z2613">
            <v>9295618</v>
          </cell>
          <cell r="AA2613">
            <v>0</v>
          </cell>
          <cell r="AB2613">
            <v>94805821</v>
          </cell>
          <cell r="AC2613">
            <v>0</v>
          </cell>
          <cell r="AD2613">
            <v>34825195</v>
          </cell>
          <cell r="AE2613">
            <v>0</v>
          </cell>
          <cell r="AF2613">
            <v>0</v>
          </cell>
          <cell r="AG2613">
            <v>24101291</v>
          </cell>
          <cell r="AH2613">
            <v>8466901</v>
          </cell>
          <cell r="AI2613">
            <v>738592</v>
          </cell>
        </row>
        <row r="2614">
          <cell r="A2614">
            <v>214010102</v>
          </cell>
          <cell r="C2614">
            <v>15400126</v>
          </cell>
          <cell r="D2614">
            <v>0</v>
          </cell>
          <cell r="E2614">
            <v>0</v>
          </cell>
          <cell r="F2614">
            <v>1399950</v>
          </cell>
          <cell r="G2614">
            <v>12387840</v>
          </cell>
          <cell r="H2614">
            <v>4194206</v>
          </cell>
          <cell r="I2614">
            <v>1294083</v>
          </cell>
          <cell r="J2614">
            <v>0</v>
          </cell>
          <cell r="K2614">
            <v>0</v>
          </cell>
          <cell r="L2614">
            <v>3381453</v>
          </cell>
          <cell r="M2614">
            <v>1447338</v>
          </cell>
          <cell r="N2614">
            <v>0</v>
          </cell>
          <cell r="O2614">
            <v>2926016</v>
          </cell>
          <cell r="P2614">
            <v>0</v>
          </cell>
          <cell r="Q2614">
            <v>249869</v>
          </cell>
          <cell r="R2614">
            <v>4811742</v>
          </cell>
          <cell r="S2614">
            <v>26720</v>
          </cell>
          <cell r="T2614">
            <v>78406666</v>
          </cell>
          <cell r="U2614">
            <v>0</v>
          </cell>
          <cell r="V2614">
            <v>8342717</v>
          </cell>
          <cell r="W2614">
            <v>960190</v>
          </cell>
          <cell r="X2614">
            <v>7147474</v>
          </cell>
          <cell r="Y2614">
            <v>109731</v>
          </cell>
          <cell r="Z2614">
            <v>1142343</v>
          </cell>
          <cell r="AA2614">
            <v>0</v>
          </cell>
          <cell r="AB2614">
            <v>15311445</v>
          </cell>
          <cell r="AC2614">
            <v>0</v>
          </cell>
          <cell r="AD2614">
            <v>7304232</v>
          </cell>
          <cell r="AE2614">
            <v>0</v>
          </cell>
          <cell r="AF2614">
            <v>1156076</v>
          </cell>
          <cell r="AG2614">
            <v>27977908</v>
          </cell>
          <cell r="AH2614">
            <v>801947</v>
          </cell>
          <cell r="AI2614">
            <v>1436686</v>
          </cell>
        </row>
        <row r="2615">
          <cell r="A2615">
            <v>214010103</v>
          </cell>
          <cell r="C2615">
            <v>1887491</v>
          </cell>
          <cell r="D2615">
            <v>0</v>
          </cell>
          <cell r="E2615">
            <v>263535</v>
          </cell>
          <cell r="F2615">
            <v>493790</v>
          </cell>
          <cell r="G2615">
            <v>1270040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1948266</v>
          </cell>
          <cell r="M2615">
            <v>0</v>
          </cell>
          <cell r="N2615">
            <v>0</v>
          </cell>
          <cell r="O2615">
            <v>3857935</v>
          </cell>
          <cell r="P2615">
            <v>0</v>
          </cell>
          <cell r="Q2615">
            <v>1508656</v>
          </cell>
          <cell r="R2615">
            <v>5411330</v>
          </cell>
          <cell r="S2615">
            <v>1083037</v>
          </cell>
          <cell r="T2615">
            <v>458055</v>
          </cell>
          <cell r="U2615">
            <v>0</v>
          </cell>
          <cell r="V2615">
            <v>41707510</v>
          </cell>
          <cell r="W2615">
            <v>226893</v>
          </cell>
          <cell r="X2615">
            <v>3645695</v>
          </cell>
          <cell r="Y2615">
            <v>9012</v>
          </cell>
          <cell r="Z2615">
            <v>590830</v>
          </cell>
          <cell r="AA2615">
            <v>0</v>
          </cell>
          <cell r="AB2615">
            <v>150722974</v>
          </cell>
          <cell r="AC2615">
            <v>0</v>
          </cell>
          <cell r="AD2615">
            <v>1051934</v>
          </cell>
          <cell r="AE2615">
            <v>0</v>
          </cell>
          <cell r="AF2615">
            <v>70714</v>
          </cell>
          <cell r="AG2615">
            <v>1255806</v>
          </cell>
          <cell r="AH2615">
            <v>40014</v>
          </cell>
          <cell r="AI2615">
            <v>5313116</v>
          </cell>
        </row>
        <row r="2616">
          <cell r="A2616">
            <v>214010104</v>
          </cell>
          <cell r="C2616">
            <v>942281780</v>
          </cell>
          <cell r="D2616">
            <v>0</v>
          </cell>
          <cell r="E2616">
            <v>16172838</v>
          </cell>
          <cell r="F2616">
            <v>124880472</v>
          </cell>
          <cell r="G2616">
            <v>424014047</v>
          </cell>
          <cell r="H2616">
            <v>944044377</v>
          </cell>
          <cell r="I2616">
            <v>58708048</v>
          </cell>
          <cell r="J2616">
            <v>0</v>
          </cell>
          <cell r="K2616">
            <v>0</v>
          </cell>
          <cell r="L2616">
            <v>21959564</v>
          </cell>
          <cell r="M2616">
            <v>26107851</v>
          </cell>
          <cell r="N2616">
            <v>815438</v>
          </cell>
          <cell r="O2616">
            <v>252262730</v>
          </cell>
          <cell r="P2616">
            <v>0</v>
          </cell>
          <cell r="Q2616">
            <v>83465860</v>
          </cell>
          <cell r="R2616">
            <v>143435504</v>
          </cell>
          <cell r="S2616">
            <v>123893245</v>
          </cell>
          <cell r="T2616">
            <v>1075175187</v>
          </cell>
          <cell r="U2616">
            <v>0</v>
          </cell>
          <cell r="V2616">
            <v>421460079</v>
          </cell>
          <cell r="W2616">
            <v>278754790</v>
          </cell>
          <cell r="X2616">
            <v>500567859</v>
          </cell>
          <cell r="Y2616">
            <v>75393626</v>
          </cell>
          <cell r="Z2616">
            <v>264009422</v>
          </cell>
          <cell r="AA2616">
            <v>0</v>
          </cell>
          <cell r="AB2616">
            <v>1438870188</v>
          </cell>
          <cell r="AC2616">
            <v>0</v>
          </cell>
          <cell r="AD2616">
            <v>356339396</v>
          </cell>
          <cell r="AE2616">
            <v>3195896170</v>
          </cell>
          <cell r="AF2616">
            <v>152191173</v>
          </cell>
          <cell r="AG2616">
            <v>675663661</v>
          </cell>
          <cell r="AH2616">
            <v>175862656</v>
          </cell>
          <cell r="AI2616">
            <v>11341761</v>
          </cell>
        </row>
        <row r="2617">
          <cell r="A2617">
            <v>214010105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14143700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</row>
        <row r="2618">
          <cell r="A2618">
            <v>214010106</v>
          </cell>
          <cell r="C2618">
            <v>3931894</v>
          </cell>
          <cell r="D2618">
            <v>0</v>
          </cell>
          <cell r="E2618">
            <v>698355</v>
          </cell>
          <cell r="F2618">
            <v>3517459</v>
          </cell>
          <cell r="G2618">
            <v>6022408</v>
          </cell>
          <cell r="H2618">
            <v>8296229</v>
          </cell>
          <cell r="I2618">
            <v>2201345</v>
          </cell>
          <cell r="J2618">
            <v>0</v>
          </cell>
          <cell r="K2618">
            <v>0</v>
          </cell>
          <cell r="L2618">
            <v>647156</v>
          </cell>
          <cell r="M2618">
            <v>440018</v>
          </cell>
          <cell r="N2618">
            <v>0</v>
          </cell>
          <cell r="O2618">
            <v>9669390</v>
          </cell>
          <cell r="P2618">
            <v>0</v>
          </cell>
          <cell r="Q2618">
            <v>524389</v>
          </cell>
          <cell r="R2618">
            <v>8731130</v>
          </cell>
          <cell r="S2618">
            <v>1588825</v>
          </cell>
          <cell r="T2618">
            <v>18151352</v>
          </cell>
          <cell r="U2618">
            <v>0</v>
          </cell>
          <cell r="V2618">
            <v>14936529</v>
          </cell>
          <cell r="W2618">
            <v>926880</v>
          </cell>
          <cell r="X2618">
            <v>49037104</v>
          </cell>
          <cell r="Y2618">
            <v>43796</v>
          </cell>
          <cell r="Z2618">
            <v>4232886</v>
          </cell>
          <cell r="AA2618">
            <v>0</v>
          </cell>
          <cell r="AB2618">
            <v>30976486</v>
          </cell>
          <cell r="AC2618">
            <v>0</v>
          </cell>
          <cell r="AD2618">
            <v>5783551</v>
          </cell>
          <cell r="AE2618">
            <v>0</v>
          </cell>
          <cell r="AF2618">
            <v>0</v>
          </cell>
          <cell r="AG2618">
            <v>19845460</v>
          </cell>
          <cell r="AH2618">
            <v>13113347</v>
          </cell>
          <cell r="AI2618">
            <v>73699</v>
          </cell>
        </row>
        <row r="2619">
          <cell r="A2619">
            <v>214010107</v>
          </cell>
          <cell r="C2619">
            <v>393325</v>
          </cell>
          <cell r="D2619">
            <v>0</v>
          </cell>
          <cell r="E2619">
            <v>0</v>
          </cell>
          <cell r="F2619">
            <v>360964</v>
          </cell>
          <cell r="G2619">
            <v>205345</v>
          </cell>
          <cell r="H2619">
            <v>401517</v>
          </cell>
          <cell r="I2619">
            <v>49092</v>
          </cell>
          <cell r="J2619">
            <v>0</v>
          </cell>
          <cell r="K2619">
            <v>0</v>
          </cell>
          <cell r="L2619">
            <v>10549</v>
          </cell>
          <cell r="M2619">
            <v>28812</v>
          </cell>
          <cell r="N2619">
            <v>0</v>
          </cell>
          <cell r="O2619">
            <v>356372</v>
          </cell>
          <cell r="P2619">
            <v>0</v>
          </cell>
          <cell r="Q2619">
            <v>31733</v>
          </cell>
          <cell r="R2619">
            <v>474938</v>
          </cell>
          <cell r="S2619">
            <v>35357</v>
          </cell>
          <cell r="T2619">
            <v>456590</v>
          </cell>
          <cell r="U2619">
            <v>0</v>
          </cell>
          <cell r="V2619">
            <v>263713</v>
          </cell>
          <cell r="W2619">
            <v>87465</v>
          </cell>
          <cell r="X2619">
            <v>1975053</v>
          </cell>
          <cell r="Y2619">
            <v>0</v>
          </cell>
          <cell r="Z2619">
            <v>766754</v>
          </cell>
          <cell r="AA2619">
            <v>0</v>
          </cell>
          <cell r="AB2619">
            <v>1396259</v>
          </cell>
          <cell r="AC2619">
            <v>0</v>
          </cell>
          <cell r="AD2619">
            <v>453309</v>
          </cell>
          <cell r="AE2619">
            <v>0</v>
          </cell>
          <cell r="AF2619">
            <v>0</v>
          </cell>
          <cell r="AG2619">
            <v>1041160</v>
          </cell>
          <cell r="AH2619">
            <v>841713</v>
          </cell>
          <cell r="AI2619">
            <v>0</v>
          </cell>
        </row>
        <row r="2620">
          <cell r="A2620">
            <v>214010108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476000</v>
          </cell>
          <cell r="AG2620">
            <v>0</v>
          </cell>
          <cell r="AH2620">
            <v>0</v>
          </cell>
          <cell r="AI2620">
            <v>0</v>
          </cell>
        </row>
        <row r="2621">
          <cell r="A2621">
            <v>214010109</v>
          </cell>
          <cell r="C2621">
            <v>4204321</v>
          </cell>
          <cell r="D2621">
            <v>0</v>
          </cell>
          <cell r="E2621">
            <v>123998</v>
          </cell>
          <cell r="F2621">
            <v>0</v>
          </cell>
          <cell r="G2621">
            <v>17725</v>
          </cell>
          <cell r="H2621">
            <v>1762651</v>
          </cell>
          <cell r="I2621">
            <v>126265</v>
          </cell>
          <cell r="J2621">
            <v>0</v>
          </cell>
          <cell r="K2621">
            <v>0</v>
          </cell>
          <cell r="L2621">
            <v>400601</v>
          </cell>
          <cell r="M2621">
            <v>0</v>
          </cell>
          <cell r="N2621">
            <v>0</v>
          </cell>
          <cell r="O2621">
            <v>11429872</v>
          </cell>
          <cell r="P2621">
            <v>0</v>
          </cell>
          <cell r="Q2621">
            <v>12866</v>
          </cell>
          <cell r="R2621">
            <v>86798</v>
          </cell>
          <cell r="S2621">
            <v>79751</v>
          </cell>
          <cell r="T2621">
            <v>3671977</v>
          </cell>
          <cell r="U2621">
            <v>0</v>
          </cell>
          <cell r="V2621">
            <v>5351559</v>
          </cell>
          <cell r="W2621">
            <v>4698081</v>
          </cell>
          <cell r="X2621">
            <v>4097620</v>
          </cell>
          <cell r="Y2621">
            <v>0</v>
          </cell>
          <cell r="Z2621">
            <v>905063</v>
          </cell>
          <cell r="AA2621">
            <v>0</v>
          </cell>
          <cell r="AB2621">
            <v>20361220</v>
          </cell>
          <cell r="AC2621">
            <v>0</v>
          </cell>
          <cell r="AD2621">
            <v>13405607</v>
          </cell>
          <cell r="AE2621">
            <v>0</v>
          </cell>
          <cell r="AF2621">
            <v>10602</v>
          </cell>
          <cell r="AG2621">
            <v>1993196</v>
          </cell>
          <cell r="AH2621">
            <v>3770279</v>
          </cell>
          <cell r="AI2621">
            <v>23479171</v>
          </cell>
        </row>
        <row r="2622">
          <cell r="A2622">
            <v>214010110</v>
          </cell>
          <cell r="C2622">
            <v>57431164</v>
          </cell>
          <cell r="D2622">
            <v>0</v>
          </cell>
          <cell r="E2622">
            <v>266828</v>
          </cell>
          <cell r="F2622">
            <v>538672</v>
          </cell>
          <cell r="G2622">
            <v>1284718</v>
          </cell>
          <cell r="H2622">
            <v>3990621</v>
          </cell>
          <cell r="I2622">
            <v>1671667</v>
          </cell>
          <cell r="J2622">
            <v>0</v>
          </cell>
          <cell r="K2622">
            <v>0</v>
          </cell>
          <cell r="L2622">
            <v>34422</v>
          </cell>
          <cell r="M2622">
            <v>13366</v>
          </cell>
          <cell r="N2622">
            <v>0</v>
          </cell>
          <cell r="O2622">
            <v>2992721</v>
          </cell>
          <cell r="P2622">
            <v>0</v>
          </cell>
          <cell r="Q2622">
            <v>112413</v>
          </cell>
          <cell r="R2622">
            <v>1959785</v>
          </cell>
          <cell r="S2622">
            <v>963575</v>
          </cell>
          <cell r="T2622">
            <v>4526456</v>
          </cell>
          <cell r="U2622">
            <v>0</v>
          </cell>
          <cell r="V2622">
            <v>16173696</v>
          </cell>
          <cell r="W2622">
            <v>1170643</v>
          </cell>
          <cell r="X2622">
            <v>4497864</v>
          </cell>
          <cell r="Y2622">
            <v>221492</v>
          </cell>
          <cell r="Z2622">
            <v>833371</v>
          </cell>
          <cell r="AA2622">
            <v>0</v>
          </cell>
          <cell r="AB2622">
            <v>11433556</v>
          </cell>
          <cell r="AC2622">
            <v>0</v>
          </cell>
          <cell r="AD2622">
            <v>2340940</v>
          </cell>
          <cell r="AE2622">
            <v>0</v>
          </cell>
          <cell r="AF2622">
            <v>0</v>
          </cell>
          <cell r="AG2622">
            <v>5055562</v>
          </cell>
          <cell r="AH2622">
            <v>664376</v>
          </cell>
          <cell r="AI2622">
            <v>329523</v>
          </cell>
        </row>
        <row r="2623">
          <cell r="A2623">
            <v>214010111</v>
          </cell>
          <cell r="C2623">
            <v>2221942</v>
          </cell>
          <cell r="D2623">
            <v>0</v>
          </cell>
          <cell r="E2623">
            <v>0</v>
          </cell>
          <cell r="F2623">
            <v>0</v>
          </cell>
          <cell r="G2623">
            <v>128032</v>
          </cell>
          <cell r="H2623">
            <v>158377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128092</v>
          </cell>
          <cell r="P2623">
            <v>0</v>
          </cell>
          <cell r="Q2623">
            <v>36883</v>
          </cell>
          <cell r="R2623">
            <v>129576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3482275</v>
          </cell>
          <cell r="Y2623">
            <v>0</v>
          </cell>
          <cell r="Z2623">
            <v>90612</v>
          </cell>
          <cell r="AA2623">
            <v>0</v>
          </cell>
          <cell r="AB2623">
            <v>3357431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2045270</v>
          </cell>
        </row>
        <row r="2624">
          <cell r="A2624">
            <v>214010112</v>
          </cell>
          <cell r="C2624">
            <v>9721183</v>
          </cell>
          <cell r="D2624">
            <v>0</v>
          </cell>
          <cell r="E2624">
            <v>443719</v>
          </cell>
          <cell r="F2624">
            <v>27084171</v>
          </cell>
          <cell r="G2624">
            <v>105608</v>
          </cell>
          <cell r="H2624">
            <v>981194</v>
          </cell>
          <cell r="I2624">
            <v>74908</v>
          </cell>
          <cell r="J2624">
            <v>0</v>
          </cell>
          <cell r="K2624">
            <v>0</v>
          </cell>
          <cell r="L2624">
            <v>8933</v>
          </cell>
          <cell r="M2624">
            <v>0</v>
          </cell>
          <cell r="N2624">
            <v>0</v>
          </cell>
          <cell r="O2624">
            <v>28197132</v>
          </cell>
          <cell r="P2624">
            <v>0</v>
          </cell>
          <cell r="Q2624">
            <v>27014</v>
          </cell>
          <cell r="R2624">
            <v>1567977</v>
          </cell>
          <cell r="S2624">
            <v>518501</v>
          </cell>
          <cell r="T2624">
            <v>12388786</v>
          </cell>
          <cell r="U2624">
            <v>0</v>
          </cell>
          <cell r="V2624">
            <v>3462085</v>
          </cell>
          <cell r="W2624">
            <v>371250</v>
          </cell>
          <cell r="X2624">
            <v>2763430</v>
          </cell>
          <cell r="Y2624">
            <v>0</v>
          </cell>
          <cell r="Z2624">
            <v>43083</v>
          </cell>
          <cell r="AA2624">
            <v>0</v>
          </cell>
          <cell r="AB2624">
            <v>5903684</v>
          </cell>
          <cell r="AC2624">
            <v>0</v>
          </cell>
          <cell r="AD2624">
            <v>6524328</v>
          </cell>
          <cell r="AE2624">
            <v>0</v>
          </cell>
          <cell r="AF2624">
            <v>0</v>
          </cell>
          <cell r="AG2624">
            <v>434924</v>
          </cell>
          <cell r="AH2624">
            <v>1149994</v>
          </cell>
          <cell r="AI2624">
            <v>7915607</v>
          </cell>
        </row>
        <row r="2625">
          <cell r="A2625">
            <v>214010113</v>
          </cell>
          <cell r="C2625">
            <v>4936959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17586263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8141108</v>
          </cell>
          <cell r="P2625">
            <v>0</v>
          </cell>
          <cell r="Q2625">
            <v>0</v>
          </cell>
          <cell r="R2625">
            <v>133118</v>
          </cell>
          <cell r="S2625">
            <v>7864624</v>
          </cell>
          <cell r="T2625">
            <v>0</v>
          </cell>
          <cell r="U2625">
            <v>0</v>
          </cell>
          <cell r="V2625">
            <v>10709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789609</v>
          </cell>
          <cell r="AC2625">
            <v>0</v>
          </cell>
          <cell r="AD2625">
            <v>223008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</row>
        <row r="2626">
          <cell r="A2626">
            <v>214010200</v>
          </cell>
          <cell r="C2626">
            <v>0</v>
          </cell>
          <cell r="D2626">
            <v>0</v>
          </cell>
          <cell r="E2626">
            <v>0</v>
          </cell>
          <cell r="F2626">
            <v>150381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1003677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12708</v>
          </cell>
          <cell r="S2626">
            <v>0</v>
          </cell>
          <cell r="T2626">
            <v>0</v>
          </cell>
          <cell r="U2626">
            <v>0</v>
          </cell>
          <cell r="V2626">
            <v>10988059</v>
          </cell>
          <cell r="W2626">
            <v>103642</v>
          </cell>
          <cell r="X2626">
            <v>12439</v>
          </cell>
          <cell r="Y2626">
            <v>0</v>
          </cell>
          <cell r="Z2626">
            <v>0</v>
          </cell>
          <cell r="AA2626">
            <v>0</v>
          </cell>
          <cell r="AB2626">
            <v>16576618</v>
          </cell>
          <cell r="AC2626">
            <v>0</v>
          </cell>
          <cell r="AD2626">
            <v>171014</v>
          </cell>
          <cell r="AE2626">
            <v>0</v>
          </cell>
          <cell r="AF2626">
            <v>5625</v>
          </cell>
          <cell r="AG2626">
            <v>477111</v>
          </cell>
          <cell r="AH2626">
            <v>0</v>
          </cell>
          <cell r="AI2626">
            <v>1787379</v>
          </cell>
        </row>
        <row r="2627">
          <cell r="A2627">
            <v>214010201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</row>
        <row r="2628">
          <cell r="A2628">
            <v>214010202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</row>
        <row r="2629">
          <cell r="A2629">
            <v>214010203</v>
          </cell>
          <cell r="C2629">
            <v>0</v>
          </cell>
          <cell r="D2629">
            <v>0</v>
          </cell>
          <cell r="E2629">
            <v>0</v>
          </cell>
          <cell r="F2629">
            <v>150381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1003677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12708</v>
          </cell>
          <cell r="S2629">
            <v>0</v>
          </cell>
          <cell r="T2629">
            <v>0</v>
          </cell>
          <cell r="U2629">
            <v>0</v>
          </cell>
          <cell r="V2629">
            <v>10988059</v>
          </cell>
          <cell r="W2629">
            <v>103642</v>
          </cell>
          <cell r="X2629">
            <v>12439</v>
          </cell>
          <cell r="Y2629">
            <v>0</v>
          </cell>
          <cell r="Z2629">
            <v>0</v>
          </cell>
          <cell r="AA2629">
            <v>0</v>
          </cell>
          <cell r="AB2629">
            <v>16576618</v>
          </cell>
          <cell r="AC2629">
            <v>0</v>
          </cell>
          <cell r="AD2629">
            <v>171014</v>
          </cell>
          <cell r="AE2629">
            <v>0</v>
          </cell>
          <cell r="AF2629">
            <v>5625</v>
          </cell>
          <cell r="AG2629">
            <v>477111</v>
          </cell>
          <cell r="AH2629">
            <v>0</v>
          </cell>
          <cell r="AI2629">
            <v>1787379</v>
          </cell>
        </row>
        <row r="2630">
          <cell r="A2630">
            <v>214010204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</row>
        <row r="2631">
          <cell r="A2631">
            <v>214010205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</row>
        <row r="2632">
          <cell r="A2632">
            <v>214010206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</row>
        <row r="2633">
          <cell r="A2633">
            <v>214010207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</row>
        <row r="2634">
          <cell r="A2634">
            <v>214010208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</row>
        <row r="2635">
          <cell r="A2635">
            <v>214010209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0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</row>
        <row r="2636">
          <cell r="A2636">
            <v>214020000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11081</v>
          </cell>
          <cell r="R2636">
            <v>0</v>
          </cell>
          <cell r="S2636">
            <v>0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61371983</v>
          </cell>
        </row>
        <row r="2637">
          <cell r="A2637">
            <v>214020100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11081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61371983</v>
          </cell>
        </row>
        <row r="2638">
          <cell r="A2638">
            <v>214020101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</row>
        <row r="2639">
          <cell r="A2639">
            <v>214020102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</row>
        <row r="2640">
          <cell r="A2640">
            <v>214020103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</row>
        <row r="2641">
          <cell r="A2641">
            <v>214020104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</row>
        <row r="2642">
          <cell r="A2642">
            <v>214020105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</row>
        <row r="2643">
          <cell r="A2643">
            <v>214020106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</row>
        <row r="2644">
          <cell r="A2644">
            <v>214020107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</row>
        <row r="2645">
          <cell r="A2645">
            <v>214020108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</row>
        <row r="2646">
          <cell r="A2646">
            <v>214020109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61371983</v>
          </cell>
        </row>
        <row r="2647">
          <cell r="A2647">
            <v>214020110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</row>
        <row r="2648">
          <cell r="A2648">
            <v>214020111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</row>
        <row r="2649">
          <cell r="A2649">
            <v>214020112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</row>
        <row r="2650">
          <cell r="A2650">
            <v>214020113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11081</v>
          </cell>
          <cell r="R2650">
            <v>0</v>
          </cell>
          <cell r="S2650">
            <v>0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</row>
        <row r="2651">
          <cell r="A2651">
            <v>214020200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</row>
        <row r="2652">
          <cell r="A2652">
            <v>214020201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</row>
        <row r="2653">
          <cell r="A2653">
            <v>214020202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</row>
        <row r="2654">
          <cell r="A2654">
            <v>214020203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</row>
        <row r="2655">
          <cell r="A2655">
            <v>214020204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</row>
        <row r="2656">
          <cell r="A2656">
            <v>214020205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</row>
        <row r="2657">
          <cell r="A2657">
            <v>214020206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0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</row>
        <row r="2658">
          <cell r="A2658">
            <v>214020207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</row>
        <row r="2659">
          <cell r="A2659">
            <v>214020208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</row>
        <row r="2660">
          <cell r="A2660">
            <v>214020209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</row>
        <row r="2661">
          <cell r="A2661">
            <v>214030000</v>
          </cell>
          <cell r="C2661">
            <v>1041373547</v>
          </cell>
          <cell r="D2661">
            <v>10850575</v>
          </cell>
          <cell r="E2661">
            <v>0</v>
          </cell>
          <cell r="F2661">
            <v>354950529</v>
          </cell>
          <cell r="G2661">
            <v>303233555</v>
          </cell>
          <cell r="H2661">
            <v>657947379</v>
          </cell>
          <cell r="I2661">
            <v>372001212</v>
          </cell>
          <cell r="J2661">
            <v>0</v>
          </cell>
          <cell r="K2661">
            <v>51692400</v>
          </cell>
          <cell r="L2661">
            <v>280053931</v>
          </cell>
          <cell r="M2661">
            <v>276338577</v>
          </cell>
          <cell r="N2661">
            <v>680819503</v>
          </cell>
          <cell r="O2661">
            <v>723891836</v>
          </cell>
          <cell r="P2661">
            <v>817314</v>
          </cell>
          <cell r="Q2661">
            <v>0</v>
          </cell>
          <cell r="R2661">
            <v>432083061</v>
          </cell>
          <cell r="S2661">
            <v>0</v>
          </cell>
          <cell r="T2661">
            <v>111383968</v>
          </cell>
          <cell r="U2661">
            <v>0</v>
          </cell>
          <cell r="V2661">
            <v>2498589299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162564029</v>
          </cell>
          <cell r="AB2661">
            <v>0</v>
          </cell>
          <cell r="AC2661">
            <v>0</v>
          </cell>
          <cell r="AD2661">
            <v>0</v>
          </cell>
          <cell r="AE2661">
            <v>2517684559</v>
          </cell>
          <cell r="AF2661">
            <v>1113259</v>
          </cell>
          <cell r="AG2661">
            <v>0</v>
          </cell>
          <cell r="AH2661">
            <v>4084143</v>
          </cell>
          <cell r="AI2661">
            <v>643006676</v>
          </cell>
        </row>
        <row r="2662">
          <cell r="A2662">
            <v>214030100</v>
          </cell>
          <cell r="C2662">
            <v>1041308953</v>
          </cell>
          <cell r="D2662">
            <v>795605</v>
          </cell>
          <cell r="E2662">
            <v>0</v>
          </cell>
          <cell r="F2662">
            <v>354950529</v>
          </cell>
          <cell r="G2662">
            <v>303233555</v>
          </cell>
          <cell r="H2662">
            <v>657947379</v>
          </cell>
          <cell r="I2662">
            <v>361684172</v>
          </cell>
          <cell r="J2662">
            <v>0</v>
          </cell>
          <cell r="K2662">
            <v>0</v>
          </cell>
          <cell r="L2662">
            <v>280053931</v>
          </cell>
          <cell r="M2662">
            <v>276338577</v>
          </cell>
          <cell r="N2662">
            <v>680260651</v>
          </cell>
          <cell r="O2662">
            <v>723891836</v>
          </cell>
          <cell r="P2662">
            <v>817314</v>
          </cell>
          <cell r="Q2662">
            <v>0</v>
          </cell>
          <cell r="R2662">
            <v>432083061</v>
          </cell>
          <cell r="S2662">
            <v>0</v>
          </cell>
          <cell r="T2662">
            <v>67569585</v>
          </cell>
          <cell r="U2662">
            <v>0</v>
          </cell>
          <cell r="V2662">
            <v>2498589299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162053521</v>
          </cell>
          <cell r="AB2662">
            <v>0</v>
          </cell>
          <cell r="AC2662">
            <v>0</v>
          </cell>
          <cell r="AD2662">
            <v>0</v>
          </cell>
          <cell r="AE2662">
            <v>2511071584</v>
          </cell>
          <cell r="AF2662">
            <v>1113259</v>
          </cell>
          <cell r="AG2662">
            <v>0</v>
          </cell>
          <cell r="AH2662">
            <v>4084143</v>
          </cell>
          <cell r="AI2662">
            <v>643006676</v>
          </cell>
        </row>
        <row r="2663">
          <cell r="A2663">
            <v>214030101</v>
          </cell>
          <cell r="C2663">
            <v>150684241</v>
          </cell>
          <cell r="D2663">
            <v>795605</v>
          </cell>
          <cell r="E2663">
            <v>0</v>
          </cell>
          <cell r="F2663">
            <v>156872723</v>
          </cell>
          <cell r="G2663">
            <v>123750698</v>
          </cell>
          <cell r="H2663">
            <v>20661058</v>
          </cell>
          <cell r="I2663">
            <v>113937851</v>
          </cell>
          <cell r="J2663">
            <v>0</v>
          </cell>
          <cell r="K2663">
            <v>0</v>
          </cell>
          <cell r="L2663">
            <v>168533478</v>
          </cell>
          <cell r="M2663">
            <v>11232094</v>
          </cell>
          <cell r="N2663">
            <v>205688526</v>
          </cell>
          <cell r="O2663">
            <v>335832391</v>
          </cell>
          <cell r="P2663">
            <v>419506</v>
          </cell>
          <cell r="Q2663">
            <v>0</v>
          </cell>
          <cell r="R2663">
            <v>95189</v>
          </cell>
          <cell r="S2663">
            <v>0</v>
          </cell>
          <cell r="T2663">
            <v>35891003</v>
          </cell>
          <cell r="U2663">
            <v>0</v>
          </cell>
          <cell r="V2663">
            <v>454425768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81371376</v>
          </cell>
          <cell r="AB2663">
            <v>0</v>
          </cell>
          <cell r="AC2663">
            <v>0</v>
          </cell>
          <cell r="AD2663">
            <v>0</v>
          </cell>
          <cell r="AE2663">
            <v>1832652374</v>
          </cell>
          <cell r="AF2663">
            <v>1113259</v>
          </cell>
          <cell r="AG2663">
            <v>0</v>
          </cell>
          <cell r="AH2663">
            <v>1949273</v>
          </cell>
          <cell r="AI2663">
            <v>9575052</v>
          </cell>
        </row>
        <row r="2664">
          <cell r="A2664">
            <v>214030102</v>
          </cell>
          <cell r="C2664">
            <v>54032468</v>
          </cell>
          <cell r="D2664">
            <v>0</v>
          </cell>
          <cell r="E2664">
            <v>0</v>
          </cell>
          <cell r="F2664">
            <v>18761206</v>
          </cell>
          <cell r="G2664">
            <v>44780406</v>
          </cell>
          <cell r="H2664">
            <v>0</v>
          </cell>
          <cell r="I2664">
            <v>49597209</v>
          </cell>
          <cell r="J2664">
            <v>0</v>
          </cell>
          <cell r="K2664">
            <v>0</v>
          </cell>
          <cell r="L2664">
            <v>12487978</v>
          </cell>
          <cell r="M2664">
            <v>2935181</v>
          </cell>
          <cell r="N2664">
            <v>42791593</v>
          </cell>
          <cell r="O2664">
            <v>25969295</v>
          </cell>
          <cell r="P2664">
            <v>397808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92906790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6944418</v>
          </cell>
          <cell r="AB2664">
            <v>0</v>
          </cell>
          <cell r="AC2664">
            <v>0</v>
          </cell>
          <cell r="AD2664">
            <v>0</v>
          </cell>
          <cell r="AE2664">
            <v>95614789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</row>
        <row r="2665">
          <cell r="A2665">
            <v>214030103</v>
          </cell>
          <cell r="C2665">
            <v>14285191</v>
          </cell>
          <cell r="D2665">
            <v>0</v>
          </cell>
          <cell r="E2665">
            <v>0</v>
          </cell>
          <cell r="F2665">
            <v>18524034</v>
          </cell>
          <cell r="G2665">
            <v>9405707</v>
          </cell>
          <cell r="H2665">
            <v>0</v>
          </cell>
          <cell r="I2665">
            <v>9025526</v>
          </cell>
          <cell r="J2665">
            <v>0</v>
          </cell>
          <cell r="K2665">
            <v>0</v>
          </cell>
          <cell r="L2665">
            <v>4892436</v>
          </cell>
          <cell r="M2665">
            <v>392217</v>
          </cell>
          <cell r="N2665">
            <v>14481129</v>
          </cell>
          <cell r="O2665">
            <v>29545729</v>
          </cell>
          <cell r="P2665">
            <v>0</v>
          </cell>
          <cell r="Q2665">
            <v>0</v>
          </cell>
          <cell r="R2665">
            <v>0</v>
          </cell>
          <cell r="S2665">
            <v>0</v>
          </cell>
          <cell r="T2665">
            <v>5783</v>
          </cell>
          <cell r="U2665">
            <v>0</v>
          </cell>
          <cell r="V2665">
            <v>257132883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4237935</v>
          </cell>
          <cell r="AB2665">
            <v>0</v>
          </cell>
          <cell r="AC2665">
            <v>0</v>
          </cell>
          <cell r="AD2665">
            <v>0</v>
          </cell>
          <cell r="AE2665">
            <v>32864</v>
          </cell>
          <cell r="AF2665">
            <v>0</v>
          </cell>
          <cell r="AG2665">
            <v>0</v>
          </cell>
          <cell r="AH2665">
            <v>0</v>
          </cell>
          <cell r="AI2665">
            <v>817719</v>
          </cell>
        </row>
        <row r="2666">
          <cell r="A2666">
            <v>214030104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1144791188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</row>
        <row r="2667">
          <cell r="A2667">
            <v>214030105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</row>
        <row r="2668">
          <cell r="A2668">
            <v>214030106</v>
          </cell>
          <cell r="C2668">
            <v>9971908</v>
          </cell>
          <cell r="D2668">
            <v>0</v>
          </cell>
          <cell r="E2668">
            <v>0</v>
          </cell>
          <cell r="F2668">
            <v>34989800</v>
          </cell>
          <cell r="G2668">
            <v>54170353</v>
          </cell>
          <cell r="H2668">
            <v>0</v>
          </cell>
          <cell r="I2668">
            <v>94101000</v>
          </cell>
          <cell r="J2668">
            <v>0</v>
          </cell>
          <cell r="K2668">
            <v>0</v>
          </cell>
          <cell r="L2668">
            <v>26178520</v>
          </cell>
          <cell r="M2668">
            <v>12633665</v>
          </cell>
          <cell r="N2668">
            <v>100584020</v>
          </cell>
          <cell r="O2668">
            <v>110394196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159561297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19619257</v>
          </cell>
          <cell r="AB2668">
            <v>0</v>
          </cell>
          <cell r="AC2668">
            <v>0</v>
          </cell>
          <cell r="AD2668">
            <v>0</v>
          </cell>
          <cell r="AE2668">
            <v>85467841</v>
          </cell>
          <cell r="AF2668">
            <v>0</v>
          </cell>
          <cell r="AG2668">
            <v>0</v>
          </cell>
          <cell r="AH2668">
            <v>392155</v>
          </cell>
          <cell r="AI2668">
            <v>108663</v>
          </cell>
        </row>
        <row r="2669">
          <cell r="A2669">
            <v>214030107</v>
          </cell>
          <cell r="C2669">
            <v>1028089</v>
          </cell>
          <cell r="D2669">
            <v>0</v>
          </cell>
          <cell r="E2669">
            <v>0</v>
          </cell>
          <cell r="F2669">
            <v>2587225</v>
          </cell>
          <cell r="G2669">
            <v>1942699</v>
          </cell>
          <cell r="H2669">
            <v>0</v>
          </cell>
          <cell r="I2669">
            <v>17678159</v>
          </cell>
          <cell r="J2669">
            <v>0</v>
          </cell>
          <cell r="K2669">
            <v>0</v>
          </cell>
          <cell r="L2669">
            <v>521850</v>
          </cell>
          <cell r="M2669">
            <v>66780</v>
          </cell>
          <cell r="N2669">
            <v>8745281</v>
          </cell>
          <cell r="O2669">
            <v>3357404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2765881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1096144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</row>
        <row r="2670">
          <cell r="A2670">
            <v>214030108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241901075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  <cell r="T2670">
            <v>10610328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29250922</v>
          </cell>
          <cell r="AF2670">
            <v>0</v>
          </cell>
          <cell r="AG2670">
            <v>0</v>
          </cell>
          <cell r="AH2670">
            <v>0</v>
          </cell>
          <cell r="AI2670">
            <v>576565520</v>
          </cell>
        </row>
        <row r="2671">
          <cell r="A2671">
            <v>214030109</v>
          </cell>
          <cell r="C2671">
            <v>12337567</v>
          </cell>
          <cell r="D2671">
            <v>0</v>
          </cell>
          <cell r="E2671">
            <v>0</v>
          </cell>
          <cell r="F2671">
            <v>0</v>
          </cell>
          <cell r="G2671">
            <v>907366</v>
          </cell>
          <cell r="H2671">
            <v>0</v>
          </cell>
          <cell r="I2671">
            <v>2908100</v>
          </cell>
          <cell r="J2671">
            <v>0</v>
          </cell>
          <cell r="K2671">
            <v>0</v>
          </cell>
          <cell r="L2671">
            <v>6308583</v>
          </cell>
          <cell r="M2671">
            <v>0</v>
          </cell>
          <cell r="N2671">
            <v>-843365</v>
          </cell>
          <cell r="O2671">
            <v>69426372</v>
          </cell>
          <cell r="P2671">
            <v>0</v>
          </cell>
          <cell r="Q2671">
            <v>0</v>
          </cell>
          <cell r="R2671">
            <v>0</v>
          </cell>
          <cell r="S2671">
            <v>0</v>
          </cell>
          <cell r="T2671">
            <v>0</v>
          </cell>
          <cell r="U2671">
            <v>0</v>
          </cell>
          <cell r="V2671">
            <v>99296167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40645428</v>
          </cell>
          <cell r="AB2671">
            <v>0</v>
          </cell>
          <cell r="AC2671">
            <v>0</v>
          </cell>
          <cell r="AD2671">
            <v>0</v>
          </cell>
          <cell r="AE2671">
            <v>268456769</v>
          </cell>
          <cell r="AF2671">
            <v>0</v>
          </cell>
          <cell r="AG2671">
            <v>0</v>
          </cell>
          <cell r="AH2671">
            <v>0</v>
          </cell>
          <cell r="AI2671">
            <v>25666403</v>
          </cell>
        </row>
        <row r="2672">
          <cell r="A2672">
            <v>214030110</v>
          </cell>
          <cell r="C2672">
            <v>275608823</v>
          </cell>
          <cell r="D2672">
            <v>0</v>
          </cell>
          <cell r="E2672">
            <v>0</v>
          </cell>
          <cell r="F2672">
            <v>3403772</v>
          </cell>
          <cell r="G2672">
            <v>15123619</v>
          </cell>
          <cell r="H2672">
            <v>0</v>
          </cell>
          <cell r="I2672">
            <v>43000125</v>
          </cell>
          <cell r="J2672">
            <v>0</v>
          </cell>
          <cell r="K2672">
            <v>0</v>
          </cell>
          <cell r="L2672">
            <v>3417136</v>
          </cell>
          <cell r="M2672">
            <v>1419030</v>
          </cell>
          <cell r="N2672">
            <v>25595398</v>
          </cell>
          <cell r="O2672">
            <v>24805751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9266461</v>
          </cell>
          <cell r="U2672">
            <v>0</v>
          </cell>
          <cell r="V2672">
            <v>104092298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6435729</v>
          </cell>
          <cell r="AB2672">
            <v>0</v>
          </cell>
          <cell r="AC2672">
            <v>0</v>
          </cell>
          <cell r="AD2672">
            <v>0</v>
          </cell>
          <cell r="AE2672">
            <v>140622862</v>
          </cell>
          <cell r="AF2672">
            <v>0</v>
          </cell>
          <cell r="AG2672">
            <v>0</v>
          </cell>
          <cell r="AH2672">
            <v>0</v>
          </cell>
          <cell r="AI2672">
            <v>2870</v>
          </cell>
        </row>
        <row r="2673">
          <cell r="A2673">
            <v>214030111</v>
          </cell>
          <cell r="C2673">
            <v>4924289</v>
          </cell>
          <cell r="D2673">
            <v>0</v>
          </cell>
          <cell r="E2673">
            <v>0</v>
          </cell>
          <cell r="F2673">
            <v>0</v>
          </cell>
          <cell r="G2673">
            <v>7873047</v>
          </cell>
          <cell r="H2673">
            <v>0</v>
          </cell>
          <cell r="I2673">
            <v>427330</v>
          </cell>
          <cell r="J2673">
            <v>0</v>
          </cell>
          <cell r="K2673">
            <v>0</v>
          </cell>
          <cell r="L2673">
            <v>6212277</v>
          </cell>
          <cell r="M2673">
            <v>0</v>
          </cell>
          <cell r="N2673">
            <v>3603581</v>
          </cell>
          <cell r="O2673">
            <v>651936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86030</v>
          </cell>
          <cell r="U2673">
            <v>0</v>
          </cell>
          <cell r="V2673">
            <v>4197394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43611283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</row>
        <row r="2674">
          <cell r="A2674">
            <v>214030112</v>
          </cell>
          <cell r="C2674">
            <v>102007574</v>
          </cell>
          <cell r="D2674">
            <v>0</v>
          </cell>
          <cell r="E2674">
            <v>0</v>
          </cell>
          <cell r="F2674">
            <v>30359225</v>
          </cell>
          <cell r="G2674">
            <v>7967023</v>
          </cell>
          <cell r="H2674">
            <v>3590019</v>
          </cell>
          <cell r="I2674">
            <v>19839691</v>
          </cell>
          <cell r="J2674">
            <v>0</v>
          </cell>
          <cell r="K2674">
            <v>0</v>
          </cell>
          <cell r="L2674">
            <v>1411559</v>
          </cell>
          <cell r="M2674">
            <v>478721</v>
          </cell>
          <cell r="N2674">
            <v>26427035</v>
          </cell>
          <cell r="O2674">
            <v>119944355</v>
          </cell>
          <cell r="P2674">
            <v>0</v>
          </cell>
          <cell r="Q2674">
            <v>0</v>
          </cell>
          <cell r="R2674">
            <v>193474107</v>
          </cell>
          <cell r="S2674">
            <v>0</v>
          </cell>
          <cell r="T2674">
            <v>11709980</v>
          </cell>
          <cell r="U2674">
            <v>0</v>
          </cell>
          <cell r="V2674">
            <v>131975391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306990</v>
          </cell>
          <cell r="AB2674">
            <v>0</v>
          </cell>
          <cell r="AC2674">
            <v>0</v>
          </cell>
          <cell r="AD2674">
            <v>0</v>
          </cell>
          <cell r="AE2674">
            <v>4664262</v>
          </cell>
          <cell r="AF2674">
            <v>0</v>
          </cell>
          <cell r="AG2674">
            <v>0</v>
          </cell>
          <cell r="AH2674">
            <v>1742715</v>
          </cell>
          <cell r="AI2674">
            <v>0</v>
          </cell>
        </row>
        <row r="2675">
          <cell r="A2675">
            <v>214030113</v>
          </cell>
          <cell r="C2675">
            <v>416428803</v>
          </cell>
          <cell r="D2675">
            <v>0</v>
          </cell>
          <cell r="E2675">
            <v>0</v>
          </cell>
          <cell r="F2675">
            <v>89452544</v>
          </cell>
          <cell r="G2675">
            <v>37312637</v>
          </cell>
          <cell r="H2675">
            <v>633696302</v>
          </cell>
          <cell r="I2675">
            <v>11169181</v>
          </cell>
          <cell r="J2675">
            <v>0</v>
          </cell>
          <cell r="K2675">
            <v>0</v>
          </cell>
          <cell r="L2675">
            <v>50090114</v>
          </cell>
          <cell r="M2675">
            <v>5279814</v>
          </cell>
          <cell r="N2675">
            <v>253187453</v>
          </cell>
          <cell r="O2675">
            <v>3964407</v>
          </cell>
          <cell r="P2675">
            <v>0</v>
          </cell>
          <cell r="Q2675">
            <v>0</v>
          </cell>
          <cell r="R2675">
            <v>238513765</v>
          </cell>
          <cell r="S2675">
            <v>0</v>
          </cell>
          <cell r="T2675">
            <v>0</v>
          </cell>
          <cell r="U2675">
            <v>0</v>
          </cell>
          <cell r="V2675">
            <v>47444242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1396244</v>
          </cell>
          <cell r="AB2675">
            <v>0</v>
          </cell>
          <cell r="AC2675">
            <v>0</v>
          </cell>
          <cell r="AD2675">
            <v>0</v>
          </cell>
          <cell r="AE2675">
            <v>10697618</v>
          </cell>
          <cell r="AF2675">
            <v>0</v>
          </cell>
          <cell r="AG2675">
            <v>0</v>
          </cell>
          <cell r="AH2675">
            <v>0</v>
          </cell>
          <cell r="AI2675">
            <v>30270449</v>
          </cell>
        </row>
        <row r="2676">
          <cell r="A2676">
            <v>214030200</v>
          </cell>
          <cell r="C2676">
            <v>64594</v>
          </cell>
          <cell r="D2676">
            <v>10054970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10317040</v>
          </cell>
          <cell r="J2676">
            <v>0</v>
          </cell>
          <cell r="K2676">
            <v>51692400</v>
          </cell>
          <cell r="L2676">
            <v>0</v>
          </cell>
          <cell r="M2676">
            <v>0</v>
          </cell>
          <cell r="N2676">
            <v>558852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43814383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510508</v>
          </cell>
          <cell r="AB2676">
            <v>0</v>
          </cell>
          <cell r="AC2676">
            <v>0</v>
          </cell>
          <cell r="AD2676">
            <v>0</v>
          </cell>
          <cell r="AE2676">
            <v>6612975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</row>
        <row r="2677">
          <cell r="A2677">
            <v>214030201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</row>
        <row r="2678">
          <cell r="A2678">
            <v>214030202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</row>
        <row r="2679">
          <cell r="A2679">
            <v>214030203</v>
          </cell>
          <cell r="C2679">
            <v>64594</v>
          </cell>
          <cell r="D2679">
            <v>10054970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10317040</v>
          </cell>
          <cell r="J2679">
            <v>0</v>
          </cell>
          <cell r="K2679">
            <v>26714721</v>
          </cell>
          <cell r="L2679">
            <v>0</v>
          </cell>
          <cell r="M2679">
            <v>0</v>
          </cell>
          <cell r="N2679">
            <v>558852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  <cell r="T2679">
            <v>43814383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510508</v>
          </cell>
          <cell r="AB2679">
            <v>0</v>
          </cell>
          <cell r="AC2679">
            <v>0</v>
          </cell>
          <cell r="AD2679">
            <v>0</v>
          </cell>
          <cell r="AE2679">
            <v>6612975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</row>
        <row r="2680">
          <cell r="A2680">
            <v>214030204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</row>
        <row r="2681">
          <cell r="A2681">
            <v>214030205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</row>
        <row r="2682">
          <cell r="A2682">
            <v>214030206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24977679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</row>
        <row r="2683">
          <cell r="A2683">
            <v>214030207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</row>
        <row r="2684">
          <cell r="A2684">
            <v>214030208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</row>
        <row r="2685">
          <cell r="A2685">
            <v>214030209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</row>
        <row r="2686">
          <cell r="A2686">
            <v>214040000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43778269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</row>
        <row r="2687">
          <cell r="A2687">
            <v>214040100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43778269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</row>
        <row r="2688">
          <cell r="A2688">
            <v>214040101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43778269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</row>
        <row r="2689">
          <cell r="A2689">
            <v>300000000</v>
          </cell>
          <cell r="C2689">
            <v>11318889579</v>
          </cell>
          <cell r="D2689">
            <v>9150344789</v>
          </cell>
          <cell r="E2689">
            <v>13542178452</v>
          </cell>
          <cell r="F2689">
            <v>6273459298</v>
          </cell>
          <cell r="G2689">
            <v>15552096064</v>
          </cell>
          <cell r="H2689">
            <v>25752211811</v>
          </cell>
          <cell r="I2689">
            <v>14307569084</v>
          </cell>
          <cell r="J2689">
            <v>11049644097</v>
          </cell>
          <cell r="K2689">
            <v>4524768693</v>
          </cell>
          <cell r="L2689">
            <v>6160723446</v>
          </cell>
          <cell r="M2689">
            <v>3965783270</v>
          </cell>
          <cell r="N2689">
            <v>7526546141</v>
          </cell>
          <cell r="O2689">
            <v>7546029072</v>
          </cell>
          <cell r="P2689">
            <v>5733765882</v>
          </cell>
          <cell r="Q2689">
            <v>6291700077</v>
          </cell>
          <cell r="R2689">
            <v>6386378239</v>
          </cell>
          <cell r="S2689">
            <v>3724885911</v>
          </cell>
          <cell r="T2689">
            <v>15451927487</v>
          </cell>
          <cell r="U2689">
            <v>5474163449</v>
          </cell>
          <cell r="V2689">
            <v>18289173083</v>
          </cell>
          <cell r="W2689">
            <v>8754576975</v>
          </cell>
          <cell r="X2689">
            <v>9196908855</v>
          </cell>
          <cell r="Y2689">
            <v>3394872612</v>
          </cell>
          <cell r="Z2689">
            <v>7106398198</v>
          </cell>
          <cell r="AA2689">
            <v>4213934415</v>
          </cell>
          <cell r="AB2689">
            <v>11746996055</v>
          </cell>
          <cell r="AC2689">
            <v>4731503491</v>
          </cell>
          <cell r="AD2689">
            <v>8486468331</v>
          </cell>
          <cell r="AE2689">
            <v>70914135850</v>
          </cell>
          <cell r="AF2689">
            <v>5986999235</v>
          </cell>
          <cell r="AG2689">
            <v>3428285936</v>
          </cell>
          <cell r="AH2689">
            <v>12396192928</v>
          </cell>
          <cell r="AI2689">
            <v>15121943310</v>
          </cell>
        </row>
        <row r="2690">
          <cell r="A2690">
            <v>301000000</v>
          </cell>
          <cell r="C2690">
            <v>5000000000</v>
          </cell>
          <cell r="D2690">
            <v>7713586832</v>
          </cell>
          <cell r="E2690">
            <v>11961000000</v>
          </cell>
          <cell r="F2690">
            <v>3125424721</v>
          </cell>
          <cell r="G2690">
            <v>10000000000</v>
          </cell>
          <cell r="H2690">
            <v>14024940178</v>
          </cell>
          <cell r="I2690">
            <v>9000000000</v>
          </cell>
          <cell r="J2690">
            <v>9700000000</v>
          </cell>
          <cell r="K2690">
            <v>5000000000</v>
          </cell>
          <cell r="L2690">
            <v>4000000000</v>
          </cell>
          <cell r="M2690">
            <v>3354000000</v>
          </cell>
          <cell r="N2690">
            <v>7000000000</v>
          </cell>
          <cell r="O2690">
            <v>3827000000</v>
          </cell>
          <cell r="P2690">
            <v>4277315875</v>
          </cell>
          <cell r="Q2690">
            <v>4600000000</v>
          </cell>
          <cell r="R2690">
            <v>4167000000</v>
          </cell>
          <cell r="S2690">
            <v>4790000000</v>
          </cell>
          <cell r="T2690">
            <v>12100000000</v>
          </cell>
          <cell r="U2690">
            <v>2808562587</v>
          </cell>
          <cell r="V2690">
            <v>16400000000</v>
          </cell>
          <cell r="W2690">
            <v>5000000000</v>
          </cell>
          <cell r="X2690">
            <v>5000000000</v>
          </cell>
          <cell r="Y2690">
            <v>3864876588</v>
          </cell>
          <cell r="Z2690">
            <v>6073314257</v>
          </cell>
          <cell r="AA2690">
            <v>3120000000</v>
          </cell>
          <cell r="AB2690">
            <v>7500000000</v>
          </cell>
          <cell r="AC2690">
            <v>3505849919</v>
          </cell>
          <cell r="AD2690">
            <v>6000000000</v>
          </cell>
          <cell r="AE2690">
            <v>17466900000</v>
          </cell>
          <cell r="AF2690">
            <v>5887000000</v>
          </cell>
          <cell r="AG2690">
            <v>6450870778</v>
          </cell>
          <cell r="AH2690">
            <v>12000000000</v>
          </cell>
          <cell r="AI2690">
            <v>4000000000</v>
          </cell>
        </row>
        <row r="2691">
          <cell r="A2691">
            <v>301010000</v>
          </cell>
          <cell r="C2691">
            <v>5000000000</v>
          </cell>
          <cell r="D2691">
            <v>7000000000</v>
          </cell>
          <cell r="E2691">
            <v>8466880000</v>
          </cell>
          <cell r="F2691">
            <v>3125424721</v>
          </cell>
          <cell r="G2691">
            <v>10000000000</v>
          </cell>
          <cell r="H2691">
            <v>9684440178</v>
          </cell>
          <cell r="I2691">
            <v>8085000000</v>
          </cell>
          <cell r="J2691">
            <v>9700000000</v>
          </cell>
          <cell r="K2691">
            <v>5000000000</v>
          </cell>
          <cell r="L2691">
            <v>4000000000</v>
          </cell>
          <cell r="M2691">
            <v>3354000000</v>
          </cell>
          <cell r="N2691">
            <v>7000000000</v>
          </cell>
          <cell r="O2691">
            <v>3827000000</v>
          </cell>
          <cell r="P2691">
            <v>4277315875</v>
          </cell>
          <cell r="Q2691">
            <v>4600000000</v>
          </cell>
          <cell r="R2691">
            <v>3654000000</v>
          </cell>
          <cell r="S2691">
            <v>4790000000</v>
          </cell>
          <cell r="T2691">
            <v>7473221213</v>
          </cell>
          <cell r="U2691">
            <v>2036032903</v>
          </cell>
          <cell r="V2691">
            <v>13467060644</v>
          </cell>
          <cell r="W2691">
            <v>4754000000</v>
          </cell>
          <cell r="X2691">
            <v>5000000000</v>
          </cell>
          <cell r="Y2691">
            <v>3600000000</v>
          </cell>
          <cell r="Z2691">
            <v>5876798241</v>
          </cell>
          <cell r="AA2691">
            <v>3120000000</v>
          </cell>
          <cell r="AB2691">
            <v>7500000000</v>
          </cell>
          <cell r="AC2691">
            <v>3473925919</v>
          </cell>
          <cell r="AD2691">
            <v>6000000000</v>
          </cell>
          <cell r="AE2691">
            <v>17466900000</v>
          </cell>
          <cell r="AF2691">
            <v>5887000000</v>
          </cell>
          <cell r="AG2691">
            <v>6037984090</v>
          </cell>
          <cell r="AH2691">
            <v>12000000000</v>
          </cell>
          <cell r="AI2691">
            <v>4000000000</v>
          </cell>
        </row>
        <row r="2692">
          <cell r="A2692">
            <v>301010100</v>
          </cell>
          <cell r="C2692">
            <v>5000000000</v>
          </cell>
          <cell r="D2692">
            <v>7000000000</v>
          </cell>
          <cell r="E2692">
            <v>8466880000</v>
          </cell>
          <cell r="F2692">
            <v>3125424721</v>
          </cell>
          <cell r="G2692">
            <v>10000000000</v>
          </cell>
          <cell r="H2692">
            <v>9684440178</v>
          </cell>
          <cell r="I2692">
            <v>8085000000</v>
          </cell>
          <cell r="J2692">
            <v>9700000000</v>
          </cell>
          <cell r="K2692">
            <v>5000000000</v>
          </cell>
          <cell r="L2692">
            <v>4000000000</v>
          </cell>
          <cell r="M2692">
            <v>3354000000</v>
          </cell>
          <cell r="N2692">
            <v>7000000000</v>
          </cell>
          <cell r="O2692">
            <v>3827000000</v>
          </cell>
          <cell r="P2692">
            <v>4277315875</v>
          </cell>
          <cell r="Q2692">
            <v>4600000000</v>
          </cell>
          <cell r="R2692">
            <v>3654000000</v>
          </cell>
          <cell r="S2692">
            <v>4790000000</v>
          </cell>
          <cell r="T2692">
            <v>7473221213</v>
          </cell>
          <cell r="U2692">
            <v>2036032903</v>
          </cell>
          <cell r="V2692">
            <v>13467060644</v>
          </cell>
          <cell r="W2692">
            <v>4754000000</v>
          </cell>
          <cell r="X2692">
            <v>5000000000</v>
          </cell>
          <cell r="Y2692">
            <v>3600000000</v>
          </cell>
          <cell r="Z2692">
            <v>5876798241</v>
          </cell>
          <cell r="AA2692">
            <v>3120000000</v>
          </cell>
          <cell r="AB2692">
            <v>7500000000</v>
          </cell>
          <cell r="AC2692">
            <v>3473925919</v>
          </cell>
          <cell r="AD2692">
            <v>6000000000</v>
          </cell>
          <cell r="AE2692">
            <v>17466900000</v>
          </cell>
          <cell r="AF2692">
            <v>5887000000</v>
          </cell>
          <cell r="AG2692">
            <v>6037984090</v>
          </cell>
          <cell r="AH2692">
            <v>12000000000</v>
          </cell>
          <cell r="AI2692">
            <v>4000000000</v>
          </cell>
        </row>
        <row r="2693">
          <cell r="A2693">
            <v>301010101</v>
          </cell>
          <cell r="C2693">
            <v>5000000000</v>
          </cell>
          <cell r="D2693">
            <v>7000000000</v>
          </cell>
          <cell r="E2693">
            <v>8466880000</v>
          </cell>
          <cell r="F2693">
            <v>3125424721</v>
          </cell>
          <cell r="G2693">
            <v>10000000000</v>
          </cell>
          <cell r="H2693">
            <v>9684440178</v>
          </cell>
          <cell r="I2693">
            <v>8085000000</v>
          </cell>
          <cell r="J2693">
            <v>9700000000</v>
          </cell>
          <cell r="K2693">
            <v>5000000000</v>
          </cell>
          <cell r="L2693">
            <v>4000000000</v>
          </cell>
          <cell r="M2693">
            <v>3354000000</v>
          </cell>
          <cell r="N2693">
            <v>7000000000</v>
          </cell>
          <cell r="O2693">
            <v>3827000000</v>
          </cell>
          <cell r="P2693">
            <v>4277315875</v>
          </cell>
          <cell r="Q2693">
            <v>4600000000</v>
          </cell>
          <cell r="R2693">
            <v>3654000000</v>
          </cell>
          <cell r="S2693">
            <v>4790000000</v>
          </cell>
          <cell r="T2693">
            <v>7473221213</v>
          </cell>
          <cell r="U2693">
            <v>2036032903</v>
          </cell>
          <cell r="V2693">
            <v>13467060644</v>
          </cell>
          <cell r="W2693">
            <v>4754000000</v>
          </cell>
          <cell r="X2693">
            <v>5000000000</v>
          </cell>
          <cell r="Y2693">
            <v>3600000000</v>
          </cell>
          <cell r="Z2693">
            <v>5876798241</v>
          </cell>
          <cell r="AA2693">
            <v>3120000000</v>
          </cell>
          <cell r="AB2693">
            <v>7500000000</v>
          </cell>
          <cell r="AC2693">
            <v>3473925919</v>
          </cell>
          <cell r="AD2693">
            <v>6000000000</v>
          </cell>
          <cell r="AE2693">
            <v>17466900000</v>
          </cell>
          <cell r="AF2693">
            <v>5887000000</v>
          </cell>
          <cell r="AG2693">
            <v>6037984090</v>
          </cell>
          <cell r="AH2693">
            <v>12000000000</v>
          </cell>
          <cell r="AI2693">
            <v>4000000000</v>
          </cell>
        </row>
        <row r="2694">
          <cell r="A2694">
            <v>301020000</v>
          </cell>
          <cell r="C2694">
            <v>0</v>
          </cell>
          <cell r="D2694">
            <v>713586832</v>
          </cell>
          <cell r="E2694">
            <v>3494120000</v>
          </cell>
          <cell r="F2694">
            <v>0</v>
          </cell>
          <cell r="G2694">
            <v>0</v>
          </cell>
          <cell r="H2694">
            <v>4340500000</v>
          </cell>
          <cell r="I2694">
            <v>915000000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513000000</v>
          </cell>
          <cell r="S2694">
            <v>0</v>
          </cell>
          <cell r="T2694">
            <v>4626778787</v>
          </cell>
          <cell r="U2694">
            <v>772529684</v>
          </cell>
          <cell r="V2694">
            <v>2932939356</v>
          </cell>
          <cell r="W2694">
            <v>246000000</v>
          </cell>
          <cell r="X2694">
            <v>0</v>
          </cell>
          <cell r="Y2694">
            <v>264876588</v>
          </cell>
          <cell r="Z2694">
            <v>196516016</v>
          </cell>
          <cell r="AA2694">
            <v>0</v>
          </cell>
          <cell r="AB2694">
            <v>0</v>
          </cell>
          <cell r="AC2694">
            <v>31924000</v>
          </cell>
          <cell r="AD2694">
            <v>0</v>
          </cell>
          <cell r="AE2694">
            <v>0</v>
          </cell>
          <cell r="AF2694">
            <v>0</v>
          </cell>
          <cell r="AG2694">
            <v>412886688</v>
          </cell>
          <cell r="AH2694">
            <v>0</v>
          </cell>
          <cell r="AI2694">
            <v>0</v>
          </cell>
        </row>
        <row r="2695">
          <cell r="A2695">
            <v>301020100</v>
          </cell>
          <cell r="C2695">
            <v>0</v>
          </cell>
          <cell r="D2695">
            <v>713586832</v>
          </cell>
          <cell r="E2695">
            <v>3494120000</v>
          </cell>
          <cell r="F2695">
            <v>0</v>
          </cell>
          <cell r="G2695">
            <v>0</v>
          </cell>
          <cell r="H2695">
            <v>4340500000</v>
          </cell>
          <cell r="I2695">
            <v>915000000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513000000</v>
          </cell>
          <cell r="S2695">
            <v>0</v>
          </cell>
          <cell r="T2695">
            <v>4626778787</v>
          </cell>
          <cell r="U2695">
            <v>772529684</v>
          </cell>
          <cell r="V2695">
            <v>2932939356</v>
          </cell>
          <cell r="W2695">
            <v>246000000</v>
          </cell>
          <cell r="X2695">
            <v>0</v>
          </cell>
          <cell r="Y2695">
            <v>264876588</v>
          </cell>
          <cell r="Z2695">
            <v>196516016</v>
          </cell>
          <cell r="AA2695">
            <v>0</v>
          </cell>
          <cell r="AB2695">
            <v>0</v>
          </cell>
          <cell r="AC2695">
            <v>31924000</v>
          </cell>
          <cell r="AD2695">
            <v>0</v>
          </cell>
          <cell r="AE2695">
            <v>0</v>
          </cell>
          <cell r="AF2695">
            <v>0</v>
          </cell>
          <cell r="AG2695">
            <v>412886688</v>
          </cell>
          <cell r="AH2695">
            <v>0</v>
          </cell>
          <cell r="AI2695">
            <v>0</v>
          </cell>
        </row>
        <row r="2696">
          <cell r="A2696">
            <v>301020101</v>
          </cell>
          <cell r="C2696">
            <v>0</v>
          </cell>
          <cell r="D2696">
            <v>713586832</v>
          </cell>
          <cell r="E2696">
            <v>3494120000</v>
          </cell>
          <cell r="F2696">
            <v>0</v>
          </cell>
          <cell r="G2696">
            <v>0</v>
          </cell>
          <cell r="H2696">
            <v>2220500000</v>
          </cell>
          <cell r="I2696">
            <v>915000000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513000000</v>
          </cell>
          <cell r="S2696">
            <v>0</v>
          </cell>
          <cell r="T2696">
            <v>4626778787</v>
          </cell>
          <cell r="U2696">
            <v>772529684</v>
          </cell>
          <cell r="V2696">
            <v>1767939356</v>
          </cell>
          <cell r="W2696">
            <v>246000000</v>
          </cell>
          <cell r="X2696">
            <v>0</v>
          </cell>
          <cell r="Y2696">
            <v>264876588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</row>
        <row r="2697">
          <cell r="A2697">
            <v>301020102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2120000000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1165000000</v>
          </cell>
          <cell r="W2697">
            <v>0</v>
          </cell>
          <cell r="X2697">
            <v>0</v>
          </cell>
          <cell r="Y2697">
            <v>0</v>
          </cell>
          <cell r="Z2697">
            <v>196516016</v>
          </cell>
          <cell r="AA2697">
            <v>0</v>
          </cell>
          <cell r="AB2697">
            <v>0</v>
          </cell>
          <cell r="AC2697">
            <v>31924000</v>
          </cell>
          <cell r="AD2697">
            <v>0</v>
          </cell>
          <cell r="AE2697">
            <v>0</v>
          </cell>
          <cell r="AF2697">
            <v>0</v>
          </cell>
          <cell r="AG2697">
            <v>412886688</v>
          </cell>
          <cell r="AH2697">
            <v>0</v>
          </cell>
          <cell r="AI2697">
            <v>0</v>
          </cell>
        </row>
        <row r="2698">
          <cell r="A2698">
            <v>302000000</v>
          </cell>
          <cell r="C2698">
            <v>0</v>
          </cell>
          <cell r="D2698">
            <v>0</v>
          </cell>
          <cell r="E2698">
            <v>23601925</v>
          </cell>
          <cell r="F2698">
            <v>87375527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7912548</v>
          </cell>
          <cell r="M2698">
            <v>937575238</v>
          </cell>
          <cell r="N2698">
            <v>26889</v>
          </cell>
          <cell r="O2698">
            <v>373009307</v>
          </cell>
          <cell r="P2698">
            <v>101228903</v>
          </cell>
          <cell r="Q2698">
            <v>600000000</v>
          </cell>
          <cell r="R2698">
            <v>0</v>
          </cell>
          <cell r="S2698">
            <v>0</v>
          </cell>
          <cell r="T2698">
            <v>4594791</v>
          </cell>
          <cell r="U2698">
            <v>5329174335</v>
          </cell>
          <cell r="V2698">
            <v>0</v>
          </cell>
          <cell r="W2698">
            <v>0</v>
          </cell>
          <cell r="X2698">
            <v>477644834</v>
          </cell>
          <cell r="Y2698">
            <v>7716</v>
          </cell>
          <cell r="Z2698">
            <v>0</v>
          </cell>
          <cell r="AA2698">
            <v>180000000</v>
          </cell>
          <cell r="AB2698">
            <v>2576433380</v>
          </cell>
          <cell r="AC2698">
            <v>0</v>
          </cell>
          <cell r="AD2698">
            <v>516205</v>
          </cell>
          <cell r="AE2698">
            <v>0</v>
          </cell>
          <cell r="AF2698">
            <v>1725000</v>
          </cell>
          <cell r="AG2698">
            <v>0</v>
          </cell>
          <cell r="AH2698">
            <v>0</v>
          </cell>
          <cell r="AI2698">
            <v>22399447000</v>
          </cell>
        </row>
        <row r="2699">
          <cell r="A2699">
            <v>302010000</v>
          </cell>
          <cell r="C2699">
            <v>0</v>
          </cell>
          <cell r="D2699">
            <v>0</v>
          </cell>
          <cell r="E2699">
            <v>23601925</v>
          </cell>
          <cell r="F2699">
            <v>87375527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7912548</v>
          </cell>
          <cell r="M2699">
            <v>937575238</v>
          </cell>
          <cell r="N2699">
            <v>26889</v>
          </cell>
          <cell r="O2699">
            <v>373009307</v>
          </cell>
          <cell r="P2699">
            <v>101228903</v>
          </cell>
          <cell r="Q2699">
            <v>600000000</v>
          </cell>
          <cell r="R2699">
            <v>0</v>
          </cell>
          <cell r="S2699">
            <v>0</v>
          </cell>
          <cell r="T2699">
            <v>4594791</v>
          </cell>
          <cell r="U2699">
            <v>5329174335</v>
          </cell>
          <cell r="V2699">
            <v>0</v>
          </cell>
          <cell r="W2699">
            <v>0</v>
          </cell>
          <cell r="X2699">
            <v>477644834</v>
          </cell>
          <cell r="Y2699">
            <v>7716</v>
          </cell>
          <cell r="Z2699">
            <v>0</v>
          </cell>
          <cell r="AA2699">
            <v>180000000</v>
          </cell>
          <cell r="AB2699">
            <v>2576433380</v>
          </cell>
          <cell r="AC2699">
            <v>0</v>
          </cell>
          <cell r="AD2699">
            <v>516205</v>
          </cell>
          <cell r="AE2699">
            <v>0</v>
          </cell>
          <cell r="AF2699">
            <v>1725000</v>
          </cell>
          <cell r="AG2699">
            <v>0</v>
          </cell>
          <cell r="AH2699">
            <v>0</v>
          </cell>
          <cell r="AI2699">
            <v>22399447000</v>
          </cell>
        </row>
        <row r="2700">
          <cell r="A2700">
            <v>302010100</v>
          </cell>
          <cell r="C2700">
            <v>0</v>
          </cell>
          <cell r="D2700">
            <v>0</v>
          </cell>
          <cell r="E2700">
            <v>23601925</v>
          </cell>
          <cell r="F2700">
            <v>2375527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7912548</v>
          </cell>
          <cell r="M2700">
            <v>937575238</v>
          </cell>
          <cell r="N2700">
            <v>26889</v>
          </cell>
          <cell r="O2700">
            <v>0</v>
          </cell>
          <cell r="P2700">
            <v>101228903</v>
          </cell>
          <cell r="Q2700">
            <v>600000000</v>
          </cell>
          <cell r="R2700">
            <v>0</v>
          </cell>
          <cell r="S2700">
            <v>0</v>
          </cell>
          <cell r="T2700">
            <v>0</v>
          </cell>
          <cell r="U2700">
            <v>5286240000</v>
          </cell>
          <cell r="V2700">
            <v>0</v>
          </cell>
          <cell r="W2700">
            <v>0</v>
          </cell>
          <cell r="X2700">
            <v>477644834</v>
          </cell>
          <cell r="Y2700">
            <v>7716</v>
          </cell>
          <cell r="Z2700">
            <v>0</v>
          </cell>
          <cell r="AA2700">
            <v>0</v>
          </cell>
          <cell r="AB2700">
            <v>2576433380</v>
          </cell>
          <cell r="AC2700">
            <v>0</v>
          </cell>
          <cell r="AD2700">
            <v>516205</v>
          </cell>
          <cell r="AE2700">
            <v>0</v>
          </cell>
          <cell r="AF2700">
            <v>1725000</v>
          </cell>
          <cell r="AG2700">
            <v>0</v>
          </cell>
          <cell r="AH2700">
            <v>0</v>
          </cell>
          <cell r="AI2700">
            <v>22399447000</v>
          </cell>
        </row>
        <row r="2701">
          <cell r="A2701">
            <v>302010101</v>
          </cell>
          <cell r="C2701">
            <v>0</v>
          </cell>
          <cell r="D2701">
            <v>0</v>
          </cell>
          <cell r="E2701">
            <v>23601925</v>
          </cell>
          <cell r="F2701">
            <v>2375527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7912548</v>
          </cell>
          <cell r="M2701">
            <v>937575238</v>
          </cell>
          <cell r="N2701">
            <v>26889</v>
          </cell>
          <cell r="O2701">
            <v>0</v>
          </cell>
          <cell r="P2701">
            <v>101228903</v>
          </cell>
          <cell r="Q2701">
            <v>600000000</v>
          </cell>
          <cell r="R2701">
            <v>0</v>
          </cell>
          <cell r="S2701">
            <v>0</v>
          </cell>
          <cell r="T2701">
            <v>0</v>
          </cell>
          <cell r="U2701">
            <v>5286240000</v>
          </cell>
          <cell r="V2701">
            <v>0</v>
          </cell>
          <cell r="W2701">
            <v>0</v>
          </cell>
          <cell r="X2701">
            <v>477644834</v>
          </cell>
          <cell r="Y2701">
            <v>7716</v>
          </cell>
          <cell r="Z2701">
            <v>0</v>
          </cell>
          <cell r="AA2701">
            <v>0</v>
          </cell>
          <cell r="AB2701">
            <v>2576433380</v>
          </cell>
          <cell r="AC2701">
            <v>0</v>
          </cell>
          <cell r="AD2701">
            <v>516205</v>
          </cell>
          <cell r="AE2701">
            <v>0</v>
          </cell>
          <cell r="AF2701">
            <v>1725000</v>
          </cell>
          <cell r="AG2701">
            <v>0</v>
          </cell>
          <cell r="AH2701">
            <v>0</v>
          </cell>
          <cell r="AI2701">
            <v>22399447000</v>
          </cell>
        </row>
        <row r="2702">
          <cell r="A2702">
            <v>302010102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</row>
        <row r="2703">
          <cell r="A2703">
            <v>302010200</v>
          </cell>
          <cell r="C2703">
            <v>0</v>
          </cell>
          <cell r="D2703">
            <v>0</v>
          </cell>
          <cell r="E2703">
            <v>0</v>
          </cell>
          <cell r="F2703">
            <v>85000000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373009307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4594791</v>
          </cell>
          <cell r="U2703">
            <v>42934335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180000000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</row>
        <row r="2704">
          <cell r="A2704">
            <v>302010201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373000000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</row>
        <row r="2705">
          <cell r="A2705">
            <v>302010202</v>
          </cell>
          <cell r="C2705">
            <v>0</v>
          </cell>
          <cell r="D2705">
            <v>0</v>
          </cell>
          <cell r="E2705">
            <v>0</v>
          </cell>
          <cell r="F2705">
            <v>85000000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9307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180000000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</row>
        <row r="2706">
          <cell r="A2706">
            <v>302010203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4594791</v>
          </cell>
          <cell r="U2706">
            <v>42934335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</row>
        <row r="2707">
          <cell r="A2707">
            <v>302010300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</row>
        <row r="2708">
          <cell r="A2708">
            <v>302010301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</row>
        <row r="2709">
          <cell r="A2709">
            <v>303000000</v>
          </cell>
          <cell r="C2709">
            <v>7492410014</v>
          </cell>
          <cell r="D2709">
            <v>1349242535</v>
          </cell>
          <cell r="E2709">
            <v>1557576527</v>
          </cell>
          <cell r="F2709">
            <v>3060659050</v>
          </cell>
          <cell r="G2709">
            <v>5552096064</v>
          </cell>
          <cell r="H2709">
            <v>11727271633</v>
          </cell>
          <cell r="I2709">
            <v>2023805647</v>
          </cell>
          <cell r="J2709">
            <v>1305350043</v>
          </cell>
          <cell r="K2709">
            <v>883496821</v>
          </cell>
          <cell r="L2709">
            <v>2300377150</v>
          </cell>
          <cell r="M2709">
            <v>641832230</v>
          </cell>
          <cell r="N2709">
            <v>462655135</v>
          </cell>
          <cell r="O2709">
            <v>3346019765</v>
          </cell>
          <cell r="P2709">
            <v>1355221104</v>
          </cell>
          <cell r="Q2709">
            <v>1091700077</v>
          </cell>
          <cell r="R2709">
            <v>2219378239</v>
          </cell>
          <cell r="S2709">
            <v>89389382</v>
          </cell>
          <cell r="T2709">
            <v>3347332696</v>
          </cell>
          <cell r="U2709">
            <v>5357010893</v>
          </cell>
          <cell r="V2709">
            <v>1889173083</v>
          </cell>
          <cell r="W2709">
            <v>3754576975</v>
          </cell>
          <cell r="X2709">
            <v>3719264021</v>
          </cell>
          <cell r="Y2709">
            <v>888936118</v>
          </cell>
          <cell r="Z2709">
            <v>697207287</v>
          </cell>
          <cell r="AA2709">
            <v>913934415</v>
          </cell>
          <cell r="AB2709">
            <v>1670562675</v>
          </cell>
          <cell r="AC2709">
            <v>1029747381</v>
          </cell>
          <cell r="AD2709">
            <v>2485952126</v>
          </cell>
          <cell r="AE2709">
            <v>25618319184</v>
          </cell>
          <cell r="AF2709">
            <v>536321780</v>
          </cell>
          <cell r="AG2709">
            <v>622912583</v>
          </cell>
          <cell r="AH2709">
            <v>417787953</v>
          </cell>
          <cell r="AI2709">
            <v>48930774</v>
          </cell>
        </row>
        <row r="2710">
          <cell r="A2710">
            <v>303010000</v>
          </cell>
          <cell r="C2710">
            <v>396453083</v>
          </cell>
          <cell r="D2710">
            <v>979093447</v>
          </cell>
          <cell r="E2710">
            <v>904003004</v>
          </cell>
          <cell r="F2710">
            <v>466890691</v>
          </cell>
          <cell r="G2710">
            <v>2301081038</v>
          </cell>
          <cell r="H2710">
            <v>989283988</v>
          </cell>
          <cell r="I2710">
            <v>778628346</v>
          </cell>
          <cell r="J2710">
            <v>466831270</v>
          </cell>
          <cell r="K2710">
            <v>611389124</v>
          </cell>
          <cell r="L2710">
            <v>287473219</v>
          </cell>
          <cell r="M2710">
            <v>53629278</v>
          </cell>
          <cell r="N2710">
            <v>108236430</v>
          </cell>
          <cell r="O2710">
            <v>596501879</v>
          </cell>
          <cell r="P2710">
            <v>236355794</v>
          </cell>
          <cell r="Q2710">
            <v>979849268</v>
          </cell>
          <cell r="R2710">
            <v>143623334</v>
          </cell>
          <cell r="S2710">
            <v>22132616</v>
          </cell>
          <cell r="T2710">
            <v>903299712</v>
          </cell>
          <cell r="U2710">
            <v>160901355</v>
          </cell>
          <cell r="V2710">
            <v>730470869</v>
          </cell>
          <cell r="W2710">
            <v>871801576</v>
          </cell>
          <cell r="X2710">
            <v>590807874</v>
          </cell>
          <cell r="Y2710">
            <v>296273825</v>
          </cell>
          <cell r="Z2710">
            <v>89784635</v>
          </cell>
          <cell r="AA2710">
            <v>277109054</v>
          </cell>
          <cell r="AB2710">
            <v>509459035</v>
          </cell>
          <cell r="AC2710">
            <v>86691188</v>
          </cell>
          <cell r="AD2710">
            <v>440986495</v>
          </cell>
          <cell r="AE2710">
            <v>17524648991</v>
          </cell>
          <cell r="AF2710">
            <v>71975692</v>
          </cell>
          <cell r="AG2710">
            <v>21342679</v>
          </cell>
          <cell r="AH2710">
            <v>93641768</v>
          </cell>
          <cell r="AI2710">
            <v>0</v>
          </cell>
        </row>
        <row r="2711">
          <cell r="A2711">
            <v>303010100</v>
          </cell>
          <cell r="C2711">
            <v>394062225</v>
          </cell>
          <cell r="D2711">
            <v>979093447</v>
          </cell>
          <cell r="E2711">
            <v>904003004</v>
          </cell>
          <cell r="F2711">
            <v>437356902</v>
          </cell>
          <cell r="G2711">
            <v>1229297643</v>
          </cell>
          <cell r="H2711">
            <v>989283988</v>
          </cell>
          <cell r="I2711">
            <v>778628346</v>
          </cell>
          <cell r="J2711">
            <v>466831270</v>
          </cell>
          <cell r="K2711">
            <v>611389124</v>
          </cell>
          <cell r="L2711">
            <v>152433849</v>
          </cell>
          <cell r="M2711">
            <v>53629278</v>
          </cell>
          <cell r="N2711">
            <v>108236430</v>
          </cell>
          <cell r="O2711">
            <v>596501879</v>
          </cell>
          <cell r="P2711">
            <v>236355794</v>
          </cell>
          <cell r="Q2711">
            <v>821076042</v>
          </cell>
          <cell r="R2711">
            <v>143623334</v>
          </cell>
          <cell r="S2711">
            <v>22132616</v>
          </cell>
          <cell r="T2711">
            <v>903299712</v>
          </cell>
          <cell r="U2711">
            <v>160901355</v>
          </cell>
          <cell r="V2711">
            <v>730470869</v>
          </cell>
          <cell r="W2711">
            <v>642062927</v>
          </cell>
          <cell r="X2711">
            <v>590807874</v>
          </cell>
          <cell r="Y2711">
            <v>296273825</v>
          </cell>
          <cell r="Z2711">
            <v>89784635</v>
          </cell>
          <cell r="AA2711">
            <v>276540026</v>
          </cell>
          <cell r="AB2711">
            <v>509459035</v>
          </cell>
          <cell r="AC2711">
            <v>86691188</v>
          </cell>
          <cell r="AD2711">
            <v>440986495</v>
          </cell>
          <cell r="AE2711">
            <v>2367423632</v>
          </cell>
          <cell r="AF2711">
            <v>71975692</v>
          </cell>
          <cell r="AG2711">
            <v>21342679</v>
          </cell>
          <cell r="AH2711">
            <v>93641768</v>
          </cell>
          <cell r="AI2711">
            <v>0</v>
          </cell>
        </row>
        <row r="2712">
          <cell r="A2712">
            <v>303010101</v>
          </cell>
          <cell r="C2712">
            <v>394062225</v>
          </cell>
          <cell r="D2712">
            <v>979093447</v>
          </cell>
          <cell r="E2712">
            <v>904003004</v>
          </cell>
          <cell r="F2712">
            <v>437356902</v>
          </cell>
          <cell r="G2712">
            <v>1229297643</v>
          </cell>
          <cell r="H2712">
            <v>989283988</v>
          </cell>
          <cell r="I2712">
            <v>778628346</v>
          </cell>
          <cell r="J2712">
            <v>466831270</v>
          </cell>
          <cell r="K2712">
            <v>611389124</v>
          </cell>
          <cell r="L2712">
            <v>152433849</v>
          </cell>
          <cell r="M2712">
            <v>53629278</v>
          </cell>
          <cell r="N2712">
            <v>108236430</v>
          </cell>
          <cell r="O2712">
            <v>596501879</v>
          </cell>
          <cell r="P2712">
            <v>236355794</v>
          </cell>
          <cell r="Q2712">
            <v>821076042</v>
          </cell>
          <cell r="R2712">
            <v>143623334</v>
          </cell>
          <cell r="S2712">
            <v>22132616</v>
          </cell>
          <cell r="T2712">
            <v>903299712</v>
          </cell>
          <cell r="U2712">
            <v>160901355</v>
          </cell>
          <cell r="V2712">
            <v>730470869</v>
          </cell>
          <cell r="W2712">
            <v>642062927</v>
          </cell>
          <cell r="X2712">
            <v>590807874</v>
          </cell>
          <cell r="Y2712">
            <v>296273825</v>
          </cell>
          <cell r="Z2712">
            <v>89784635</v>
          </cell>
          <cell r="AA2712">
            <v>276540026</v>
          </cell>
          <cell r="AB2712">
            <v>509459035</v>
          </cell>
          <cell r="AC2712">
            <v>86691188</v>
          </cell>
          <cell r="AD2712">
            <v>440986495</v>
          </cell>
          <cell r="AE2712">
            <v>2367423632</v>
          </cell>
          <cell r="AF2712">
            <v>71975692</v>
          </cell>
          <cell r="AG2712">
            <v>21342679</v>
          </cell>
          <cell r="AH2712">
            <v>93641768</v>
          </cell>
          <cell r="AI2712">
            <v>0</v>
          </cell>
        </row>
        <row r="2713">
          <cell r="A2713">
            <v>303010200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158773226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15122721364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</row>
        <row r="2714">
          <cell r="A2714">
            <v>303010201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158773226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15122721364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</row>
        <row r="2715">
          <cell r="A2715">
            <v>303010300</v>
          </cell>
          <cell r="C2715">
            <v>2390858</v>
          </cell>
          <cell r="D2715">
            <v>0</v>
          </cell>
          <cell r="E2715">
            <v>0</v>
          </cell>
          <cell r="F2715">
            <v>29533789</v>
          </cell>
          <cell r="G2715">
            <v>1071783395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135039370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229738649</v>
          </cell>
          <cell r="X2715">
            <v>0</v>
          </cell>
          <cell r="Y2715">
            <v>0</v>
          </cell>
          <cell r="Z2715">
            <v>0</v>
          </cell>
          <cell r="AA2715">
            <v>569028</v>
          </cell>
          <cell r="AB2715">
            <v>0</v>
          </cell>
          <cell r="AC2715">
            <v>0</v>
          </cell>
          <cell r="AD2715">
            <v>0</v>
          </cell>
          <cell r="AE2715">
            <v>34503995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</row>
        <row r="2716">
          <cell r="A2716">
            <v>303010301</v>
          </cell>
          <cell r="C2716">
            <v>2390858</v>
          </cell>
          <cell r="D2716">
            <v>0</v>
          </cell>
          <cell r="E2716">
            <v>0</v>
          </cell>
          <cell r="F2716">
            <v>29533789</v>
          </cell>
          <cell r="G2716">
            <v>1071783395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135039370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  <cell r="W2716">
            <v>229738649</v>
          </cell>
          <cell r="X2716">
            <v>0</v>
          </cell>
          <cell r="Y2716">
            <v>0</v>
          </cell>
          <cell r="Z2716">
            <v>0</v>
          </cell>
          <cell r="AA2716">
            <v>569028</v>
          </cell>
          <cell r="AB2716">
            <v>0</v>
          </cell>
          <cell r="AC2716">
            <v>0</v>
          </cell>
          <cell r="AD2716">
            <v>0</v>
          </cell>
          <cell r="AE2716">
            <v>34503995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</row>
        <row r="2717">
          <cell r="A2717">
            <v>303020000</v>
          </cell>
          <cell r="C2717">
            <v>7095956931</v>
          </cell>
          <cell r="D2717">
            <v>370149088</v>
          </cell>
          <cell r="E2717">
            <v>653573523</v>
          </cell>
          <cell r="F2717">
            <v>2593768359</v>
          </cell>
          <cell r="G2717">
            <v>3251015026</v>
          </cell>
          <cell r="H2717">
            <v>10737987645</v>
          </cell>
          <cell r="I2717">
            <v>1245177301</v>
          </cell>
          <cell r="J2717">
            <v>838518773</v>
          </cell>
          <cell r="K2717">
            <v>272107697</v>
          </cell>
          <cell r="L2717">
            <v>2012903931</v>
          </cell>
          <cell r="M2717">
            <v>588202952</v>
          </cell>
          <cell r="N2717">
            <v>354418705</v>
          </cell>
          <cell r="O2717">
            <v>2749517886</v>
          </cell>
          <cell r="P2717">
            <v>1118865310</v>
          </cell>
          <cell r="Q2717">
            <v>111850809</v>
          </cell>
          <cell r="R2717">
            <v>2075754905</v>
          </cell>
          <cell r="S2717">
            <v>67256766</v>
          </cell>
          <cell r="T2717">
            <v>2444032984</v>
          </cell>
          <cell r="U2717">
            <v>5196109538</v>
          </cell>
          <cell r="V2717">
            <v>1158702214</v>
          </cell>
          <cell r="W2717">
            <v>2882775399</v>
          </cell>
          <cell r="X2717">
            <v>3128456147</v>
          </cell>
          <cell r="Y2717">
            <v>592662293</v>
          </cell>
          <cell r="Z2717">
            <v>607422652</v>
          </cell>
          <cell r="AA2717">
            <v>636825361</v>
          </cell>
          <cell r="AB2717">
            <v>1161103640</v>
          </cell>
          <cell r="AC2717">
            <v>943056193</v>
          </cell>
          <cell r="AD2717">
            <v>2044965631</v>
          </cell>
          <cell r="AE2717">
            <v>8093670193</v>
          </cell>
          <cell r="AF2717">
            <v>464346088</v>
          </cell>
          <cell r="AG2717">
            <v>601569904</v>
          </cell>
          <cell r="AH2717">
            <v>324146185</v>
          </cell>
          <cell r="AI2717">
            <v>48930774</v>
          </cell>
        </row>
        <row r="2718">
          <cell r="A2718">
            <v>303020100</v>
          </cell>
          <cell r="C2718">
            <v>7095956931</v>
          </cell>
          <cell r="D2718">
            <v>370149088</v>
          </cell>
          <cell r="E2718">
            <v>653573523</v>
          </cell>
          <cell r="F2718">
            <v>2593768359</v>
          </cell>
          <cell r="G2718">
            <v>3251015026</v>
          </cell>
          <cell r="H2718">
            <v>10737987645</v>
          </cell>
          <cell r="I2718">
            <v>1245177301</v>
          </cell>
          <cell r="J2718">
            <v>838518773</v>
          </cell>
          <cell r="K2718">
            <v>272107697</v>
          </cell>
          <cell r="L2718">
            <v>2012903931</v>
          </cell>
          <cell r="M2718">
            <v>588202952</v>
          </cell>
          <cell r="N2718">
            <v>354418705</v>
          </cell>
          <cell r="O2718">
            <v>2749517886</v>
          </cell>
          <cell r="P2718">
            <v>1118865310</v>
          </cell>
          <cell r="Q2718">
            <v>111850809</v>
          </cell>
          <cell r="R2718">
            <v>2075754905</v>
          </cell>
          <cell r="S2718">
            <v>67256766</v>
          </cell>
          <cell r="T2718">
            <v>2444032984</v>
          </cell>
          <cell r="U2718">
            <v>4969179938</v>
          </cell>
          <cell r="V2718">
            <v>1158702214</v>
          </cell>
          <cell r="W2718">
            <v>2882775399</v>
          </cell>
          <cell r="X2718">
            <v>3128456147</v>
          </cell>
          <cell r="Y2718">
            <v>592662293</v>
          </cell>
          <cell r="Z2718">
            <v>607422652</v>
          </cell>
          <cell r="AA2718">
            <v>636825361</v>
          </cell>
          <cell r="AB2718">
            <v>1161103640</v>
          </cell>
          <cell r="AC2718">
            <v>943056193</v>
          </cell>
          <cell r="AD2718">
            <v>2044965631</v>
          </cell>
          <cell r="AE2718">
            <v>8092670193</v>
          </cell>
          <cell r="AF2718">
            <v>464346088</v>
          </cell>
          <cell r="AG2718">
            <v>601569904</v>
          </cell>
          <cell r="AH2718">
            <v>324146185</v>
          </cell>
          <cell r="AI2718">
            <v>48930774</v>
          </cell>
        </row>
        <row r="2719">
          <cell r="A2719">
            <v>303020101</v>
          </cell>
          <cell r="C2719">
            <v>4352648033</v>
          </cell>
          <cell r="D2719">
            <v>370149088</v>
          </cell>
          <cell r="E2719">
            <v>653573523</v>
          </cell>
          <cell r="F2719">
            <v>2593768359</v>
          </cell>
          <cell r="G2719">
            <v>3251015026</v>
          </cell>
          <cell r="H2719">
            <v>8262243374</v>
          </cell>
          <cell r="I2719">
            <v>1245177301</v>
          </cell>
          <cell r="J2719">
            <v>838518773</v>
          </cell>
          <cell r="K2719">
            <v>240642103</v>
          </cell>
          <cell r="L2719">
            <v>2012903931</v>
          </cell>
          <cell r="M2719">
            <v>588202952</v>
          </cell>
          <cell r="N2719">
            <v>354418705</v>
          </cell>
          <cell r="O2719">
            <v>2749517886</v>
          </cell>
          <cell r="P2719">
            <v>1118865310</v>
          </cell>
          <cell r="Q2719">
            <v>111850809</v>
          </cell>
          <cell r="R2719">
            <v>2075754905</v>
          </cell>
          <cell r="S2719">
            <v>67256766</v>
          </cell>
          <cell r="T2719">
            <v>2444032984</v>
          </cell>
          <cell r="U2719">
            <v>4969179938</v>
          </cell>
          <cell r="V2719">
            <v>1158702214</v>
          </cell>
          <cell r="W2719">
            <v>2882775399</v>
          </cell>
          <cell r="X2719">
            <v>3128456147</v>
          </cell>
          <cell r="Y2719">
            <v>592662293</v>
          </cell>
          <cell r="Z2719">
            <v>607422652</v>
          </cell>
          <cell r="AA2719">
            <v>636825361</v>
          </cell>
          <cell r="AB2719">
            <v>1161103640</v>
          </cell>
          <cell r="AC2719">
            <v>943056193</v>
          </cell>
          <cell r="AD2719">
            <v>2044965631</v>
          </cell>
          <cell r="AE2719">
            <v>7472848644</v>
          </cell>
          <cell r="AF2719">
            <v>464346088</v>
          </cell>
          <cell r="AG2719">
            <v>601569904</v>
          </cell>
          <cell r="AH2719">
            <v>324146185</v>
          </cell>
          <cell r="AI2719">
            <v>48930774</v>
          </cell>
        </row>
        <row r="2720">
          <cell r="A2720">
            <v>303020102</v>
          </cell>
          <cell r="C2720">
            <v>2743308898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2475744271</v>
          </cell>
          <cell r="I2720">
            <v>0</v>
          </cell>
          <cell r="J2720">
            <v>0</v>
          </cell>
          <cell r="K2720">
            <v>31465594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619821549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</row>
        <row r="2721">
          <cell r="A2721">
            <v>303020200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226929600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1000000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</row>
        <row r="2722">
          <cell r="A2722">
            <v>303020201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226929600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1000000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</row>
        <row r="2723">
          <cell r="A2723">
            <v>304000000</v>
          </cell>
          <cell r="C2723">
            <v>-1173520435</v>
          </cell>
          <cell r="D2723">
            <v>87515422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3283763437</v>
          </cell>
          <cell r="J2723">
            <v>44294054</v>
          </cell>
          <cell r="K2723">
            <v>-1358728128</v>
          </cell>
          <cell r="L2723">
            <v>-147566252</v>
          </cell>
          <cell r="M2723">
            <v>-967624198</v>
          </cell>
          <cell r="N2723">
            <v>63864117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-1154503471</v>
          </cell>
          <cell r="T2723">
            <v>0</v>
          </cell>
          <cell r="U2723">
            <v>-8020584366</v>
          </cell>
          <cell r="V2723">
            <v>0</v>
          </cell>
          <cell r="W2723">
            <v>0</v>
          </cell>
          <cell r="X2723">
            <v>0</v>
          </cell>
          <cell r="Y2723">
            <v>-1358947810</v>
          </cell>
          <cell r="Z2723">
            <v>335876654</v>
          </cell>
          <cell r="AA2723">
            <v>0</v>
          </cell>
          <cell r="AB2723">
            <v>0</v>
          </cell>
          <cell r="AC2723">
            <v>195906191</v>
          </cell>
          <cell r="AD2723">
            <v>0</v>
          </cell>
          <cell r="AE2723">
            <v>27828916666</v>
          </cell>
          <cell r="AF2723">
            <v>-438047545</v>
          </cell>
          <cell r="AG2723">
            <v>-3645497425</v>
          </cell>
          <cell r="AH2723">
            <v>-21595025</v>
          </cell>
          <cell r="AI2723">
            <v>-11326434464</v>
          </cell>
        </row>
        <row r="2724">
          <cell r="A2724">
            <v>304010000</v>
          </cell>
          <cell r="C2724">
            <v>0</v>
          </cell>
          <cell r="D2724">
            <v>87515422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3283763437</v>
          </cell>
          <cell r="J2724">
            <v>44294054</v>
          </cell>
          <cell r="K2724">
            <v>0</v>
          </cell>
          <cell r="L2724">
            <v>0</v>
          </cell>
          <cell r="M2724">
            <v>0</v>
          </cell>
          <cell r="N2724">
            <v>63864117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335876654</v>
          </cell>
          <cell r="AA2724">
            <v>0</v>
          </cell>
          <cell r="AB2724">
            <v>0</v>
          </cell>
          <cell r="AC2724">
            <v>195906191</v>
          </cell>
          <cell r="AD2724">
            <v>0</v>
          </cell>
          <cell r="AE2724">
            <v>27828916666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</row>
        <row r="2725">
          <cell r="A2725">
            <v>304010100</v>
          </cell>
          <cell r="C2725">
            <v>0</v>
          </cell>
          <cell r="D2725">
            <v>87515422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3283763437</v>
          </cell>
          <cell r="J2725">
            <v>44294054</v>
          </cell>
          <cell r="K2725">
            <v>0</v>
          </cell>
          <cell r="L2725">
            <v>0</v>
          </cell>
          <cell r="M2725">
            <v>0</v>
          </cell>
          <cell r="N2725">
            <v>63864117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335876654</v>
          </cell>
          <cell r="AA2725">
            <v>0</v>
          </cell>
          <cell r="AB2725">
            <v>0</v>
          </cell>
          <cell r="AC2725">
            <v>195906191</v>
          </cell>
          <cell r="AD2725">
            <v>0</v>
          </cell>
          <cell r="AE2725">
            <v>27828916666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</row>
        <row r="2726">
          <cell r="A2726">
            <v>304010101</v>
          </cell>
          <cell r="C2726">
            <v>0</v>
          </cell>
          <cell r="D2726">
            <v>87515422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3283763437</v>
          </cell>
          <cell r="J2726">
            <v>44294054</v>
          </cell>
          <cell r="K2726">
            <v>0</v>
          </cell>
          <cell r="L2726">
            <v>0</v>
          </cell>
          <cell r="M2726">
            <v>0</v>
          </cell>
          <cell r="N2726">
            <v>63864117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335876654</v>
          </cell>
          <cell r="AA2726">
            <v>0</v>
          </cell>
          <cell r="AB2726">
            <v>0</v>
          </cell>
          <cell r="AC2726">
            <v>195906191</v>
          </cell>
          <cell r="AD2726">
            <v>0</v>
          </cell>
          <cell r="AE2726">
            <v>27828916666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</row>
        <row r="2727">
          <cell r="A2727">
            <v>304020000</v>
          </cell>
          <cell r="C2727">
            <v>-1173520435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-1358728128</v>
          </cell>
          <cell r="L2727">
            <v>-147566252</v>
          </cell>
          <cell r="M2727">
            <v>-967624198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-1154503471</v>
          </cell>
          <cell r="T2727">
            <v>0</v>
          </cell>
          <cell r="U2727">
            <v>-8020584366</v>
          </cell>
          <cell r="V2727">
            <v>0</v>
          </cell>
          <cell r="W2727">
            <v>0</v>
          </cell>
          <cell r="X2727">
            <v>0</v>
          </cell>
          <cell r="Y2727">
            <v>-1358947810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-438047545</v>
          </cell>
          <cell r="AG2727">
            <v>-3645497425</v>
          </cell>
          <cell r="AH2727">
            <v>-21595025</v>
          </cell>
          <cell r="AI2727">
            <v>-11326434464</v>
          </cell>
        </row>
        <row r="2728">
          <cell r="A2728">
            <v>304020100</v>
          </cell>
          <cell r="C2728">
            <v>-1173520435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-1358728128</v>
          </cell>
          <cell r="L2728">
            <v>-147566252</v>
          </cell>
          <cell r="M2728">
            <v>-967624198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-1154503471</v>
          </cell>
          <cell r="T2728">
            <v>0</v>
          </cell>
          <cell r="U2728">
            <v>-8020584366</v>
          </cell>
          <cell r="V2728">
            <v>0</v>
          </cell>
          <cell r="W2728">
            <v>0</v>
          </cell>
          <cell r="X2728">
            <v>0</v>
          </cell>
          <cell r="Y2728">
            <v>-1358947810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-438047545</v>
          </cell>
          <cell r="AG2728">
            <v>-3645497425</v>
          </cell>
          <cell r="AH2728">
            <v>-21595025</v>
          </cell>
          <cell r="AI2728">
            <v>-11326434464</v>
          </cell>
        </row>
        <row r="2729">
          <cell r="A2729">
            <v>304020101</v>
          </cell>
          <cell r="C2729">
            <v>-1173520435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-1358728128</v>
          </cell>
          <cell r="L2729">
            <v>-147566252</v>
          </cell>
          <cell r="M2729">
            <v>-967624198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-1154503471</v>
          </cell>
          <cell r="T2729">
            <v>0</v>
          </cell>
          <cell r="U2729">
            <v>-8020584366</v>
          </cell>
          <cell r="V2729">
            <v>0</v>
          </cell>
          <cell r="W2729">
            <v>0</v>
          </cell>
          <cell r="X2729">
            <v>0</v>
          </cell>
          <cell r="Y2729">
            <v>-1358947810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-438047545</v>
          </cell>
          <cell r="AG2729">
            <v>-3645497425</v>
          </cell>
          <cell r="AH2729">
            <v>-21595025</v>
          </cell>
          <cell r="AI2729">
            <v>-11326434464</v>
          </cell>
        </row>
        <row r="2730">
          <cell r="A2730">
            <v>305000000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</row>
        <row r="2731">
          <cell r="A2731">
            <v>305010000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</row>
        <row r="2732">
          <cell r="A2732">
            <v>305010100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</row>
        <row r="2733">
          <cell r="A2733">
            <v>305010101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</row>
        <row r="2734">
          <cell r="A2734">
            <v>305010200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</row>
        <row r="2735">
          <cell r="A2735">
            <v>305010201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</row>
        <row r="2736">
          <cell r="A2736">
            <v>400000000</v>
          </cell>
          <cell r="C2736">
            <v>42440134915</v>
          </cell>
          <cell r="D2736">
            <v>44317091235</v>
          </cell>
          <cell r="E2736">
            <v>23632673253</v>
          </cell>
          <cell r="F2736">
            <v>14625073976</v>
          </cell>
          <cell r="G2736">
            <v>53110354646</v>
          </cell>
          <cell r="H2736">
            <v>104809867132</v>
          </cell>
          <cell r="I2736">
            <v>32244915941</v>
          </cell>
          <cell r="J2736">
            <v>9253867144</v>
          </cell>
          <cell r="K2736">
            <v>7918756271</v>
          </cell>
          <cell r="L2736">
            <v>5369964700</v>
          </cell>
          <cell r="M2736">
            <v>16746591207</v>
          </cell>
          <cell r="N2736">
            <v>83190738250</v>
          </cell>
          <cell r="O2736">
            <v>26263886283</v>
          </cell>
          <cell r="P2736">
            <v>14063612115</v>
          </cell>
          <cell r="Q2736">
            <v>16717573911</v>
          </cell>
          <cell r="R2736">
            <v>20097540328</v>
          </cell>
          <cell r="S2736">
            <v>4621855010</v>
          </cell>
          <cell r="T2736">
            <v>52664602624</v>
          </cell>
          <cell r="U2736">
            <v>818969172</v>
          </cell>
          <cell r="V2736">
            <v>90038099945</v>
          </cell>
          <cell r="W2736">
            <v>19689269464</v>
          </cell>
          <cell r="X2736">
            <v>27656478369</v>
          </cell>
          <cell r="Y2736">
            <v>6978431558</v>
          </cell>
          <cell r="Z2736">
            <v>22672259950</v>
          </cell>
          <cell r="AA2736">
            <v>7650806514</v>
          </cell>
          <cell r="AB2736">
            <v>68082637679</v>
          </cell>
          <cell r="AC2736">
            <v>9499562945</v>
          </cell>
          <cell r="AD2736">
            <v>33001378588</v>
          </cell>
          <cell r="AE2736">
            <v>275911240108</v>
          </cell>
          <cell r="AF2736">
            <v>24656953932</v>
          </cell>
          <cell r="AG2736">
            <v>16497544231</v>
          </cell>
          <cell r="AH2736">
            <v>35691473389</v>
          </cell>
          <cell r="AI2736">
            <v>28730639439</v>
          </cell>
        </row>
        <row r="2737">
          <cell r="A2737">
            <v>401000000</v>
          </cell>
          <cell r="C2737">
            <v>30703378647</v>
          </cell>
          <cell r="D2737">
            <v>35211572540</v>
          </cell>
          <cell r="E2737">
            <v>15639772038</v>
          </cell>
          <cell r="F2737">
            <v>10303126145</v>
          </cell>
          <cell r="G2737">
            <v>36343104064</v>
          </cell>
          <cell r="H2737">
            <v>83751393610</v>
          </cell>
          <cell r="I2737">
            <v>22197187447</v>
          </cell>
          <cell r="J2737">
            <v>7326792066</v>
          </cell>
          <cell r="K2737">
            <v>6043514290</v>
          </cell>
          <cell r="L2737">
            <v>3228861016</v>
          </cell>
          <cell r="M2737">
            <v>13272392192</v>
          </cell>
          <cell r="N2737">
            <v>39363566399</v>
          </cell>
          <cell r="O2737">
            <v>18676744895</v>
          </cell>
          <cell r="P2737">
            <v>11683107519</v>
          </cell>
          <cell r="Q2737">
            <v>10490486422</v>
          </cell>
          <cell r="R2737">
            <v>14677244525</v>
          </cell>
          <cell r="S2737">
            <v>2613224193</v>
          </cell>
          <cell r="T2737">
            <v>33582992570</v>
          </cell>
          <cell r="U2737">
            <v>0</v>
          </cell>
          <cell r="V2737">
            <v>57671105646</v>
          </cell>
          <cell r="W2737">
            <v>15057369685</v>
          </cell>
          <cell r="X2737">
            <v>21158091953</v>
          </cell>
          <cell r="Y2737">
            <v>5000180330</v>
          </cell>
          <cell r="Z2737">
            <v>19335306274</v>
          </cell>
          <cell r="AA2737">
            <v>5771202072</v>
          </cell>
          <cell r="AB2737">
            <v>54677645232</v>
          </cell>
          <cell r="AC2737">
            <v>8108904665</v>
          </cell>
          <cell r="AD2737">
            <v>26467062622</v>
          </cell>
          <cell r="AE2737">
            <v>212499794618</v>
          </cell>
          <cell r="AF2737">
            <v>19648126850</v>
          </cell>
          <cell r="AG2737">
            <v>13204362422</v>
          </cell>
          <cell r="AH2737">
            <v>26728305716</v>
          </cell>
          <cell r="AI2737">
            <v>13189101082</v>
          </cell>
        </row>
        <row r="2738">
          <cell r="A2738">
            <v>401010000</v>
          </cell>
          <cell r="C2738">
            <v>30703378647</v>
          </cell>
          <cell r="D2738">
            <v>35211572540</v>
          </cell>
          <cell r="E2738">
            <v>15639772038</v>
          </cell>
          <cell r="F2738">
            <v>10303126145</v>
          </cell>
          <cell r="G2738">
            <v>36343104064</v>
          </cell>
          <cell r="H2738">
            <v>83751393610</v>
          </cell>
          <cell r="I2738">
            <v>22197187447</v>
          </cell>
          <cell r="J2738">
            <v>7326792066</v>
          </cell>
          <cell r="K2738">
            <v>6043514290</v>
          </cell>
          <cell r="L2738">
            <v>3228861016</v>
          </cell>
          <cell r="M2738">
            <v>13272392192</v>
          </cell>
          <cell r="N2738">
            <v>39363566399</v>
          </cell>
          <cell r="O2738">
            <v>18676744895</v>
          </cell>
          <cell r="P2738">
            <v>11683107519</v>
          </cell>
          <cell r="Q2738">
            <v>10490486422</v>
          </cell>
          <cell r="R2738">
            <v>14677244525</v>
          </cell>
          <cell r="S2738">
            <v>2613224193</v>
          </cell>
          <cell r="T2738">
            <v>33582992570</v>
          </cell>
          <cell r="U2738">
            <v>0</v>
          </cell>
          <cell r="V2738">
            <v>57671105646</v>
          </cell>
          <cell r="W2738">
            <v>15057369685</v>
          </cell>
          <cell r="X2738">
            <v>21158091953</v>
          </cell>
          <cell r="Y2738">
            <v>5000180330</v>
          </cell>
          <cell r="Z2738">
            <v>19335306274</v>
          </cell>
          <cell r="AA2738">
            <v>5771202072</v>
          </cell>
          <cell r="AB2738">
            <v>54677645232</v>
          </cell>
          <cell r="AC2738">
            <v>8108904665</v>
          </cell>
          <cell r="AD2738">
            <v>26467062622</v>
          </cell>
          <cell r="AE2738">
            <v>212499794618</v>
          </cell>
          <cell r="AF2738">
            <v>19648126850</v>
          </cell>
          <cell r="AG2738">
            <v>13204362422</v>
          </cell>
          <cell r="AH2738">
            <v>26728305716</v>
          </cell>
          <cell r="AI2738">
            <v>13189101082</v>
          </cell>
        </row>
        <row r="2739">
          <cell r="A2739">
            <v>401010100</v>
          </cell>
          <cell r="C2739">
            <v>1488876166</v>
          </cell>
          <cell r="D2739">
            <v>5801930604</v>
          </cell>
          <cell r="E2739">
            <v>4706448452</v>
          </cell>
          <cell r="F2739">
            <v>1566063398</v>
          </cell>
          <cell r="G2739">
            <v>1105809013</v>
          </cell>
          <cell r="H2739">
            <v>4066609455</v>
          </cell>
          <cell r="I2739">
            <v>1555812254</v>
          </cell>
          <cell r="J2739">
            <v>577372242</v>
          </cell>
          <cell r="K2739">
            <v>218250806</v>
          </cell>
          <cell r="L2739">
            <v>499278644</v>
          </cell>
          <cell r="M2739">
            <v>87940094</v>
          </cell>
          <cell r="N2739">
            <v>4871236610</v>
          </cell>
          <cell r="O2739">
            <v>4252821587</v>
          </cell>
          <cell r="P2739">
            <v>624709780</v>
          </cell>
          <cell r="Q2739">
            <v>1239301864</v>
          </cell>
          <cell r="R2739">
            <v>666886166</v>
          </cell>
          <cell r="S2739">
            <v>50198445</v>
          </cell>
          <cell r="T2739">
            <v>3402825938</v>
          </cell>
          <cell r="U2739">
            <v>0</v>
          </cell>
          <cell r="V2739">
            <v>5993078657</v>
          </cell>
          <cell r="W2739">
            <v>972776373</v>
          </cell>
          <cell r="X2739">
            <v>1531061031</v>
          </cell>
          <cell r="Y2739">
            <v>234521890</v>
          </cell>
          <cell r="Z2739">
            <v>671017379</v>
          </cell>
          <cell r="AA2739">
            <v>871094134</v>
          </cell>
          <cell r="AB2739">
            <v>2601200605</v>
          </cell>
          <cell r="AC2739">
            <v>434226744</v>
          </cell>
          <cell r="AD2739">
            <v>2221543245</v>
          </cell>
          <cell r="AE2739">
            <v>24411893550</v>
          </cell>
          <cell r="AF2739">
            <v>894862920</v>
          </cell>
          <cell r="AG2739">
            <v>553947532</v>
          </cell>
          <cell r="AH2739">
            <v>732082092</v>
          </cell>
          <cell r="AI2739">
            <v>22126493</v>
          </cell>
        </row>
        <row r="2740">
          <cell r="A2740">
            <v>401010101</v>
          </cell>
          <cell r="C2740">
            <v>1488876166</v>
          </cell>
          <cell r="D2740">
            <v>5801930604</v>
          </cell>
          <cell r="E2740">
            <v>4706448452</v>
          </cell>
          <cell r="F2740">
            <v>1566063398</v>
          </cell>
          <cell r="G2740">
            <v>1105809013</v>
          </cell>
          <cell r="H2740">
            <v>4066609455</v>
          </cell>
          <cell r="I2740">
            <v>1555812254</v>
          </cell>
          <cell r="J2740">
            <v>577372242</v>
          </cell>
          <cell r="K2740">
            <v>218250806</v>
          </cell>
          <cell r="L2740">
            <v>499278644</v>
          </cell>
          <cell r="M2740">
            <v>87940094</v>
          </cell>
          <cell r="N2740">
            <v>4871236610</v>
          </cell>
          <cell r="O2740">
            <v>4252821587</v>
          </cell>
          <cell r="P2740">
            <v>624709780</v>
          </cell>
          <cell r="Q2740">
            <v>1239301864</v>
          </cell>
          <cell r="R2740">
            <v>666886166</v>
          </cell>
          <cell r="S2740">
            <v>50198445</v>
          </cell>
          <cell r="T2740">
            <v>3402825938</v>
          </cell>
          <cell r="U2740">
            <v>0</v>
          </cell>
          <cell r="V2740">
            <v>5993078657</v>
          </cell>
          <cell r="W2740">
            <v>972776373</v>
          </cell>
          <cell r="X2740">
            <v>1531061031</v>
          </cell>
          <cell r="Y2740">
            <v>234521890</v>
          </cell>
          <cell r="Z2740">
            <v>671017379</v>
          </cell>
          <cell r="AA2740">
            <v>871094134</v>
          </cell>
          <cell r="AB2740">
            <v>2601200605</v>
          </cell>
          <cell r="AC2740">
            <v>434226744</v>
          </cell>
          <cell r="AD2740">
            <v>2221543245</v>
          </cell>
          <cell r="AE2740">
            <v>24411893550</v>
          </cell>
          <cell r="AF2740">
            <v>894862920</v>
          </cell>
          <cell r="AG2740">
            <v>553947532</v>
          </cell>
          <cell r="AH2740">
            <v>732082092</v>
          </cell>
          <cell r="AI2740">
            <v>22126493</v>
          </cell>
        </row>
        <row r="2741">
          <cell r="A2741">
            <v>401010200</v>
          </cell>
          <cell r="C2741">
            <v>1083709177</v>
          </cell>
          <cell r="D2741">
            <v>2656506112</v>
          </cell>
          <cell r="E2741">
            <v>539142928</v>
          </cell>
          <cell r="F2741">
            <v>586817732</v>
          </cell>
          <cell r="G2741">
            <v>957442532</v>
          </cell>
          <cell r="H2741">
            <v>4983658567</v>
          </cell>
          <cell r="I2741">
            <v>393690361</v>
          </cell>
          <cell r="J2741">
            <v>59450048</v>
          </cell>
          <cell r="K2741">
            <v>18580556</v>
          </cell>
          <cell r="L2741">
            <v>44540213</v>
          </cell>
          <cell r="M2741">
            <v>80477408</v>
          </cell>
          <cell r="N2741">
            <v>1590894556</v>
          </cell>
          <cell r="O2741">
            <v>1130851333</v>
          </cell>
          <cell r="P2741">
            <v>1324589262</v>
          </cell>
          <cell r="Q2741">
            <v>531301464</v>
          </cell>
          <cell r="R2741">
            <v>526476044</v>
          </cell>
          <cell r="S2741">
            <v>1729614</v>
          </cell>
          <cell r="T2741">
            <v>2490236712</v>
          </cell>
          <cell r="U2741">
            <v>0</v>
          </cell>
          <cell r="V2741">
            <v>2697977021</v>
          </cell>
          <cell r="W2741">
            <v>159392959</v>
          </cell>
          <cell r="X2741">
            <v>1777734281</v>
          </cell>
          <cell r="Y2741">
            <v>116390075</v>
          </cell>
          <cell r="Z2741">
            <v>70434414</v>
          </cell>
          <cell r="AA2741">
            <v>395862129</v>
          </cell>
          <cell r="AB2741">
            <v>2189575500</v>
          </cell>
          <cell r="AC2741">
            <v>74808769</v>
          </cell>
          <cell r="AD2741">
            <v>880659086</v>
          </cell>
          <cell r="AE2741">
            <v>11581775028</v>
          </cell>
          <cell r="AF2741">
            <v>127796536</v>
          </cell>
          <cell r="AG2741">
            <v>1036158141</v>
          </cell>
          <cell r="AH2741">
            <v>120664500</v>
          </cell>
          <cell r="AI2741">
            <v>22922479</v>
          </cell>
        </row>
        <row r="2742">
          <cell r="A2742">
            <v>401010201</v>
          </cell>
          <cell r="C2742">
            <v>1083709177</v>
          </cell>
          <cell r="D2742">
            <v>2656506112</v>
          </cell>
          <cell r="E2742">
            <v>539142928</v>
          </cell>
          <cell r="F2742">
            <v>586817732</v>
          </cell>
          <cell r="G2742">
            <v>957442532</v>
          </cell>
          <cell r="H2742">
            <v>4983658567</v>
          </cell>
          <cell r="I2742">
            <v>393690361</v>
          </cell>
          <cell r="J2742">
            <v>59450048</v>
          </cell>
          <cell r="K2742">
            <v>18580556</v>
          </cell>
          <cell r="L2742">
            <v>44540213</v>
          </cell>
          <cell r="M2742">
            <v>80477408</v>
          </cell>
          <cell r="N2742">
            <v>1590894556</v>
          </cell>
          <cell r="O2742">
            <v>1130851333</v>
          </cell>
          <cell r="P2742">
            <v>1324589262</v>
          </cell>
          <cell r="Q2742">
            <v>531301464</v>
          </cell>
          <cell r="R2742">
            <v>526476044</v>
          </cell>
          <cell r="S2742">
            <v>1729614</v>
          </cell>
          <cell r="T2742">
            <v>2490236712</v>
          </cell>
          <cell r="U2742">
            <v>0</v>
          </cell>
          <cell r="V2742">
            <v>2697977021</v>
          </cell>
          <cell r="W2742">
            <v>159392959</v>
          </cell>
          <cell r="X2742">
            <v>1777734281</v>
          </cell>
          <cell r="Y2742">
            <v>116390075</v>
          </cell>
          <cell r="Z2742">
            <v>70434414</v>
          </cell>
          <cell r="AA2742">
            <v>395862129</v>
          </cell>
          <cell r="AB2742">
            <v>2189575500</v>
          </cell>
          <cell r="AC2742">
            <v>74808769</v>
          </cell>
          <cell r="AD2742">
            <v>880659086</v>
          </cell>
          <cell r="AE2742">
            <v>11581775028</v>
          </cell>
          <cell r="AF2742">
            <v>127796536</v>
          </cell>
          <cell r="AG2742">
            <v>1036158141</v>
          </cell>
          <cell r="AH2742">
            <v>120664500</v>
          </cell>
          <cell r="AI2742">
            <v>22922479</v>
          </cell>
        </row>
        <row r="2743">
          <cell r="A2743">
            <v>401010300</v>
          </cell>
          <cell r="C2743">
            <v>222401150</v>
          </cell>
          <cell r="D2743">
            <v>291826496</v>
          </cell>
          <cell r="E2743">
            <v>291235508</v>
          </cell>
          <cell r="F2743">
            <v>33720487</v>
          </cell>
          <cell r="G2743">
            <v>67194231</v>
          </cell>
          <cell r="H2743">
            <v>426584971</v>
          </cell>
          <cell r="I2743">
            <v>16443010</v>
          </cell>
          <cell r="J2743">
            <v>209502909</v>
          </cell>
          <cell r="K2743">
            <v>2333723</v>
          </cell>
          <cell r="L2743">
            <v>78661140</v>
          </cell>
          <cell r="M2743">
            <v>13830617</v>
          </cell>
          <cell r="N2743">
            <v>533006544</v>
          </cell>
          <cell r="O2743">
            <v>181682949</v>
          </cell>
          <cell r="P2743">
            <v>140562882</v>
          </cell>
          <cell r="Q2743">
            <v>337927806</v>
          </cell>
          <cell r="R2743">
            <v>418659953</v>
          </cell>
          <cell r="S2743">
            <v>30668633</v>
          </cell>
          <cell r="T2743">
            <v>699286190</v>
          </cell>
          <cell r="U2743">
            <v>0</v>
          </cell>
          <cell r="V2743">
            <v>2089875195</v>
          </cell>
          <cell r="W2743">
            <v>65309238</v>
          </cell>
          <cell r="X2743">
            <v>249386634</v>
          </cell>
          <cell r="Y2743">
            <v>17748318</v>
          </cell>
          <cell r="Z2743">
            <v>79279787</v>
          </cell>
          <cell r="AA2743">
            <v>41069904</v>
          </cell>
          <cell r="AB2743">
            <v>1500864586</v>
          </cell>
          <cell r="AC2743">
            <v>27897692</v>
          </cell>
          <cell r="AD2743">
            <v>154924932</v>
          </cell>
          <cell r="AE2743">
            <v>2053969496</v>
          </cell>
          <cell r="AF2743">
            <v>2809202427</v>
          </cell>
          <cell r="AG2743">
            <v>205447659</v>
          </cell>
          <cell r="AH2743">
            <v>191697537</v>
          </cell>
          <cell r="AI2743">
            <v>41349143</v>
          </cell>
        </row>
        <row r="2744">
          <cell r="A2744">
            <v>401010301</v>
          </cell>
          <cell r="C2744">
            <v>222401150</v>
          </cell>
          <cell r="D2744">
            <v>291826496</v>
          </cell>
          <cell r="E2744">
            <v>291235508</v>
          </cell>
          <cell r="F2744">
            <v>33720487</v>
          </cell>
          <cell r="G2744">
            <v>67194231</v>
          </cell>
          <cell r="H2744">
            <v>426584971</v>
          </cell>
          <cell r="I2744">
            <v>16443010</v>
          </cell>
          <cell r="J2744">
            <v>209502909</v>
          </cell>
          <cell r="K2744">
            <v>2333723</v>
          </cell>
          <cell r="L2744">
            <v>78661140</v>
          </cell>
          <cell r="M2744">
            <v>13830617</v>
          </cell>
          <cell r="N2744">
            <v>533006544</v>
          </cell>
          <cell r="O2744">
            <v>181682949</v>
          </cell>
          <cell r="P2744">
            <v>140562882</v>
          </cell>
          <cell r="Q2744">
            <v>337927806</v>
          </cell>
          <cell r="R2744">
            <v>418659953</v>
          </cell>
          <cell r="S2744">
            <v>30668633</v>
          </cell>
          <cell r="T2744">
            <v>699286190</v>
          </cell>
          <cell r="U2744">
            <v>0</v>
          </cell>
          <cell r="V2744">
            <v>2089875195</v>
          </cell>
          <cell r="W2744">
            <v>65309238</v>
          </cell>
          <cell r="X2744">
            <v>249386634</v>
          </cell>
          <cell r="Y2744">
            <v>17748318</v>
          </cell>
          <cell r="Z2744">
            <v>79279787</v>
          </cell>
          <cell r="AA2744">
            <v>41069904</v>
          </cell>
          <cell r="AB2744">
            <v>1500864586</v>
          </cell>
          <cell r="AC2744">
            <v>27897692</v>
          </cell>
          <cell r="AD2744">
            <v>154924932</v>
          </cell>
          <cell r="AE2744">
            <v>2053969496</v>
          </cell>
          <cell r="AF2744">
            <v>2809202427</v>
          </cell>
          <cell r="AG2744">
            <v>205447659</v>
          </cell>
          <cell r="AH2744">
            <v>191697537</v>
          </cell>
          <cell r="AI2744">
            <v>41349143</v>
          </cell>
        </row>
        <row r="2745">
          <cell r="A2745">
            <v>401010400</v>
          </cell>
          <cell r="C2745">
            <v>17840806003</v>
          </cell>
          <cell r="D2745">
            <v>20891315612</v>
          </cell>
          <cell r="E2745">
            <v>4957935394</v>
          </cell>
          <cell r="F2745">
            <v>5779076249</v>
          </cell>
          <cell r="G2745">
            <v>19089882549</v>
          </cell>
          <cell r="H2745">
            <v>50774921128</v>
          </cell>
          <cell r="I2745">
            <v>15367779608</v>
          </cell>
          <cell r="J2745">
            <v>5805192180</v>
          </cell>
          <cell r="K2745">
            <v>2156298769</v>
          </cell>
          <cell r="L2745">
            <v>1079022292</v>
          </cell>
          <cell r="M2745">
            <v>2466542429</v>
          </cell>
          <cell r="N2745">
            <v>14384988588</v>
          </cell>
          <cell r="O2745">
            <v>8521124787</v>
          </cell>
          <cell r="P2745">
            <v>8255235190</v>
          </cell>
          <cell r="Q2745">
            <v>5674327561</v>
          </cell>
          <cell r="R2745">
            <v>4086157287</v>
          </cell>
          <cell r="S2745">
            <v>1505498081</v>
          </cell>
          <cell r="T2745">
            <v>16358645669</v>
          </cell>
          <cell r="U2745">
            <v>0</v>
          </cell>
          <cell r="V2745">
            <v>28480773475</v>
          </cell>
          <cell r="W2745">
            <v>11126483376</v>
          </cell>
          <cell r="X2745">
            <v>11438696720</v>
          </cell>
          <cell r="Y2745">
            <v>2389939805</v>
          </cell>
          <cell r="Z2745">
            <v>9828190010</v>
          </cell>
          <cell r="AA2745">
            <v>3119209970</v>
          </cell>
          <cell r="AB2745">
            <v>24464679790</v>
          </cell>
          <cell r="AC2745">
            <v>4197998687</v>
          </cell>
          <cell r="AD2745">
            <v>16664811505</v>
          </cell>
          <cell r="AE2745">
            <v>101817388704</v>
          </cell>
          <cell r="AF2745">
            <v>7045156326</v>
          </cell>
          <cell r="AG2745">
            <v>9523404453</v>
          </cell>
          <cell r="AH2745">
            <v>10200644666</v>
          </cell>
          <cell r="AI2745">
            <v>87750777</v>
          </cell>
        </row>
        <row r="2746">
          <cell r="A2746">
            <v>401010401</v>
          </cell>
          <cell r="C2746">
            <v>17840806003</v>
          </cell>
          <cell r="D2746">
            <v>20891315612</v>
          </cell>
          <cell r="E2746">
            <v>4957935394</v>
          </cell>
          <cell r="F2746">
            <v>5779076249</v>
          </cell>
          <cell r="G2746">
            <v>19089882549</v>
          </cell>
          <cell r="H2746">
            <v>50774921128</v>
          </cell>
          <cell r="I2746">
            <v>15367779608</v>
          </cell>
          <cell r="J2746">
            <v>5805192180</v>
          </cell>
          <cell r="K2746">
            <v>2156298769</v>
          </cell>
          <cell r="L2746">
            <v>1079022292</v>
          </cell>
          <cell r="M2746">
            <v>2466542429</v>
          </cell>
          <cell r="N2746">
            <v>14384988588</v>
          </cell>
          <cell r="O2746">
            <v>8521124787</v>
          </cell>
          <cell r="P2746">
            <v>8255235190</v>
          </cell>
          <cell r="Q2746">
            <v>5674327561</v>
          </cell>
          <cell r="R2746">
            <v>4086157287</v>
          </cell>
          <cell r="S2746">
            <v>1505498081</v>
          </cell>
          <cell r="T2746">
            <v>16358645669</v>
          </cell>
          <cell r="U2746">
            <v>0</v>
          </cell>
          <cell r="V2746">
            <v>28480773475</v>
          </cell>
          <cell r="W2746">
            <v>11126483376</v>
          </cell>
          <cell r="X2746">
            <v>11438696720</v>
          </cell>
          <cell r="Y2746">
            <v>2389939805</v>
          </cell>
          <cell r="Z2746">
            <v>9828190010</v>
          </cell>
          <cell r="AA2746">
            <v>3119209970</v>
          </cell>
          <cell r="AB2746">
            <v>24464679790</v>
          </cell>
          <cell r="AC2746">
            <v>4197998687</v>
          </cell>
          <cell r="AD2746">
            <v>16664811505</v>
          </cell>
          <cell r="AE2746">
            <v>101817388704</v>
          </cell>
          <cell r="AF2746">
            <v>7045156326</v>
          </cell>
          <cell r="AG2746">
            <v>9523404453</v>
          </cell>
          <cell r="AH2746">
            <v>10200644666</v>
          </cell>
          <cell r="AI2746">
            <v>87750777</v>
          </cell>
        </row>
        <row r="2747">
          <cell r="A2747">
            <v>401010500</v>
          </cell>
          <cell r="C2747">
            <v>207258529</v>
          </cell>
          <cell r="D2747">
            <v>0</v>
          </cell>
          <cell r="E2747">
            <v>0</v>
          </cell>
          <cell r="F2747">
            <v>169717823</v>
          </cell>
          <cell r="G2747">
            <v>1815772520</v>
          </cell>
          <cell r="H2747">
            <v>207258538</v>
          </cell>
          <cell r="I2747">
            <v>207258529</v>
          </cell>
          <cell r="J2747">
            <v>152840660</v>
          </cell>
          <cell r="K2747">
            <v>207258529</v>
          </cell>
          <cell r="L2747">
            <v>207258529</v>
          </cell>
          <cell r="M2747">
            <v>207258529</v>
          </cell>
          <cell r="N2747">
            <v>0</v>
          </cell>
          <cell r="O2747">
            <v>0</v>
          </cell>
          <cell r="P2747">
            <v>207258529</v>
          </cell>
          <cell r="Q2747">
            <v>0</v>
          </cell>
          <cell r="R2747">
            <v>207258614</v>
          </cell>
          <cell r="S2747">
            <v>207258529</v>
          </cell>
          <cell r="T2747">
            <v>0</v>
          </cell>
          <cell r="U2747">
            <v>0</v>
          </cell>
          <cell r="V2747">
            <v>0</v>
          </cell>
          <cell r="W2747">
            <v>207258538</v>
          </cell>
          <cell r="X2747">
            <v>207258529</v>
          </cell>
          <cell r="Y2747">
            <v>1438073222</v>
          </cell>
          <cell r="Z2747">
            <v>207258529</v>
          </cell>
          <cell r="AA2747">
            <v>207258538</v>
          </cell>
          <cell r="AB2747">
            <v>207258538</v>
          </cell>
          <cell r="AC2747">
            <v>207258529</v>
          </cell>
          <cell r="AD2747">
            <v>0</v>
          </cell>
          <cell r="AE2747">
            <v>0</v>
          </cell>
          <cell r="AF2747">
            <v>0</v>
          </cell>
          <cell r="AG2747">
            <v>207258529</v>
          </cell>
          <cell r="AH2747">
            <v>0</v>
          </cell>
          <cell r="AI2747">
            <v>0</v>
          </cell>
        </row>
        <row r="2748">
          <cell r="A2748">
            <v>401010501</v>
          </cell>
          <cell r="C2748">
            <v>207258529</v>
          </cell>
          <cell r="D2748">
            <v>0</v>
          </cell>
          <cell r="E2748">
            <v>0</v>
          </cell>
          <cell r="F2748">
            <v>169717823</v>
          </cell>
          <cell r="G2748">
            <v>1815772520</v>
          </cell>
          <cell r="H2748">
            <v>207258538</v>
          </cell>
          <cell r="I2748">
            <v>207258529</v>
          </cell>
          <cell r="J2748">
            <v>152840660</v>
          </cell>
          <cell r="K2748">
            <v>207258529</v>
          </cell>
          <cell r="L2748">
            <v>207258529</v>
          </cell>
          <cell r="M2748">
            <v>207258529</v>
          </cell>
          <cell r="N2748">
            <v>0</v>
          </cell>
          <cell r="O2748">
            <v>0</v>
          </cell>
          <cell r="P2748">
            <v>207258529</v>
          </cell>
          <cell r="Q2748">
            <v>0</v>
          </cell>
          <cell r="R2748">
            <v>207258614</v>
          </cell>
          <cell r="S2748">
            <v>207258529</v>
          </cell>
          <cell r="T2748">
            <v>0</v>
          </cell>
          <cell r="U2748">
            <v>0</v>
          </cell>
          <cell r="V2748">
            <v>0</v>
          </cell>
          <cell r="W2748">
            <v>207258538</v>
          </cell>
          <cell r="X2748">
            <v>207258529</v>
          </cell>
          <cell r="Y2748">
            <v>1438073222</v>
          </cell>
          <cell r="Z2748">
            <v>207258529</v>
          </cell>
          <cell r="AA2748">
            <v>207258538</v>
          </cell>
          <cell r="AB2748">
            <v>207258538</v>
          </cell>
          <cell r="AC2748">
            <v>207258529</v>
          </cell>
          <cell r="AD2748">
            <v>0</v>
          </cell>
          <cell r="AE2748">
            <v>0</v>
          </cell>
          <cell r="AF2748">
            <v>0</v>
          </cell>
          <cell r="AG2748">
            <v>207258529</v>
          </cell>
          <cell r="AH2748">
            <v>0</v>
          </cell>
          <cell r="AI2748">
            <v>0</v>
          </cell>
        </row>
        <row r="2749">
          <cell r="A2749">
            <v>401010600</v>
          </cell>
          <cell r="C2749">
            <v>316791031</v>
          </cell>
          <cell r="D2749">
            <v>1745903851</v>
          </cell>
          <cell r="E2749">
            <v>878083021</v>
          </cell>
          <cell r="F2749">
            <v>348176253</v>
          </cell>
          <cell r="G2749">
            <v>438129537</v>
          </cell>
          <cell r="H2749">
            <v>1535125943</v>
          </cell>
          <cell r="I2749">
            <v>701169086</v>
          </cell>
          <cell r="J2749">
            <v>78474009</v>
          </cell>
          <cell r="K2749">
            <v>31789425</v>
          </cell>
          <cell r="L2749">
            <v>107996363</v>
          </cell>
          <cell r="M2749">
            <v>178326953</v>
          </cell>
          <cell r="N2749">
            <v>1696227192</v>
          </cell>
          <cell r="O2749">
            <v>875254240</v>
          </cell>
          <cell r="P2749">
            <v>451296715</v>
          </cell>
          <cell r="Q2749">
            <v>462273659</v>
          </cell>
          <cell r="R2749">
            <v>488099669</v>
          </cell>
          <cell r="S2749">
            <v>41794031</v>
          </cell>
          <cell r="T2749">
            <v>812949816</v>
          </cell>
          <cell r="U2749">
            <v>0</v>
          </cell>
          <cell r="V2749">
            <v>1502595535</v>
          </cell>
          <cell r="W2749">
            <v>1209590559</v>
          </cell>
          <cell r="X2749">
            <v>1306606554</v>
          </cell>
          <cell r="Y2749">
            <v>48445898</v>
          </cell>
          <cell r="Z2749">
            <v>3984224660</v>
          </cell>
          <cell r="AA2749">
            <v>221744046</v>
          </cell>
          <cell r="AB2749">
            <v>816751805</v>
          </cell>
          <cell r="AC2749">
            <v>96743131</v>
          </cell>
          <cell r="AD2749">
            <v>1303442183</v>
          </cell>
          <cell r="AE2749">
            <v>9138819437</v>
          </cell>
          <cell r="AF2749">
            <v>467711230</v>
          </cell>
          <cell r="AG2749">
            <v>355693115</v>
          </cell>
          <cell r="AH2749">
            <v>1172763010</v>
          </cell>
          <cell r="AI2749">
            <v>114276</v>
          </cell>
        </row>
        <row r="2750">
          <cell r="A2750">
            <v>401010601</v>
          </cell>
          <cell r="C2750">
            <v>316791031</v>
          </cell>
          <cell r="D2750">
            <v>1745903851</v>
          </cell>
          <cell r="E2750">
            <v>878083021</v>
          </cell>
          <cell r="F2750">
            <v>348176253</v>
          </cell>
          <cell r="G2750">
            <v>438129537</v>
          </cell>
          <cell r="H2750">
            <v>1535125943</v>
          </cell>
          <cell r="I2750">
            <v>701169086</v>
          </cell>
          <cell r="J2750">
            <v>78474009</v>
          </cell>
          <cell r="K2750">
            <v>31789425</v>
          </cell>
          <cell r="L2750">
            <v>107996363</v>
          </cell>
          <cell r="M2750">
            <v>178326953</v>
          </cell>
          <cell r="N2750">
            <v>1696227192</v>
          </cell>
          <cell r="O2750">
            <v>875254240</v>
          </cell>
          <cell r="P2750">
            <v>451296715</v>
          </cell>
          <cell r="Q2750">
            <v>462273659</v>
          </cell>
          <cell r="R2750">
            <v>488099669</v>
          </cell>
          <cell r="S2750">
            <v>41794031</v>
          </cell>
          <cell r="T2750">
            <v>812949816</v>
          </cell>
          <cell r="U2750">
            <v>0</v>
          </cell>
          <cell r="V2750">
            <v>1502595535</v>
          </cell>
          <cell r="W2750">
            <v>1209590559</v>
          </cell>
          <cell r="X2750">
            <v>1306606554</v>
          </cell>
          <cell r="Y2750">
            <v>48445898</v>
          </cell>
          <cell r="Z2750">
            <v>3984224660</v>
          </cell>
          <cell r="AA2750">
            <v>221744046</v>
          </cell>
          <cell r="AB2750">
            <v>816751805</v>
          </cell>
          <cell r="AC2750">
            <v>96743131</v>
          </cell>
          <cell r="AD2750">
            <v>1303442183</v>
          </cell>
          <cell r="AE2750">
            <v>9138819437</v>
          </cell>
          <cell r="AF2750">
            <v>467711230</v>
          </cell>
          <cell r="AG2750">
            <v>355693115</v>
          </cell>
          <cell r="AH2750">
            <v>1172763010</v>
          </cell>
          <cell r="AI2750">
            <v>114276</v>
          </cell>
        </row>
        <row r="2751">
          <cell r="A2751">
            <v>401010700</v>
          </cell>
          <cell r="C2751">
            <v>11643771</v>
          </cell>
          <cell r="D2751">
            <v>118191433</v>
          </cell>
          <cell r="E2751">
            <v>0</v>
          </cell>
          <cell r="F2751">
            <v>28832162</v>
          </cell>
          <cell r="G2751">
            <v>12670904</v>
          </cell>
          <cell r="H2751">
            <v>131517287</v>
          </cell>
          <cell r="I2751">
            <v>42434097</v>
          </cell>
          <cell r="J2751">
            <v>4577059</v>
          </cell>
          <cell r="K2751">
            <v>3332291</v>
          </cell>
          <cell r="L2751">
            <v>1867475</v>
          </cell>
          <cell r="M2751">
            <v>5541480</v>
          </cell>
          <cell r="N2751">
            <v>80623726</v>
          </cell>
          <cell r="O2751">
            <v>28544000</v>
          </cell>
          <cell r="P2751">
            <v>10340603</v>
          </cell>
          <cell r="Q2751">
            <v>23500089</v>
          </cell>
          <cell r="R2751">
            <v>16792841</v>
          </cell>
          <cell r="S2751">
            <v>1404976</v>
          </cell>
          <cell r="T2751">
            <v>12147796</v>
          </cell>
          <cell r="U2751">
            <v>0</v>
          </cell>
          <cell r="V2751">
            <v>40009123</v>
          </cell>
          <cell r="W2751">
            <v>20079901</v>
          </cell>
          <cell r="X2751">
            <v>62551896</v>
          </cell>
          <cell r="Y2751">
            <v>359014</v>
          </cell>
          <cell r="Z2751">
            <v>40608636</v>
          </cell>
          <cell r="AA2751">
            <v>18450345</v>
          </cell>
          <cell r="AB2751">
            <v>84167386</v>
          </cell>
          <cell r="AC2751">
            <v>12518151</v>
          </cell>
          <cell r="AD2751">
            <v>41028100</v>
          </cell>
          <cell r="AE2751">
            <v>237809088</v>
          </cell>
          <cell r="AF2751">
            <v>19473413</v>
          </cell>
          <cell r="AG2751">
            <v>21484780</v>
          </cell>
          <cell r="AH2751">
            <v>51663572</v>
          </cell>
          <cell r="AI2751">
            <v>0</v>
          </cell>
        </row>
        <row r="2752">
          <cell r="A2752">
            <v>401010701</v>
          </cell>
          <cell r="C2752">
            <v>11643771</v>
          </cell>
          <cell r="D2752">
            <v>118191433</v>
          </cell>
          <cell r="E2752">
            <v>0</v>
          </cell>
          <cell r="F2752">
            <v>28832162</v>
          </cell>
          <cell r="G2752">
            <v>12670904</v>
          </cell>
          <cell r="H2752">
            <v>131517287</v>
          </cell>
          <cell r="I2752">
            <v>42434097</v>
          </cell>
          <cell r="J2752">
            <v>4577059</v>
          </cell>
          <cell r="K2752">
            <v>3332291</v>
          </cell>
          <cell r="L2752">
            <v>1867475</v>
          </cell>
          <cell r="M2752">
            <v>5541480</v>
          </cell>
          <cell r="N2752">
            <v>80623726</v>
          </cell>
          <cell r="O2752">
            <v>28544000</v>
          </cell>
          <cell r="P2752">
            <v>10340603</v>
          </cell>
          <cell r="Q2752">
            <v>23500089</v>
          </cell>
          <cell r="R2752">
            <v>16792841</v>
          </cell>
          <cell r="S2752">
            <v>1404976</v>
          </cell>
          <cell r="T2752">
            <v>12147796</v>
          </cell>
          <cell r="U2752">
            <v>0</v>
          </cell>
          <cell r="V2752">
            <v>40009123</v>
          </cell>
          <cell r="W2752">
            <v>20079901</v>
          </cell>
          <cell r="X2752">
            <v>62551896</v>
          </cell>
          <cell r="Y2752">
            <v>359014</v>
          </cell>
          <cell r="Z2752">
            <v>40608636</v>
          </cell>
          <cell r="AA2752">
            <v>18450345</v>
          </cell>
          <cell r="AB2752">
            <v>84167386</v>
          </cell>
          <cell r="AC2752">
            <v>12518151</v>
          </cell>
          <cell r="AD2752">
            <v>41028100</v>
          </cell>
          <cell r="AE2752">
            <v>237809088</v>
          </cell>
          <cell r="AF2752">
            <v>19473413</v>
          </cell>
          <cell r="AG2752">
            <v>21484780</v>
          </cell>
          <cell r="AH2752">
            <v>51663572</v>
          </cell>
          <cell r="AI2752">
            <v>0</v>
          </cell>
        </row>
        <row r="2753">
          <cell r="A2753">
            <v>401010800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9674211062</v>
          </cell>
          <cell r="N2753">
            <v>3055824107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3393982817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20328927111</v>
          </cell>
          <cell r="AF2753">
            <v>2028585121</v>
          </cell>
          <cell r="AG2753">
            <v>0</v>
          </cell>
          <cell r="AH2753">
            <v>0</v>
          </cell>
          <cell r="AI2753">
            <v>12341471099</v>
          </cell>
        </row>
        <row r="2754">
          <cell r="A2754">
            <v>401010801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9674211062</v>
          </cell>
          <cell r="N2754">
            <v>3055824107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3393982817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20328927111</v>
          </cell>
          <cell r="AF2754">
            <v>2028585121</v>
          </cell>
          <cell r="AG2754">
            <v>0</v>
          </cell>
          <cell r="AH2754">
            <v>0</v>
          </cell>
          <cell r="AI2754">
            <v>12341471099</v>
          </cell>
        </row>
        <row r="2755">
          <cell r="A2755">
            <v>401010900</v>
          </cell>
          <cell r="C2755">
            <v>146265474</v>
          </cell>
          <cell r="D2755">
            <v>103636789</v>
          </cell>
          <cell r="E2755">
            <v>86686191</v>
          </cell>
          <cell r="F2755">
            <v>184829332</v>
          </cell>
          <cell r="G2755">
            <v>1032979765</v>
          </cell>
          <cell r="H2755">
            <v>3761546071</v>
          </cell>
          <cell r="I2755">
            <v>2808790342</v>
          </cell>
          <cell r="J2755">
            <v>38069816</v>
          </cell>
          <cell r="K2755">
            <v>18206099</v>
          </cell>
          <cell r="L2755">
            <v>5976406</v>
          </cell>
          <cell r="M2755">
            <v>0</v>
          </cell>
          <cell r="N2755">
            <v>5489638708</v>
          </cell>
          <cell r="O2755">
            <v>862953074</v>
          </cell>
          <cell r="P2755">
            <v>11000740</v>
          </cell>
          <cell r="Q2755">
            <v>4665565</v>
          </cell>
          <cell r="R2755">
            <v>1104760645</v>
          </cell>
          <cell r="S2755">
            <v>1447913</v>
          </cell>
          <cell r="T2755">
            <v>183269483</v>
          </cell>
          <cell r="U2755">
            <v>0</v>
          </cell>
          <cell r="V2755">
            <v>10520375320</v>
          </cell>
          <cell r="W2755">
            <v>463887918</v>
          </cell>
          <cell r="X2755">
            <v>301892788</v>
          </cell>
          <cell r="Y2755">
            <v>2626090</v>
          </cell>
          <cell r="Z2755">
            <v>58462379</v>
          </cell>
          <cell r="AA2755">
            <v>250500148</v>
          </cell>
          <cell r="AB2755">
            <v>1082644216</v>
          </cell>
          <cell r="AC2755">
            <v>19226233</v>
          </cell>
          <cell r="AD2755">
            <v>1055499949</v>
          </cell>
          <cell r="AE2755">
            <v>4117528499</v>
          </cell>
          <cell r="AF2755">
            <v>976159752</v>
          </cell>
          <cell r="AG2755">
            <v>57118773</v>
          </cell>
          <cell r="AH2755">
            <v>930000853</v>
          </cell>
          <cell r="AI2755">
            <v>86739386</v>
          </cell>
        </row>
        <row r="2756">
          <cell r="A2756">
            <v>401010901</v>
          </cell>
          <cell r="C2756">
            <v>146265474</v>
          </cell>
          <cell r="D2756">
            <v>103636789</v>
          </cell>
          <cell r="E2756">
            <v>86686191</v>
          </cell>
          <cell r="F2756">
            <v>184829332</v>
          </cell>
          <cell r="G2756">
            <v>1032979765</v>
          </cell>
          <cell r="H2756">
            <v>3761546071</v>
          </cell>
          <cell r="I2756">
            <v>2808790342</v>
          </cell>
          <cell r="J2756">
            <v>38069816</v>
          </cell>
          <cell r="K2756">
            <v>18206099</v>
          </cell>
          <cell r="L2756">
            <v>5976406</v>
          </cell>
          <cell r="M2756">
            <v>0</v>
          </cell>
          <cell r="N2756">
            <v>5489638708</v>
          </cell>
          <cell r="O2756">
            <v>862953074</v>
          </cell>
          <cell r="P2756">
            <v>11000740</v>
          </cell>
          <cell r="Q2756">
            <v>4665565</v>
          </cell>
          <cell r="R2756">
            <v>1104760645</v>
          </cell>
          <cell r="S2756">
            <v>1447913</v>
          </cell>
          <cell r="T2756">
            <v>183269483</v>
          </cell>
          <cell r="U2756">
            <v>0</v>
          </cell>
          <cell r="V2756">
            <v>10520375320</v>
          </cell>
          <cell r="W2756">
            <v>463887918</v>
          </cell>
          <cell r="X2756">
            <v>301892788</v>
          </cell>
          <cell r="Y2756">
            <v>2626090</v>
          </cell>
          <cell r="Z2756">
            <v>58462379</v>
          </cell>
          <cell r="AA2756">
            <v>250500148</v>
          </cell>
          <cell r="AB2756">
            <v>1082644216</v>
          </cell>
          <cell r="AC2756">
            <v>19226233</v>
          </cell>
          <cell r="AD2756">
            <v>1055499949</v>
          </cell>
          <cell r="AE2756">
            <v>4117528499</v>
          </cell>
          <cell r="AF2756">
            <v>976159752</v>
          </cell>
          <cell r="AG2756">
            <v>57118773</v>
          </cell>
          <cell r="AH2756">
            <v>930000853</v>
          </cell>
          <cell r="AI2756">
            <v>86739386</v>
          </cell>
        </row>
        <row r="2757">
          <cell r="A2757">
            <v>401011000</v>
          </cell>
          <cell r="C2757">
            <v>3418933252</v>
          </cell>
          <cell r="D2757">
            <v>749694154</v>
          </cell>
          <cell r="E2757">
            <v>857135924</v>
          </cell>
          <cell r="F2757">
            <v>492229311</v>
          </cell>
          <cell r="G2757">
            <v>1960676143</v>
          </cell>
          <cell r="H2757">
            <v>1147040965</v>
          </cell>
          <cell r="I2757">
            <v>707116349</v>
          </cell>
          <cell r="J2757">
            <v>309937334</v>
          </cell>
          <cell r="K2757">
            <v>438011427</v>
          </cell>
          <cell r="L2757">
            <v>439770433</v>
          </cell>
          <cell r="M2757">
            <v>452586213</v>
          </cell>
          <cell r="N2757">
            <v>707290956</v>
          </cell>
          <cell r="O2757">
            <v>881067615</v>
          </cell>
          <cell r="P2757">
            <v>482325184</v>
          </cell>
          <cell r="Q2757">
            <v>575833401</v>
          </cell>
          <cell r="R2757">
            <v>764765723</v>
          </cell>
          <cell r="S2757">
            <v>454915187</v>
          </cell>
          <cell r="T2757">
            <v>1040937381</v>
          </cell>
          <cell r="U2757">
            <v>0</v>
          </cell>
          <cell r="V2757">
            <v>1029011321</v>
          </cell>
          <cell r="W2757">
            <v>509846865</v>
          </cell>
          <cell r="X2757">
            <v>651830243</v>
          </cell>
          <cell r="Y2757">
            <v>482386886</v>
          </cell>
          <cell r="Z2757">
            <v>524061418</v>
          </cell>
          <cell r="AA2757">
            <v>495824310</v>
          </cell>
          <cell r="AB2757">
            <v>948967161</v>
          </cell>
          <cell r="AC2757">
            <v>465161188</v>
          </cell>
          <cell r="AD2757">
            <v>562862236</v>
          </cell>
          <cell r="AE2757">
            <v>3398638900</v>
          </cell>
          <cell r="AF2757">
            <v>548123649</v>
          </cell>
          <cell r="AG2757">
            <v>507571393</v>
          </cell>
          <cell r="AH2757">
            <v>60928133</v>
          </cell>
          <cell r="AI2757">
            <v>25934626</v>
          </cell>
        </row>
        <row r="2758">
          <cell r="A2758">
            <v>401011001</v>
          </cell>
          <cell r="C2758">
            <v>3418933252</v>
          </cell>
          <cell r="D2758">
            <v>749694154</v>
          </cell>
          <cell r="E2758">
            <v>857135924</v>
          </cell>
          <cell r="F2758">
            <v>492229311</v>
          </cell>
          <cell r="G2758">
            <v>1960676143</v>
          </cell>
          <cell r="H2758">
            <v>1147040965</v>
          </cell>
          <cell r="I2758">
            <v>707116349</v>
          </cell>
          <cell r="J2758">
            <v>309937334</v>
          </cell>
          <cell r="K2758">
            <v>438011427</v>
          </cell>
          <cell r="L2758">
            <v>439770433</v>
          </cell>
          <cell r="M2758">
            <v>452586213</v>
          </cell>
          <cell r="N2758">
            <v>707290956</v>
          </cell>
          <cell r="O2758">
            <v>881067615</v>
          </cell>
          <cell r="P2758">
            <v>482325184</v>
          </cell>
          <cell r="Q2758">
            <v>575833401</v>
          </cell>
          <cell r="R2758">
            <v>764765723</v>
          </cell>
          <cell r="S2758">
            <v>454915187</v>
          </cell>
          <cell r="T2758">
            <v>1040937381</v>
          </cell>
          <cell r="U2758">
            <v>0</v>
          </cell>
          <cell r="V2758">
            <v>1029011321</v>
          </cell>
          <cell r="W2758">
            <v>509846865</v>
          </cell>
          <cell r="X2758">
            <v>651830243</v>
          </cell>
          <cell r="Y2758">
            <v>482386886</v>
          </cell>
          <cell r="Z2758">
            <v>524061418</v>
          </cell>
          <cell r="AA2758">
            <v>495824310</v>
          </cell>
          <cell r="AB2758">
            <v>948967161</v>
          </cell>
          <cell r="AC2758">
            <v>465161188</v>
          </cell>
          <cell r="AD2758">
            <v>562862236</v>
          </cell>
          <cell r="AE2758">
            <v>3398638900</v>
          </cell>
          <cell r="AF2758">
            <v>548123649</v>
          </cell>
          <cell r="AG2758">
            <v>507571393</v>
          </cell>
          <cell r="AH2758">
            <v>60928133</v>
          </cell>
          <cell r="AI2758">
            <v>25934626</v>
          </cell>
        </row>
        <row r="2759">
          <cell r="A2759">
            <v>401011100</v>
          </cell>
          <cell r="C2759">
            <v>53147190</v>
          </cell>
          <cell r="D2759">
            <v>692863646</v>
          </cell>
          <cell r="E2759">
            <v>2005282</v>
          </cell>
          <cell r="F2759">
            <v>0</v>
          </cell>
          <cell r="G2759">
            <v>386496004</v>
          </cell>
          <cell r="H2759">
            <v>288056228</v>
          </cell>
          <cell r="I2759">
            <v>1512670</v>
          </cell>
          <cell r="J2759">
            <v>30978964</v>
          </cell>
          <cell r="K2759">
            <v>0</v>
          </cell>
          <cell r="L2759">
            <v>2744133</v>
          </cell>
          <cell r="M2759">
            <v>0</v>
          </cell>
          <cell r="N2759">
            <v>357305712</v>
          </cell>
          <cell r="O2759">
            <v>24500724</v>
          </cell>
          <cell r="P2759">
            <v>24669813</v>
          </cell>
          <cell r="Q2759">
            <v>63511382</v>
          </cell>
          <cell r="R2759">
            <v>18996413</v>
          </cell>
          <cell r="S2759">
            <v>0</v>
          </cell>
          <cell r="T2759">
            <v>188635709</v>
          </cell>
          <cell r="U2759">
            <v>0</v>
          </cell>
          <cell r="V2759">
            <v>108881880</v>
          </cell>
          <cell r="W2759">
            <v>27593845</v>
          </cell>
          <cell r="X2759">
            <v>140464235</v>
          </cell>
          <cell r="Y2759">
            <v>0</v>
          </cell>
          <cell r="Z2759">
            <v>16027996</v>
          </cell>
          <cell r="AA2759">
            <v>0</v>
          </cell>
          <cell r="AB2759">
            <v>227185146</v>
          </cell>
          <cell r="AC2759">
            <v>0</v>
          </cell>
          <cell r="AD2759">
            <v>0</v>
          </cell>
          <cell r="AE2759">
            <v>392048762</v>
          </cell>
          <cell r="AF2759">
            <v>0</v>
          </cell>
          <cell r="AG2759">
            <v>10602649</v>
          </cell>
          <cell r="AH2759">
            <v>406551</v>
          </cell>
          <cell r="AI2759">
            <v>5309883</v>
          </cell>
        </row>
        <row r="2760">
          <cell r="A2760">
            <v>401011101</v>
          </cell>
          <cell r="C2760">
            <v>53147190</v>
          </cell>
          <cell r="D2760">
            <v>692863646</v>
          </cell>
          <cell r="E2760">
            <v>2005282</v>
          </cell>
          <cell r="F2760">
            <v>0</v>
          </cell>
          <cell r="G2760">
            <v>386496004</v>
          </cell>
          <cell r="H2760">
            <v>288056228</v>
          </cell>
          <cell r="I2760">
            <v>1512670</v>
          </cell>
          <cell r="J2760">
            <v>30978964</v>
          </cell>
          <cell r="K2760">
            <v>0</v>
          </cell>
          <cell r="L2760">
            <v>2744133</v>
          </cell>
          <cell r="M2760">
            <v>0</v>
          </cell>
          <cell r="N2760">
            <v>357305712</v>
          </cell>
          <cell r="O2760">
            <v>24500724</v>
          </cell>
          <cell r="P2760">
            <v>24669813</v>
          </cell>
          <cell r="Q2760">
            <v>63511382</v>
          </cell>
          <cell r="R2760">
            <v>18996413</v>
          </cell>
          <cell r="S2760">
            <v>0</v>
          </cell>
          <cell r="T2760">
            <v>188635709</v>
          </cell>
          <cell r="U2760">
            <v>0</v>
          </cell>
          <cell r="V2760">
            <v>108881880</v>
          </cell>
          <cell r="W2760">
            <v>27593845</v>
          </cell>
          <cell r="X2760">
            <v>140464235</v>
          </cell>
          <cell r="Y2760">
            <v>0</v>
          </cell>
          <cell r="Z2760">
            <v>16027996</v>
          </cell>
          <cell r="AA2760">
            <v>0</v>
          </cell>
          <cell r="AB2760">
            <v>227185146</v>
          </cell>
          <cell r="AC2760">
            <v>0</v>
          </cell>
          <cell r="AD2760">
            <v>0</v>
          </cell>
          <cell r="AE2760">
            <v>392048762</v>
          </cell>
          <cell r="AF2760">
            <v>0</v>
          </cell>
          <cell r="AG2760">
            <v>10602649</v>
          </cell>
          <cell r="AH2760">
            <v>406551</v>
          </cell>
          <cell r="AI2760">
            <v>5309883</v>
          </cell>
        </row>
        <row r="2761">
          <cell r="A2761">
            <v>401011200</v>
          </cell>
          <cell r="C2761">
            <v>768067652</v>
          </cell>
          <cell r="D2761">
            <v>247352824</v>
          </cell>
          <cell r="E2761">
            <v>299039783</v>
          </cell>
          <cell r="F2761">
            <v>134704110</v>
          </cell>
          <cell r="G2761">
            <v>355266444</v>
          </cell>
          <cell r="H2761">
            <v>1294310310</v>
          </cell>
          <cell r="I2761">
            <v>214972196</v>
          </cell>
          <cell r="J2761">
            <v>9848223</v>
          </cell>
          <cell r="K2761">
            <v>8037214</v>
          </cell>
          <cell r="L2761">
            <v>4051663</v>
          </cell>
          <cell r="M2761">
            <v>6372572</v>
          </cell>
          <cell r="N2761">
            <v>757753536</v>
          </cell>
          <cell r="O2761">
            <v>581197314</v>
          </cell>
          <cell r="P2761">
            <v>52974119</v>
          </cell>
          <cell r="Q2761">
            <v>102161306</v>
          </cell>
          <cell r="R2761">
            <v>2678136985</v>
          </cell>
          <cell r="S2761">
            <v>18012902</v>
          </cell>
          <cell r="T2761">
            <v>654594096</v>
          </cell>
          <cell r="U2761">
            <v>0</v>
          </cell>
          <cell r="V2761">
            <v>815189006</v>
          </cell>
          <cell r="W2761">
            <v>63017471</v>
          </cell>
          <cell r="X2761">
            <v>296907930</v>
          </cell>
          <cell r="Y2761">
            <v>5250000</v>
          </cell>
          <cell r="Z2761">
            <v>72563701</v>
          </cell>
          <cell r="AA2761">
            <v>4958011</v>
          </cell>
          <cell r="AB2761">
            <v>363616265</v>
          </cell>
          <cell r="AC2761">
            <v>72065029</v>
          </cell>
          <cell r="AD2761">
            <v>547143417</v>
          </cell>
          <cell r="AE2761">
            <v>27888409083</v>
          </cell>
          <cell r="AF2761">
            <v>344977411</v>
          </cell>
          <cell r="AG2761">
            <v>18183279</v>
          </cell>
          <cell r="AH2761">
            <v>240873334</v>
          </cell>
          <cell r="AI2761">
            <v>119790877</v>
          </cell>
        </row>
        <row r="2762">
          <cell r="A2762">
            <v>401011201</v>
          </cell>
          <cell r="C2762">
            <v>768067652</v>
          </cell>
          <cell r="D2762">
            <v>247352824</v>
          </cell>
          <cell r="E2762">
            <v>299039783</v>
          </cell>
          <cell r="F2762">
            <v>134704110</v>
          </cell>
          <cell r="G2762">
            <v>355266444</v>
          </cell>
          <cell r="H2762">
            <v>1294310310</v>
          </cell>
          <cell r="I2762">
            <v>214972196</v>
          </cell>
          <cell r="J2762">
            <v>9848223</v>
          </cell>
          <cell r="K2762">
            <v>8037214</v>
          </cell>
          <cell r="L2762">
            <v>4051663</v>
          </cell>
          <cell r="M2762">
            <v>6372572</v>
          </cell>
          <cell r="N2762">
            <v>757753536</v>
          </cell>
          <cell r="O2762">
            <v>581197314</v>
          </cell>
          <cell r="P2762">
            <v>52974119</v>
          </cell>
          <cell r="Q2762">
            <v>102161306</v>
          </cell>
          <cell r="R2762">
            <v>2678136985</v>
          </cell>
          <cell r="S2762">
            <v>18012902</v>
          </cell>
          <cell r="T2762">
            <v>654594096</v>
          </cell>
          <cell r="U2762">
            <v>0</v>
          </cell>
          <cell r="V2762">
            <v>815189006</v>
          </cell>
          <cell r="W2762">
            <v>63017471</v>
          </cell>
          <cell r="X2762">
            <v>296907930</v>
          </cell>
          <cell r="Y2762">
            <v>5250000</v>
          </cell>
          <cell r="Z2762">
            <v>72563701</v>
          </cell>
          <cell r="AA2762">
            <v>4958011</v>
          </cell>
          <cell r="AB2762">
            <v>363616265</v>
          </cell>
          <cell r="AC2762">
            <v>72065029</v>
          </cell>
          <cell r="AD2762">
            <v>547143417</v>
          </cell>
          <cell r="AE2762">
            <v>27888409083</v>
          </cell>
          <cell r="AF2762">
            <v>344977411</v>
          </cell>
          <cell r="AG2762">
            <v>18183279</v>
          </cell>
          <cell r="AH2762">
            <v>240873334</v>
          </cell>
          <cell r="AI2762">
            <v>119790877</v>
          </cell>
        </row>
        <row r="2763">
          <cell r="A2763">
            <v>401011300</v>
          </cell>
          <cell r="C2763">
            <v>4734418984</v>
          </cell>
          <cell r="D2763">
            <v>864293714</v>
          </cell>
          <cell r="E2763">
            <v>436200480</v>
          </cell>
          <cell r="F2763">
            <v>867915435</v>
          </cell>
          <cell r="G2763">
            <v>1168618794</v>
          </cell>
          <cell r="H2763">
            <v>7620461458</v>
          </cell>
          <cell r="I2763">
            <v>44214916</v>
          </cell>
          <cell r="J2763">
            <v>50548622</v>
          </cell>
          <cell r="K2763">
            <v>2321458</v>
          </cell>
          <cell r="L2763">
            <v>74901823</v>
          </cell>
          <cell r="M2763">
            <v>99304835</v>
          </cell>
          <cell r="N2763">
            <v>3078604424</v>
          </cell>
          <cell r="O2763">
            <v>1315199801</v>
          </cell>
          <cell r="P2763">
            <v>97403387</v>
          </cell>
          <cell r="Q2763">
            <v>1475682325</v>
          </cell>
          <cell r="R2763">
            <v>2493023949</v>
          </cell>
          <cell r="S2763">
            <v>300295882</v>
          </cell>
          <cell r="T2763">
            <v>839013865</v>
          </cell>
          <cell r="U2763">
            <v>0</v>
          </cell>
          <cell r="V2763">
            <v>660715276</v>
          </cell>
          <cell r="W2763">
            <v>145070772</v>
          </cell>
          <cell r="X2763">
            <v>1100816142</v>
          </cell>
          <cell r="Y2763">
            <v>264439132</v>
          </cell>
          <cell r="Z2763">
            <v>75279539</v>
          </cell>
          <cell r="AA2763">
            <v>135850349</v>
          </cell>
          <cell r="AB2763">
            <v>1602231171</v>
          </cell>
          <cell r="AC2763">
            <v>2460583494</v>
          </cell>
          <cell r="AD2763">
            <v>583010929</v>
          </cell>
          <cell r="AE2763">
            <v>728121536</v>
          </cell>
          <cell r="AF2763">
            <v>378530755</v>
          </cell>
          <cell r="AG2763">
            <v>687717091</v>
          </cell>
          <cell r="AH2763">
            <v>271512867</v>
          </cell>
          <cell r="AI2763">
            <v>97880404</v>
          </cell>
        </row>
        <row r="2764">
          <cell r="A2764">
            <v>401011301</v>
          </cell>
          <cell r="C2764">
            <v>4734418984</v>
          </cell>
          <cell r="D2764">
            <v>864293714</v>
          </cell>
          <cell r="E2764">
            <v>436200480</v>
          </cell>
          <cell r="F2764">
            <v>867915435</v>
          </cell>
          <cell r="G2764">
            <v>1168618794</v>
          </cell>
          <cell r="H2764">
            <v>7620461458</v>
          </cell>
          <cell r="I2764">
            <v>44214916</v>
          </cell>
          <cell r="J2764">
            <v>50548622</v>
          </cell>
          <cell r="K2764">
            <v>2321458</v>
          </cell>
          <cell r="L2764">
            <v>74901823</v>
          </cell>
          <cell r="M2764">
            <v>99304835</v>
          </cell>
          <cell r="N2764">
            <v>3078604424</v>
          </cell>
          <cell r="O2764">
            <v>1315199801</v>
          </cell>
          <cell r="P2764">
            <v>97403387</v>
          </cell>
          <cell r="Q2764">
            <v>1475682325</v>
          </cell>
          <cell r="R2764">
            <v>2493023949</v>
          </cell>
          <cell r="S2764">
            <v>300295882</v>
          </cell>
          <cell r="T2764">
            <v>839013865</v>
          </cell>
          <cell r="U2764">
            <v>0</v>
          </cell>
          <cell r="V2764">
            <v>660715276</v>
          </cell>
          <cell r="W2764">
            <v>145070772</v>
          </cell>
          <cell r="X2764">
            <v>1100816142</v>
          </cell>
          <cell r="Y2764">
            <v>264439132</v>
          </cell>
          <cell r="Z2764">
            <v>75279539</v>
          </cell>
          <cell r="AA2764">
            <v>135850349</v>
          </cell>
          <cell r="AB2764">
            <v>1602231171</v>
          </cell>
          <cell r="AC2764">
            <v>2460583494</v>
          </cell>
          <cell r="AD2764">
            <v>583010929</v>
          </cell>
          <cell r="AE2764">
            <v>728121536</v>
          </cell>
          <cell r="AF2764">
            <v>378530755</v>
          </cell>
          <cell r="AG2764">
            <v>687717091</v>
          </cell>
          <cell r="AH2764">
            <v>271512867</v>
          </cell>
          <cell r="AI2764">
            <v>97880404</v>
          </cell>
        </row>
        <row r="2765">
          <cell r="A2765">
            <v>401012000</v>
          </cell>
          <cell r="C2765">
            <v>411060268</v>
          </cell>
          <cell r="D2765">
            <v>1048057305</v>
          </cell>
          <cell r="E2765">
            <v>2585859075</v>
          </cell>
          <cell r="F2765">
            <v>111043853</v>
          </cell>
          <cell r="G2765">
            <v>7952165628</v>
          </cell>
          <cell r="H2765">
            <v>7514302689</v>
          </cell>
          <cell r="I2765">
            <v>135994029</v>
          </cell>
          <cell r="J2765">
            <v>0</v>
          </cell>
          <cell r="K2765">
            <v>2939093993</v>
          </cell>
          <cell r="L2765">
            <v>682791902</v>
          </cell>
          <cell r="M2765">
            <v>0</v>
          </cell>
          <cell r="N2765">
            <v>2760171740</v>
          </cell>
          <cell r="O2765">
            <v>21547471</v>
          </cell>
          <cell r="P2765">
            <v>741315</v>
          </cell>
          <cell r="Q2765">
            <v>0</v>
          </cell>
          <cell r="R2765">
            <v>1207230236</v>
          </cell>
          <cell r="S2765">
            <v>0</v>
          </cell>
          <cell r="T2765">
            <v>3506467098</v>
          </cell>
          <cell r="U2765">
            <v>0</v>
          </cell>
          <cell r="V2765">
            <v>3732623837</v>
          </cell>
          <cell r="W2765">
            <v>87061870</v>
          </cell>
          <cell r="X2765">
            <v>2092884970</v>
          </cell>
          <cell r="Y2765">
            <v>0</v>
          </cell>
          <cell r="Z2765">
            <v>3707897826</v>
          </cell>
          <cell r="AA2765">
            <v>9380188</v>
          </cell>
          <cell r="AB2765">
            <v>18588503063</v>
          </cell>
          <cell r="AC2765">
            <v>40417018</v>
          </cell>
          <cell r="AD2765">
            <v>2452137040</v>
          </cell>
          <cell r="AE2765">
            <v>6404465424</v>
          </cell>
          <cell r="AF2765">
            <v>4007547310</v>
          </cell>
          <cell r="AG2765">
            <v>19775028</v>
          </cell>
          <cell r="AH2765">
            <v>12755068601</v>
          </cell>
          <cell r="AI2765">
            <v>337711639</v>
          </cell>
        </row>
        <row r="2766">
          <cell r="A2766">
            <v>401012001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478083664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</row>
        <row r="2767">
          <cell r="A2767">
            <v>401012002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1522792653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</row>
        <row r="2768">
          <cell r="A2768">
            <v>401012003</v>
          </cell>
          <cell r="C2768">
            <v>411060268</v>
          </cell>
          <cell r="D2768">
            <v>1048057305</v>
          </cell>
          <cell r="E2768">
            <v>2585859075</v>
          </cell>
          <cell r="F2768">
            <v>111043853</v>
          </cell>
          <cell r="G2768">
            <v>7952165628</v>
          </cell>
          <cell r="H2768">
            <v>7514302689</v>
          </cell>
          <cell r="I2768">
            <v>135994029</v>
          </cell>
          <cell r="J2768">
            <v>0</v>
          </cell>
          <cell r="K2768">
            <v>2298647645</v>
          </cell>
          <cell r="L2768">
            <v>682791902</v>
          </cell>
          <cell r="M2768">
            <v>0</v>
          </cell>
          <cell r="N2768">
            <v>2760171740</v>
          </cell>
          <cell r="O2768">
            <v>21547471</v>
          </cell>
          <cell r="P2768">
            <v>741315</v>
          </cell>
          <cell r="Q2768">
            <v>0</v>
          </cell>
          <cell r="R2768">
            <v>1207230236</v>
          </cell>
          <cell r="S2768">
            <v>0</v>
          </cell>
          <cell r="T2768">
            <v>992446889</v>
          </cell>
          <cell r="U2768">
            <v>0</v>
          </cell>
          <cell r="V2768">
            <v>3732623837</v>
          </cell>
          <cell r="W2768">
            <v>87061870</v>
          </cell>
          <cell r="X2768">
            <v>2092884970</v>
          </cell>
          <cell r="Y2768">
            <v>0</v>
          </cell>
          <cell r="Z2768">
            <v>3707897826</v>
          </cell>
          <cell r="AA2768">
            <v>9380188</v>
          </cell>
          <cell r="AB2768">
            <v>18588503063</v>
          </cell>
          <cell r="AC2768">
            <v>39128684</v>
          </cell>
          <cell r="AD2768">
            <v>2452137040</v>
          </cell>
          <cell r="AE2768">
            <v>6404465424</v>
          </cell>
          <cell r="AF2768">
            <v>4007547310</v>
          </cell>
          <cell r="AG2768">
            <v>19775028</v>
          </cell>
          <cell r="AH2768">
            <v>12755068601</v>
          </cell>
          <cell r="AI2768">
            <v>337711639</v>
          </cell>
        </row>
        <row r="2769">
          <cell r="A2769">
            <v>401012004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</row>
        <row r="2770">
          <cell r="A2770">
            <v>401012005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</row>
        <row r="2771">
          <cell r="A2771">
            <v>401012006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640446348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170721640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1288334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</row>
        <row r="2772">
          <cell r="A2772">
            <v>401012007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  <cell r="T2772">
            <v>327501638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</row>
        <row r="2773">
          <cell r="A2773">
            <v>401012008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14920614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</row>
        <row r="2774">
          <cell r="A2774">
            <v>401012009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</row>
        <row r="2775">
          <cell r="A2775">
            <v>401020000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</row>
        <row r="2776">
          <cell r="A2776">
            <v>401022000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</row>
        <row r="2777">
          <cell r="A2777">
            <v>401022001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</row>
        <row r="2778">
          <cell r="A2778">
            <v>401022002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</row>
        <row r="2779">
          <cell r="A2779">
            <v>401022003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</row>
        <row r="2780">
          <cell r="A2780">
            <v>401022004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</row>
        <row r="2781">
          <cell r="A2781">
            <v>401022005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</row>
        <row r="2782">
          <cell r="A2782">
            <v>401022006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</row>
        <row r="2783">
          <cell r="A2783">
            <v>402000000</v>
          </cell>
          <cell r="C2783">
            <v>89187004</v>
          </cell>
          <cell r="D2783">
            <v>484503350</v>
          </cell>
          <cell r="E2783">
            <v>880015614</v>
          </cell>
          <cell r="F2783">
            <v>200991853</v>
          </cell>
          <cell r="G2783">
            <v>1744546598</v>
          </cell>
          <cell r="H2783">
            <v>452554371</v>
          </cell>
          <cell r="I2783">
            <v>1097287201</v>
          </cell>
          <cell r="J2783">
            <v>204047503</v>
          </cell>
          <cell r="K2783">
            <v>192807315</v>
          </cell>
          <cell r="L2783">
            <v>267428114</v>
          </cell>
          <cell r="M2783">
            <v>149253772</v>
          </cell>
          <cell r="N2783">
            <v>623088231</v>
          </cell>
          <cell r="O2783">
            <v>612695231</v>
          </cell>
          <cell r="P2783">
            <v>252515945</v>
          </cell>
          <cell r="Q2783">
            <v>1005195528</v>
          </cell>
          <cell r="R2783">
            <v>604948519</v>
          </cell>
          <cell r="S2783">
            <v>499999</v>
          </cell>
          <cell r="T2783">
            <v>6760391</v>
          </cell>
          <cell r="U2783">
            <v>0</v>
          </cell>
          <cell r="V2783">
            <v>200778914</v>
          </cell>
          <cell r="W2783">
            <v>225283244</v>
          </cell>
          <cell r="X2783">
            <v>982955246</v>
          </cell>
          <cell r="Y2783">
            <v>191120339</v>
          </cell>
          <cell r="Z2783">
            <v>8673842</v>
          </cell>
          <cell r="AA2783">
            <v>345912860</v>
          </cell>
          <cell r="AB2783">
            <v>1766225196</v>
          </cell>
          <cell r="AC2783">
            <v>0</v>
          </cell>
          <cell r="AD2783">
            <v>244962217</v>
          </cell>
          <cell r="AE2783">
            <v>0</v>
          </cell>
          <cell r="AF2783">
            <v>12723894</v>
          </cell>
          <cell r="AG2783">
            <v>59354016</v>
          </cell>
          <cell r="AH2783">
            <v>61707726</v>
          </cell>
          <cell r="AI2783">
            <v>0</v>
          </cell>
        </row>
        <row r="2784">
          <cell r="A2784">
            <v>402010000</v>
          </cell>
          <cell r="C2784">
            <v>89187004</v>
          </cell>
          <cell r="D2784">
            <v>484503350</v>
          </cell>
          <cell r="E2784">
            <v>880015614</v>
          </cell>
          <cell r="F2784">
            <v>5860029</v>
          </cell>
          <cell r="G2784">
            <v>1744546598</v>
          </cell>
          <cell r="H2784">
            <v>452554371</v>
          </cell>
          <cell r="I2784">
            <v>1097287201</v>
          </cell>
          <cell r="J2784">
            <v>204047503</v>
          </cell>
          <cell r="K2784">
            <v>0</v>
          </cell>
          <cell r="L2784">
            <v>267428114</v>
          </cell>
          <cell r="M2784">
            <v>30321811</v>
          </cell>
          <cell r="N2784">
            <v>623088231</v>
          </cell>
          <cell r="O2784">
            <v>495772708</v>
          </cell>
          <cell r="P2784">
            <v>252515945</v>
          </cell>
          <cell r="Q2784">
            <v>1005195528</v>
          </cell>
          <cell r="R2784">
            <v>603504690</v>
          </cell>
          <cell r="S2784">
            <v>0</v>
          </cell>
          <cell r="T2784">
            <v>6760391</v>
          </cell>
          <cell r="U2784">
            <v>0</v>
          </cell>
          <cell r="V2784">
            <v>200778914</v>
          </cell>
          <cell r="W2784">
            <v>225138098</v>
          </cell>
          <cell r="X2784">
            <v>918060845</v>
          </cell>
          <cell r="Y2784">
            <v>0</v>
          </cell>
          <cell r="Z2784">
            <v>8673842</v>
          </cell>
          <cell r="AA2784">
            <v>15158260</v>
          </cell>
          <cell r="AB2784">
            <v>1766225196</v>
          </cell>
          <cell r="AC2784">
            <v>0</v>
          </cell>
          <cell r="AD2784">
            <v>244962217</v>
          </cell>
          <cell r="AE2784">
            <v>0</v>
          </cell>
          <cell r="AF2784">
            <v>12723894</v>
          </cell>
          <cell r="AG2784">
            <v>59354016</v>
          </cell>
          <cell r="AH2784">
            <v>61707726</v>
          </cell>
          <cell r="AI2784">
            <v>0</v>
          </cell>
        </row>
        <row r="2785">
          <cell r="A2785">
            <v>402010100</v>
          </cell>
          <cell r="C2785">
            <v>5793619</v>
          </cell>
          <cell r="D2785">
            <v>188706128</v>
          </cell>
          <cell r="E2785">
            <v>401712822</v>
          </cell>
          <cell r="F2785">
            <v>1531692</v>
          </cell>
          <cell r="G2785">
            <v>205640869</v>
          </cell>
          <cell r="H2785">
            <v>36986324</v>
          </cell>
          <cell r="I2785">
            <v>243794602</v>
          </cell>
          <cell r="J2785">
            <v>4976228</v>
          </cell>
          <cell r="K2785">
            <v>0</v>
          </cell>
          <cell r="L2785">
            <v>99112056</v>
          </cell>
          <cell r="M2785">
            <v>300097</v>
          </cell>
          <cell r="N2785">
            <v>117422406</v>
          </cell>
          <cell r="O2785">
            <v>158147661</v>
          </cell>
          <cell r="P2785">
            <v>69325121</v>
          </cell>
          <cell r="Q2785">
            <v>580441578</v>
          </cell>
          <cell r="R2785">
            <v>194214778</v>
          </cell>
          <cell r="S2785">
            <v>0</v>
          </cell>
          <cell r="T2785">
            <v>0</v>
          </cell>
          <cell r="U2785">
            <v>0</v>
          </cell>
          <cell r="V2785">
            <v>131661237</v>
          </cell>
          <cell r="W2785">
            <v>54783496</v>
          </cell>
          <cell r="X2785">
            <v>217132101</v>
          </cell>
          <cell r="Y2785">
            <v>0</v>
          </cell>
          <cell r="Z2785">
            <v>6201428</v>
          </cell>
          <cell r="AA2785">
            <v>792182</v>
          </cell>
          <cell r="AB2785">
            <v>289359361</v>
          </cell>
          <cell r="AC2785">
            <v>0</v>
          </cell>
          <cell r="AD2785">
            <v>75105512</v>
          </cell>
          <cell r="AE2785">
            <v>0</v>
          </cell>
          <cell r="AF2785">
            <v>12723894</v>
          </cell>
          <cell r="AG2785">
            <v>7617340</v>
          </cell>
          <cell r="AH2785">
            <v>34388248</v>
          </cell>
          <cell r="AI2785">
            <v>0</v>
          </cell>
        </row>
        <row r="2786">
          <cell r="A2786">
            <v>402010101</v>
          </cell>
          <cell r="C2786">
            <v>5793619</v>
          </cell>
          <cell r="D2786">
            <v>188706128</v>
          </cell>
          <cell r="E2786">
            <v>401712822</v>
          </cell>
          <cell r="F2786">
            <v>1531692</v>
          </cell>
          <cell r="G2786">
            <v>205640869</v>
          </cell>
          <cell r="H2786">
            <v>36986324</v>
          </cell>
          <cell r="I2786">
            <v>243794602</v>
          </cell>
          <cell r="J2786">
            <v>4976228</v>
          </cell>
          <cell r="K2786">
            <v>0</v>
          </cell>
          <cell r="L2786">
            <v>99112056</v>
          </cell>
          <cell r="M2786">
            <v>300097</v>
          </cell>
          <cell r="N2786">
            <v>117422406</v>
          </cell>
          <cell r="O2786">
            <v>158147661</v>
          </cell>
          <cell r="P2786">
            <v>69325121</v>
          </cell>
          <cell r="Q2786">
            <v>580441578</v>
          </cell>
          <cell r="R2786">
            <v>194214778</v>
          </cell>
          <cell r="S2786">
            <v>0</v>
          </cell>
          <cell r="T2786">
            <v>0</v>
          </cell>
          <cell r="U2786">
            <v>0</v>
          </cell>
          <cell r="V2786">
            <v>131661237</v>
          </cell>
          <cell r="W2786">
            <v>54783496</v>
          </cell>
          <cell r="X2786">
            <v>217132101</v>
          </cell>
          <cell r="Y2786">
            <v>0</v>
          </cell>
          <cell r="Z2786">
            <v>6201428</v>
          </cell>
          <cell r="AA2786">
            <v>792182</v>
          </cell>
          <cell r="AB2786">
            <v>289359361</v>
          </cell>
          <cell r="AC2786">
            <v>0</v>
          </cell>
          <cell r="AD2786">
            <v>75105512</v>
          </cell>
          <cell r="AE2786">
            <v>0</v>
          </cell>
          <cell r="AF2786">
            <v>12723894</v>
          </cell>
          <cell r="AG2786">
            <v>7617340</v>
          </cell>
          <cell r="AH2786">
            <v>34388248</v>
          </cell>
          <cell r="AI2786">
            <v>0</v>
          </cell>
        </row>
        <row r="2787">
          <cell r="A2787">
            <v>402010200</v>
          </cell>
          <cell r="C2787">
            <v>3626165</v>
          </cell>
          <cell r="D2787">
            <v>69121125</v>
          </cell>
          <cell r="E2787">
            <v>69495860</v>
          </cell>
          <cell r="F2787">
            <v>0</v>
          </cell>
          <cell r="G2787">
            <v>22156139</v>
          </cell>
          <cell r="H2787">
            <v>1563831</v>
          </cell>
          <cell r="I2787">
            <v>14065233</v>
          </cell>
          <cell r="J2787">
            <v>8135024</v>
          </cell>
          <cell r="K2787">
            <v>0</v>
          </cell>
          <cell r="L2787">
            <v>17411719</v>
          </cell>
          <cell r="M2787">
            <v>0</v>
          </cell>
          <cell r="N2787">
            <v>12471074</v>
          </cell>
          <cell r="O2787">
            <v>21676907</v>
          </cell>
          <cell r="P2787">
            <v>10151519</v>
          </cell>
          <cell r="Q2787">
            <v>72424169</v>
          </cell>
          <cell r="R2787">
            <v>39301025</v>
          </cell>
          <cell r="S2787">
            <v>0</v>
          </cell>
          <cell r="T2787">
            <v>289714</v>
          </cell>
          <cell r="U2787">
            <v>0</v>
          </cell>
          <cell r="V2787">
            <v>12003950</v>
          </cell>
          <cell r="W2787">
            <v>2988684</v>
          </cell>
          <cell r="X2787">
            <v>42322448</v>
          </cell>
          <cell r="Y2787">
            <v>0</v>
          </cell>
          <cell r="Z2787">
            <v>1751561</v>
          </cell>
          <cell r="AA2787">
            <v>2413349</v>
          </cell>
          <cell r="AB2787">
            <v>28661078</v>
          </cell>
          <cell r="AC2787">
            <v>0</v>
          </cell>
          <cell r="AD2787">
            <v>43793816</v>
          </cell>
          <cell r="AE2787">
            <v>0</v>
          </cell>
          <cell r="AF2787">
            <v>0</v>
          </cell>
          <cell r="AG2787">
            <v>3394707</v>
          </cell>
          <cell r="AH2787">
            <v>0</v>
          </cell>
          <cell r="AI2787">
            <v>0</v>
          </cell>
        </row>
        <row r="2788">
          <cell r="A2788">
            <v>402010201</v>
          </cell>
          <cell r="C2788">
            <v>3626165</v>
          </cell>
          <cell r="D2788">
            <v>69121125</v>
          </cell>
          <cell r="E2788">
            <v>69495860</v>
          </cell>
          <cell r="F2788">
            <v>0</v>
          </cell>
          <cell r="G2788">
            <v>22156139</v>
          </cell>
          <cell r="H2788">
            <v>1563831</v>
          </cell>
          <cell r="I2788">
            <v>14065233</v>
          </cell>
          <cell r="J2788">
            <v>8135024</v>
          </cell>
          <cell r="K2788">
            <v>0</v>
          </cell>
          <cell r="L2788">
            <v>17411719</v>
          </cell>
          <cell r="M2788">
            <v>0</v>
          </cell>
          <cell r="N2788">
            <v>12471074</v>
          </cell>
          <cell r="O2788">
            <v>21676907</v>
          </cell>
          <cell r="P2788">
            <v>10151519</v>
          </cell>
          <cell r="Q2788">
            <v>72424169</v>
          </cell>
          <cell r="R2788">
            <v>39301025</v>
          </cell>
          <cell r="S2788">
            <v>0</v>
          </cell>
          <cell r="T2788">
            <v>289714</v>
          </cell>
          <cell r="U2788">
            <v>0</v>
          </cell>
          <cell r="V2788">
            <v>12003950</v>
          </cell>
          <cell r="W2788">
            <v>2988684</v>
          </cell>
          <cell r="X2788">
            <v>42322448</v>
          </cell>
          <cell r="Y2788">
            <v>0</v>
          </cell>
          <cell r="Z2788">
            <v>1751561</v>
          </cell>
          <cell r="AA2788">
            <v>2413349</v>
          </cell>
          <cell r="AB2788">
            <v>28661078</v>
          </cell>
          <cell r="AC2788">
            <v>0</v>
          </cell>
          <cell r="AD2788">
            <v>43793816</v>
          </cell>
          <cell r="AE2788">
            <v>0</v>
          </cell>
          <cell r="AF2788">
            <v>0</v>
          </cell>
          <cell r="AG2788">
            <v>3394707</v>
          </cell>
          <cell r="AH2788">
            <v>0</v>
          </cell>
          <cell r="AI2788">
            <v>0</v>
          </cell>
        </row>
        <row r="2789">
          <cell r="A2789">
            <v>402010300</v>
          </cell>
          <cell r="C2789">
            <v>0</v>
          </cell>
          <cell r="D2789">
            <v>7647444</v>
          </cell>
          <cell r="E2789">
            <v>2444083</v>
          </cell>
          <cell r="F2789">
            <v>42952</v>
          </cell>
          <cell r="G2789">
            <v>32195003</v>
          </cell>
          <cell r="H2789">
            <v>3307</v>
          </cell>
          <cell r="I2789">
            <v>21632460</v>
          </cell>
          <cell r="J2789">
            <v>96034</v>
          </cell>
          <cell r="K2789">
            <v>0</v>
          </cell>
          <cell r="L2789">
            <v>2556315</v>
          </cell>
          <cell r="M2789">
            <v>43975</v>
          </cell>
          <cell r="N2789">
            <v>1387549</v>
          </cell>
          <cell r="O2789">
            <v>4051341</v>
          </cell>
          <cell r="P2789">
            <v>973284</v>
          </cell>
          <cell r="Q2789">
            <v>7972235</v>
          </cell>
          <cell r="R2789">
            <v>2635732</v>
          </cell>
          <cell r="S2789">
            <v>0</v>
          </cell>
          <cell r="T2789">
            <v>0</v>
          </cell>
          <cell r="U2789">
            <v>0</v>
          </cell>
          <cell r="V2789">
            <v>7500962</v>
          </cell>
          <cell r="W2789">
            <v>51838</v>
          </cell>
          <cell r="X2789">
            <v>222052</v>
          </cell>
          <cell r="Y2789">
            <v>0</v>
          </cell>
          <cell r="Z2789">
            <v>0</v>
          </cell>
          <cell r="AA2789">
            <v>2444</v>
          </cell>
          <cell r="AB2789">
            <v>46247974</v>
          </cell>
          <cell r="AC2789">
            <v>0</v>
          </cell>
          <cell r="AD2789">
            <v>2362184</v>
          </cell>
          <cell r="AE2789">
            <v>0</v>
          </cell>
          <cell r="AF2789">
            <v>0</v>
          </cell>
          <cell r="AG2789">
            <v>0</v>
          </cell>
          <cell r="AH2789">
            <v>352815</v>
          </cell>
          <cell r="AI2789">
            <v>0</v>
          </cell>
        </row>
        <row r="2790">
          <cell r="A2790">
            <v>402010301</v>
          </cell>
          <cell r="C2790">
            <v>0</v>
          </cell>
          <cell r="D2790">
            <v>7647444</v>
          </cell>
          <cell r="E2790">
            <v>2444083</v>
          </cell>
          <cell r="F2790">
            <v>42952</v>
          </cell>
          <cell r="G2790">
            <v>32195003</v>
          </cell>
          <cell r="H2790">
            <v>3307</v>
          </cell>
          <cell r="I2790">
            <v>21632460</v>
          </cell>
          <cell r="J2790">
            <v>96034</v>
          </cell>
          <cell r="K2790">
            <v>0</v>
          </cell>
          <cell r="L2790">
            <v>2556315</v>
          </cell>
          <cell r="M2790">
            <v>43975</v>
          </cell>
          <cell r="N2790">
            <v>1387549</v>
          </cell>
          <cell r="O2790">
            <v>4051341</v>
          </cell>
          <cell r="P2790">
            <v>973284</v>
          </cell>
          <cell r="Q2790">
            <v>7972235</v>
          </cell>
          <cell r="R2790">
            <v>2635732</v>
          </cell>
          <cell r="S2790">
            <v>0</v>
          </cell>
          <cell r="T2790">
            <v>0</v>
          </cell>
          <cell r="U2790">
            <v>0</v>
          </cell>
          <cell r="V2790">
            <v>7500962</v>
          </cell>
          <cell r="W2790">
            <v>51838</v>
          </cell>
          <cell r="X2790">
            <v>222052</v>
          </cell>
          <cell r="Y2790">
            <v>0</v>
          </cell>
          <cell r="Z2790">
            <v>0</v>
          </cell>
          <cell r="AA2790">
            <v>2444</v>
          </cell>
          <cell r="AB2790">
            <v>46247974</v>
          </cell>
          <cell r="AC2790">
            <v>0</v>
          </cell>
          <cell r="AD2790">
            <v>2362184</v>
          </cell>
          <cell r="AE2790">
            <v>0</v>
          </cell>
          <cell r="AF2790">
            <v>0</v>
          </cell>
          <cell r="AG2790">
            <v>0</v>
          </cell>
          <cell r="AH2790">
            <v>352815</v>
          </cell>
          <cell r="AI2790">
            <v>0</v>
          </cell>
        </row>
        <row r="2791">
          <cell r="A2791">
            <v>402010400</v>
          </cell>
          <cell r="C2791">
            <v>0</v>
          </cell>
          <cell r="D2791">
            <v>74231120</v>
          </cell>
          <cell r="E2791">
            <v>198201429</v>
          </cell>
          <cell r="F2791">
            <v>426138</v>
          </cell>
          <cell r="G2791">
            <v>881295942</v>
          </cell>
          <cell r="H2791">
            <v>231305887</v>
          </cell>
          <cell r="I2791">
            <v>413930241</v>
          </cell>
          <cell r="J2791">
            <v>184891107</v>
          </cell>
          <cell r="K2791">
            <v>0</v>
          </cell>
          <cell r="L2791">
            <v>47686795</v>
          </cell>
          <cell r="M2791">
            <v>28849003</v>
          </cell>
          <cell r="N2791">
            <v>132544069</v>
          </cell>
          <cell r="O2791">
            <v>14468450</v>
          </cell>
          <cell r="P2791">
            <v>53815827</v>
          </cell>
          <cell r="Q2791">
            <v>64771955</v>
          </cell>
          <cell r="R2791">
            <v>118139885</v>
          </cell>
          <cell r="S2791">
            <v>0</v>
          </cell>
          <cell r="T2791">
            <v>0</v>
          </cell>
          <cell r="U2791">
            <v>0</v>
          </cell>
          <cell r="V2791">
            <v>22110765</v>
          </cell>
          <cell r="W2791">
            <v>120000658</v>
          </cell>
          <cell r="X2791">
            <v>365546423</v>
          </cell>
          <cell r="Y2791">
            <v>0</v>
          </cell>
          <cell r="Z2791">
            <v>0</v>
          </cell>
          <cell r="AA2791">
            <v>3623768</v>
          </cell>
          <cell r="AB2791">
            <v>797361338</v>
          </cell>
          <cell r="AC2791">
            <v>0</v>
          </cell>
          <cell r="AD2791">
            <v>10919198</v>
          </cell>
          <cell r="AE2791">
            <v>0</v>
          </cell>
          <cell r="AF2791">
            <v>0</v>
          </cell>
          <cell r="AG2791">
            <v>0</v>
          </cell>
          <cell r="AH2791">
            <v>6874575</v>
          </cell>
          <cell r="AI2791">
            <v>0</v>
          </cell>
        </row>
        <row r="2792">
          <cell r="A2792">
            <v>402010401</v>
          </cell>
          <cell r="C2792">
            <v>0</v>
          </cell>
          <cell r="D2792">
            <v>74231120</v>
          </cell>
          <cell r="E2792">
            <v>198201429</v>
          </cell>
          <cell r="F2792">
            <v>426138</v>
          </cell>
          <cell r="G2792">
            <v>881295942</v>
          </cell>
          <cell r="H2792">
            <v>231305887</v>
          </cell>
          <cell r="I2792">
            <v>413930241</v>
          </cell>
          <cell r="J2792">
            <v>184891107</v>
          </cell>
          <cell r="K2792">
            <v>0</v>
          </cell>
          <cell r="L2792">
            <v>47686795</v>
          </cell>
          <cell r="M2792">
            <v>28849003</v>
          </cell>
          <cell r="N2792">
            <v>132544069</v>
          </cell>
          <cell r="O2792">
            <v>14468450</v>
          </cell>
          <cell r="P2792">
            <v>53815827</v>
          </cell>
          <cell r="Q2792">
            <v>64771955</v>
          </cell>
          <cell r="R2792">
            <v>118139885</v>
          </cell>
          <cell r="S2792">
            <v>0</v>
          </cell>
          <cell r="T2792">
            <v>0</v>
          </cell>
          <cell r="U2792">
            <v>0</v>
          </cell>
          <cell r="V2792">
            <v>22110765</v>
          </cell>
          <cell r="W2792">
            <v>120000658</v>
          </cell>
          <cell r="X2792">
            <v>365546423</v>
          </cell>
          <cell r="Y2792">
            <v>0</v>
          </cell>
          <cell r="Z2792">
            <v>0</v>
          </cell>
          <cell r="AA2792">
            <v>3623768</v>
          </cell>
          <cell r="AB2792">
            <v>797361338</v>
          </cell>
          <cell r="AC2792">
            <v>0</v>
          </cell>
          <cell r="AD2792">
            <v>10919198</v>
          </cell>
          <cell r="AE2792">
            <v>0</v>
          </cell>
          <cell r="AF2792">
            <v>0</v>
          </cell>
          <cell r="AG2792">
            <v>0</v>
          </cell>
          <cell r="AH2792">
            <v>6874575</v>
          </cell>
          <cell r="AI2792">
            <v>0</v>
          </cell>
        </row>
        <row r="2793">
          <cell r="A2793">
            <v>402010500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124763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0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</row>
        <row r="2794">
          <cell r="A2794">
            <v>402010501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124763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</row>
        <row r="2795">
          <cell r="A2795">
            <v>402010600</v>
          </cell>
          <cell r="C2795">
            <v>0</v>
          </cell>
          <cell r="D2795">
            <v>48681742</v>
          </cell>
          <cell r="E2795">
            <v>54599442</v>
          </cell>
          <cell r="F2795">
            <v>74883</v>
          </cell>
          <cell r="G2795">
            <v>82667574</v>
          </cell>
          <cell r="H2795">
            <v>20907733</v>
          </cell>
          <cell r="I2795">
            <v>42621933</v>
          </cell>
          <cell r="J2795">
            <v>470913</v>
          </cell>
          <cell r="K2795">
            <v>0</v>
          </cell>
          <cell r="L2795">
            <v>11202896</v>
          </cell>
          <cell r="M2795">
            <v>461970</v>
          </cell>
          <cell r="N2795">
            <v>29700404</v>
          </cell>
          <cell r="O2795">
            <v>41179670</v>
          </cell>
          <cell r="P2795">
            <v>64242472</v>
          </cell>
          <cell r="Q2795">
            <v>55728939</v>
          </cell>
          <cell r="R2795">
            <v>60323530</v>
          </cell>
          <cell r="S2795">
            <v>0</v>
          </cell>
          <cell r="T2795">
            <v>0</v>
          </cell>
          <cell r="U2795">
            <v>0</v>
          </cell>
          <cell r="V2795">
            <v>13587535</v>
          </cell>
          <cell r="W2795">
            <v>41042231</v>
          </cell>
          <cell r="X2795">
            <v>60415067</v>
          </cell>
          <cell r="Y2795">
            <v>0</v>
          </cell>
          <cell r="Z2795">
            <v>0</v>
          </cell>
          <cell r="AA2795">
            <v>0</v>
          </cell>
          <cell r="AB2795">
            <v>104927225</v>
          </cell>
          <cell r="AC2795">
            <v>0</v>
          </cell>
          <cell r="AD2795">
            <v>36910560</v>
          </cell>
          <cell r="AE2795">
            <v>0</v>
          </cell>
          <cell r="AF2795">
            <v>0</v>
          </cell>
          <cell r="AG2795">
            <v>2111691</v>
          </cell>
          <cell r="AH2795">
            <v>2015530</v>
          </cell>
          <cell r="AI2795">
            <v>0</v>
          </cell>
        </row>
        <row r="2796">
          <cell r="A2796">
            <v>402010601</v>
          </cell>
          <cell r="C2796">
            <v>0</v>
          </cell>
          <cell r="D2796">
            <v>48681742</v>
          </cell>
          <cell r="E2796">
            <v>54599442</v>
          </cell>
          <cell r="F2796">
            <v>74883</v>
          </cell>
          <cell r="G2796">
            <v>82667574</v>
          </cell>
          <cell r="H2796">
            <v>20907733</v>
          </cell>
          <cell r="I2796">
            <v>42621933</v>
          </cell>
          <cell r="J2796">
            <v>470913</v>
          </cell>
          <cell r="K2796">
            <v>0</v>
          </cell>
          <cell r="L2796">
            <v>11202896</v>
          </cell>
          <cell r="M2796">
            <v>461970</v>
          </cell>
          <cell r="N2796">
            <v>29700404</v>
          </cell>
          <cell r="O2796">
            <v>41179670</v>
          </cell>
          <cell r="P2796">
            <v>64242472</v>
          </cell>
          <cell r="Q2796">
            <v>55728939</v>
          </cell>
          <cell r="R2796">
            <v>60323530</v>
          </cell>
          <cell r="S2796">
            <v>0</v>
          </cell>
          <cell r="T2796">
            <v>0</v>
          </cell>
          <cell r="U2796">
            <v>0</v>
          </cell>
          <cell r="V2796">
            <v>13587535</v>
          </cell>
          <cell r="W2796">
            <v>41042231</v>
          </cell>
          <cell r="X2796">
            <v>60415067</v>
          </cell>
          <cell r="Y2796">
            <v>0</v>
          </cell>
          <cell r="Z2796">
            <v>0</v>
          </cell>
          <cell r="AA2796">
            <v>0</v>
          </cell>
          <cell r="AB2796">
            <v>104927225</v>
          </cell>
          <cell r="AC2796">
            <v>0</v>
          </cell>
          <cell r="AD2796">
            <v>36910560</v>
          </cell>
          <cell r="AE2796">
            <v>0</v>
          </cell>
          <cell r="AF2796">
            <v>0</v>
          </cell>
          <cell r="AG2796">
            <v>2111691</v>
          </cell>
          <cell r="AH2796">
            <v>2015530</v>
          </cell>
          <cell r="AI2796">
            <v>0</v>
          </cell>
        </row>
        <row r="2797">
          <cell r="A2797">
            <v>402010700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6215462</v>
          </cell>
          <cell r="H2797">
            <v>95742</v>
          </cell>
          <cell r="I2797">
            <v>6031802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5552794</v>
          </cell>
          <cell r="P2797">
            <v>1375890</v>
          </cell>
          <cell r="Q2797">
            <v>3937400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480822</v>
          </cell>
          <cell r="W2797">
            <v>0</v>
          </cell>
          <cell r="X2797">
            <v>5321505</v>
          </cell>
          <cell r="Y2797">
            <v>0</v>
          </cell>
          <cell r="Z2797">
            <v>0</v>
          </cell>
          <cell r="AA2797">
            <v>0</v>
          </cell>
          <cell r="AB2797">
            <v>7883501</v>
          </cell>
          <cell r="AC2797">
            <v>0</v>
          </cell>
          <cell r="AD2797">
            <v>1150142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</row>
        <row r="2798">
          <cell r="A2798">
            <v>402010701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6215462</v>
          </cell>
          <cell r="H2798">
            <v>95742</v>
          </cell>
          <cell r="I2798">
            <v>6031802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5552794</v>
          </cell>
          <cell r="P2798">
            <v>1375890</v>
          </cell>
          <cell r="Q2798">
            <v>3937400</v>
          </cell>
          <cell r="R2798">
            <v>0</v>
          </cell>
          <cell r="S2798">
            <v>0</v>
          </cell>
          <cell r="T2798">
            <v>0</v>
          </cell>
          <cell r="U2798">
            <v>0</v>
          </cell>
          <cell r="V2798">
            <v>480822</v>
          </cell>
          <cell r="W2798">
            <v>0</v>
          </cell>
          <cell r="X2798">
            <v>5321505</v>
          </cell>
          <cell r="Y2798">
            <v>0</v>
          </cell>
          <cell r="Z2798">
            <v>0</v>
          </cell>
          <cell r="AA2798">
            <v>0</v>
          </cell>
          <cell r="AB2798">
            <v>7883501</v>
          </cell>
          <cell r="AC2798">
            <v>0</v>
          </cell>
          <cell r="AD2798">
            <v>1150142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</row>
        <row r="2799">
          <cell r="A2799">
            <v>402010800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</row>
        <row r="2800">
          <cell r="A2800">
            <v>402010801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</row>
        <row r="2801">
          <cell r="A2801">
            <v>402010900</v>
          </cell>
          <cell r="C2801">
            <v>0</v>
          </cell>
          <cell r="D2801">
            <v>0</v>
          </cell>
          <cell r="E2801">
            <v>23070933</v>
          </cell>
          <cell r="F2801">
            <v>343398</v>
          </cell>
          <cell r="G2801">
            <v>53504327</v>
          </cell>
          <cell r="H2801">
            <v>13497202</v>
          </cell>
          <cell r="I2801">
            <v>11217221</v>
          </cell>
          <cell r="J2801">
            <v>218635</v>
          </cell>
          <cell r="K2801">
            <v>0</v>
          </cell>
          <cell r="L2801">
            <v>0</v>
          </cell>
          <cell r="M2801">
            <v>365268</v>
          </cell>
          <cell r="N2801">
            <v>0</v>
          </cell>
          <cell r="O2801">
            <v>483671</v>
          </cell>
          <cell r="P2801">
            <v>0</v>
          </cell>
          <cell r="Q2801">
            <v>1239452</v>
          </cell>
          <cell r="R2801">
            <v>34587776</v>
          </cell>
          <cell r="S2801">
            <v>0</v>
          </cell>
          <cell r="T2801">
            <v>0</v>
          </cell>
          <cell r="U2801">
            <v>0</v>
          </cell>
          <cell r="V2801">
            <v>357921</v>
          </cell>
          <cell r="W2801">
            <v>115387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39117635</v>
          </cell>
          <cell r="AC2801">
            <v>0</v>
          </cell>
          <cell r="AD2801">
            <v>2685260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</row>
        <row r="2802">
          <cell r="A2802">
            <v>402010901</v>
          </cell>
          <cell r="C2802">
            <v>0</v>
          </cell>
          <cell r="D2802">
            <v>0</v>
          </cell>
          <cell r="E2802">
            <v>23070933</v>
          </cell>
          <cell r="F2802">
            <v>343398</v>
          </cell>
          <cell r="G2802">
            <v>53504327</v>
          </cell>
          <cell r="H2802">
            <v>13497202</v>
          </cell>
          <cell r="I2802">
            <v>11217221</v>
          </cell>
          <cell r="J2802">
            <v>218635</v>
          </cell>
          <cell r="K2802">
            <v>0</v>
          </cell>
          <cell r="L2802">
            <v>0</v>
          </cell>
          <cell r="M2802">
            <v>365268</v>
          </cell>
          <cell r="N2802">
            <v>0</v>
          </cell>
          <cell r="O2802">
            <v>483671</v>
          </cell>
          <cell r="P2802">
            <v>0</v>
          </cell>
          <cell r="Q2802">
            <v>1239452</v>
          </cell>
          <cell r="R2802">
            <v>34587776</v>
          </cell>
          <cell r="S2802">
            <v>0</v>
          </cell>
          <cell r="T2802">
            <v>0</v>
          </cell>
          <cell r="U2802">
            <v>0</v>
          </cell>
          <cell r="V2802">
            <v>357921</v>
          </cell>
          <cell r="W2802">
            <v>115387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39117635</v>
          </cell>
          <cell r="AC2802">
            <v>0</v>
          </cell>
          <cell r="AD2802">
            <v>2685260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</row>
        <row r="2803">
          <cell r="A2803">
            <v>402011000</v>
          </cell>
          <cell r="C2803">
            <v>0</v>
          </cell>
          <cell r="D2803">
            <v>33715523</v>
          </cell>
          <cell r="E2803">
            <v>34738218</v>
          </cell>
          <cell r="F2803">
            <v>18284</v>
          </cell>
          <cell r="G2803">
            <v>11574195</v>
          </cell>
          <cell r="H2803">
            <v>71250</v>
          </cell>
          <cell r="I2803">
            <v>16886138</v>
          </cell>
          <cell r="J2803">
            <v>2939912</v>
          </cell>
          <cell r="K2803">
            <v>0</v>
          </cell>
          <cell r="L2803">
            <v>5263314</v>
          </cell>
          <cell r="M2803">
            <v>1016</v>
          </cell>
          <cell r="N2803">
            <v>0</v>
          </cell>
          <cell r="O2803">
            <v>8130935</v>
          </cell>
          <cell r="P2803">
            <v>27069708</v>
          </cell>
          <cell r="Q2803">
            <v>50126769</v>
          </cell>
          <cell r="R2803">
            <v>37351099</v>
          </cell>
          <cell r="S2803">
            <v>0</v>
          </cell>
          <cell r="T2803">
            <v>0</v>
          </cell>
          <cell r="U2803">
            <v>0</v>
          </cell>
          <cell r="V2803">
            <v>2497636</v>
          </cell>
          <cell r="W2803">
            <v>3068307</v>
          </cell>
          <cell r="X2803">
            <v>4743813</v>
          </cell>
          <cell r="Y2803">
            <v>0</v>
          </cell>
          <cell r="Z2803">
            <v>0</v>
          </cell>
          <cell r="AA2803">
            <v>221415</v>
          </cell>
          <cell r="AB2803">
            <v>20387832</v>
          </cell>
          <cell r="AC2803">
            <v>0</v>
          </cell>
          <cell r="AD2803">
            <v>14706697</v>
          </cell>
          <cell r="AE2803">
            <v>0</v>
          </cell>
          <cell r="AF2803">
            <v>0</v>
          </cell>
          <cell r="AG2803">
            <v>9669147</v>
          </cell>
          <cell r="AH2803">
            <v>4000523</v>
          </cell>
          <cell r="AI2803">
            <v>0</v>
          </cell>
        </row>
        <row r="2804">
          <cell r="A2804">
            <v>402011001</v>
          </cell>
          <cell r="C2804">
            <v>0</v>
          </cell>
          <cell r="D2804">
            <v>33715523</v>
          </cell>
          <cell r="E2804">
            <v>34738218</v>
          </cell>
          <cell r="F2804">
            <v>18284</v>
          </cell>
          <cell r="G2804">
            <v>11574195</v>
          </cell>
          <cell r="H2804">
            <v>71250</v>
          </cell>
          <cell r="I2804">
            <v>16886138</v>
          </cell>
          <cell r="J2804">
            <v>2939912</v>
          </cell>
          <cell r="K2804">
            <v>0</v>
          </cell>
          <cell r="L2804">
            <v>5263314</v>
          </cell>
          <cell r="M2804">
            <v>1016</v>
          </cell>
          <cell r="N2804">
            <v>0</v>
          </cell>
          <cell r="O2804">
            <v>8130935</v>
          </cell>
          <cell r="P2804">
            <v>27069708</v>
          </cell>
          <cell r="Q2804">
            <v>50126769</v>
          </cell>
          <cell r="R2804">
            <v>37351099</v>
          </cell>
          <cell r="S2804">
            <v>0</v>
          </cell>
          <cell r="T2804">
            <v>0</v>
          </cell>
          <cell r="U2804">
            <v>0</v>
          </cell>
          <cell r="V2804">
            <v>2497636</v>
          </cell>
          <cell r="W2804">
            <v>3068307</v>
          </cell>
          <cell r="X2804">
            <v>4743813</v>
          </cell>
          <cell r="Y2804">
            <v>0</v>
          </cell>
          <cell r="Z2804">
            <v>0</v>
          </cell>
          <cell r="AA2804">
            <v>221415</v>
          </cell>
          <cell r="AB2804">
            <v>20387832</v>
          </cell>
          <cell r="AC2804">
            <v>0</v>
          </cell>
          <cell r="AD2804">
            <v>14706697</v>
          </cell>
          <cell r="AE2804">
            <v>0</v>
          </cell>
          <cell r="AF2804">
            <v>0</v>
          </cell>
          <cell r="AG2804">
            <v>9669147</v>
          </cell>
          <cell r="AH2804">
            <v>4000523</v>
          </cell>
          <cell r="AI2804">
            <v>0</v>
          </cell>
        </row>
        <row r="2805">
          <cell r="A2805">
            <v>402011100</v>
          </cell>
          <cell r="C2805">
            <v>0</v>
          </cell>
          <cell r="D2805">
            <v>7074897</v>
          </cell>
          <cell r="E2805">
            <v>0</v>
          </cell>
          <cell r="F2805">
            <v>0</v>
          </cell>
          <cell r="G2805">
            <v>71249489</v>
          </cell>
          <cell r="H2805">
            <v>0</v>
          </cell>
          <cell r="I2805">
            <v>17536032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6147204</v>
          </cell>
          <cell r="O2805">
            <v>0</v>
          </cell>
          <cell r="P2805">
            <v>703549</v>
          </cell>
          <cell r="Q2805">
            <v>2941276</v>
          </cell>
          <cell r="R2805">
            <v>18660527</v>
          </cell>
          <cell r="S2805">
            <v>0</v>
          </cell>
          <cell r="T2805">
            <v>0</v>
          </cell>
          <cell r="U2805">
            <v>0</v>
          </cell>
          <cell r="V2805">
            <v>6097278</v>
          </cell>
          <cell r="W2805">
            <v>0</v>
          </cell>
          <cell r="X2805">
            <v>29375157</v>
          </cell>
          <cell r="Y2805">
            <v>0</v>
          </cell>
          <cell r="Z2805">
            <v>0</v>
          </cell>
          <cell r="AA2805">
            <v>0</v>
          </cell>
          <cell r="AB2805">
            <v>35567310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</row>
        <row r="2806">
          <cell r="A2806">
            <v>402011101</v>
          </cell>
          <cell r="C2806">
            <v>0</v>
          </cell>
          <cell r="D2806">
            <v>7074897</v>
          </cell>
          <cell r="E2806">
            <v>0</v>
          </cell>
          <cell r="F2806">
            <v>0</v>
          </cell>
          <cell r="G2806">
            <v>71249489</v>
          </cell>
          <cell r="H2806">
            <v>0</v>
          </cell>
          <cell r="I2806">
            <v>17536032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6147204</v>
          </cell>
          <cell r="O2806">
            <v>0</v>
          </cell>
          <cell r="P2806">
            <v>703549</v>
          </cell>
          <cell r="Q2806">
            <v>2941276</v>
          </cell>
          <cell r="R2806">
            <v>18660527</v>
          </cell>
          <cell r="S2806">
            <v>0</v>
          </cell>
          <cell r="T2806">
            <v>0</v>
          </cell>
          <cell r="U2806">
            <v>0</v>
          </cell>
          <cell r="V2806">
            <v>6097278</v>
          </cell>
          <cell r="W2806">
            <v>0</v>
          </cell>
          <cell r="X2806">
            <v>29375157</v>
          </cell>
          <cell r="Y2806">
            <v>0</v>
          </cell>
          <cell r="Z2806">
            <v>0</v>
          </cell>
          <cell r="AA2806">
            <v>0</v>
          </cell>
          <cell r="AB2806">
            <v>35567310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</row>
        <row r="2807">
          <cell r="A2807">
            <v>402011200</v>
          </cell>
          <cell r="C2807">
            <v>0</v>
          </cell>
          <cell r="D2807">
            <v>14474644</v>
          </cell>
          <cell r="E2807">
            <v>19581183</v>
          </cell>
          <cell r="F2807">
            <v>0</v>
          </cell>
          <cell r="G2807">
            <v>97993033</v>
          </cell>
          <cell r="H2807">
            <v>33509281</v>
          </cell>
          <cell r="I2807">
            <v>116707514</v>
          </cell>
          <cell r="J2807">
            <v>0</v>
          </cell>
          <cell r="K2807">
            <v>0</v>
          </cell>
          <cell r="L2807">
            <v>1645214</v>
          </cell>
          <cell r="M2807">
            <v>34984</v>
          </cell>
          <cell r="N2807">
            <v>17689349</v>
          </cell>
          <cell r="O2807">
            <v>51086408</v>
          </cell>
          <cell r="P2807">
            <v>4836347</v>
          </cell>
          <cell r="Q2807">
            <v>10362374</v>
          </cell>
          <cell r="R2807">
            <v>10551504</v>
          </cell>
          <cell r="S2807">
            <v>0</v>
          </cell>
          <cell r="T2807">
            <v>0</v>
          </cell>
          <cell r="U2807">
            <v>0</v>
          </cell>
          <cell r="V2807">
            <v>4480808</v>
          </cell>
          <cell r="W2807">
            <v>534308</v>
          </cell>
          <cell r="X2807">
            <v>69533158</v>
          </cell>
          <cell r="Y2807">
            <v>0</v>
          </cell>
          <cell r="Z2807">
            <v>708524</v>
          </cell>
          <cell r="AA2807">
            <v>0</v>
          </cell>
          <cell r="AB2807">
            <v>160368231</v>
          </cell>
          <cell r="AC2807">
            <v>0</v>
          </cell>
          <cell r="AD2807">
            <v>9099213</v>
          </cell>
          <cell r="AE2807">
            <v>0</v>
          </cell>
          <cell r="AF2807">
            <v>0</v>
          </cell>
          <cell r="AG2807">
            <v>0</v>
          </cell>
          <cell r="AH2807">
            <v>894680</v>
          </cell>
          <cell r="AI2807">
            <v>0</v>
          </cell>
        </row>
        <row r="2808">
          <cell r="A2808">
            <v>402011201</v>
          </cell>
          <cell r="C2808">
            <v>0</v>
          </cell>
          <cell r="D2808">
            <v>14474644</v>
          </cell>
          <cell r="E2808">
            <v>19581183</v>
          </cell>
          <cell r="F2808">
            <v>0</v>
          </cell>
          <cell r="G2808">
            <v>97993033</v>
          </cell>
          <cell r="H2808">
            <v>33509281</v>
          </cell>
          <cell r="I2808">
            <v>116707514</v>
          </cell>
          <cell r="J2808">
            <v>0</v>
          </cell>
          <cell r="K2808">
            <v>0</v>
          </cell>
          <cell r="L2808">
            <v>1645214</v>
          </cell>
          <cell r="M2808">
            <v>34984</v>
          </cell>
          <cell r="N2808">
            <v>17689349</v>
          </cell>
          <cell r="O2808">
            <v>51086408</v>
          </cell>
          <cell r="P2808">
            <v>4836347</v>
          </cell>
          <cell r="Q2808">
            <v>10362374</v>
          </cell>
          <cell r="R2808">
            <v>10551504</v>
          </cell>
          <cell r="S2808">
            <v>0</v>
          </cell>
          <cell r="T2808">
            <v>0</v>
          </cell>
          <cell r="U2808">
            <v>0</v>
          </cell>
          <cell r="V2808">
            <v>4480808</v>
          </cell>
          <cell r="W2808">
            <v>534308</v>
          </cell>
          <cell r="X2808">
            <v>69533158</v>
          </cell>
          <cell r="Y2808">
            <v>0</v>
          </cell>
          <cell r="Z2808">
            <v>708524</v>
          </cell>
          <cell r="AA2808">
            <v>0</v>
          </cell>
          <cell r="AB2808">
            <v>160368231</v>
          </cell>
          <cell r="AC2808">
            <v>0</v>
          </cell>
          <cell r="AD2808">
            <v>9099213</v>
          </cell>
          <cell r="AE2808">
            <v>0</v>
          </cell>
          <cell r="AF2808">
            <v>0</v>
          </cell>
          <cell r="AG2808">
            <v>0</v>
          </cell>
          <cell r="AH2808">
            <v>894680</v>
          </cell>
          <cell r="AI2808">
            <v>0</v>
          </cell>
        </row>
        <row r="2809">
          <cell r="A2809">
            <v>402011300</v>
          </cell>
          <cell r="C2809">
            <v>79767220</v>
          </cell>
          <cell r="D2809">
            <v>40850727</v>
          </cell>
          <cell r="E2809">
            <v>76171644</v>
          </cell>
          <cell r="F2809">
            <v>3422682</v>
          </cell>
          <cell r="G2809">
            <v>22202143</v>
          </cell>
          <cell r="H2809">
            <v>93991149</v>
          </cell>
          <cell r="I2809">
            <v>0</v>
          </cell>
          <cell r="J2809">
            <v>2194887</v>
          </cell>
          <cell r="K2809">
            <v>0</v>
          </cell>
          <cell r="L2809">
            <v>82549805</v>
          </cell>
          <cell r="M2809">
            <v>265498</v>
          </cell>
          <cell r="N2809">
            <v>37484549</v>
          </cell>
          <cell r="O2809">
            <v>190994871</v>
          </cell>
          <cell r="P2809">
            <v>20022228</v>
          </cell>
          <cell r="Q2809">
            <v>155249381</v>
          </cell>
          <cell r="R2809">
            <v>82510938</v>
          </cell>
          <cell r="S2809">
            <v>0</v>
          </cell>
          <cell r="T2809">
            <v>6470677</v>
          </cell>
          <cell r="U2809">
            <v>0</v>
          </cell>
          <cell r="V2809">
            <v>0</v>
          </cell>
          <cell r="W2809">
            <v>2553189</v>
          </cell>
          <cell r="X2809">
            <v>122697243</v>
          </cell>
          <cell r="Y2809">
            <v>0</v>
          </cell>
          <cell r="Z2809">
            <v>12329</v>
          </cell>
          <cell r="AA2809">
            <v>8105102</v>
          </cell>
          <cell r="AB2809">
            <v>31460649</v>
          </cell>
          <cell r="AC2809">
            <v>0</v>
          </cell>
          <cell r="AD2809">
            <v>48229635</v>
          </cell>
          <cell r="AE2809">
            <v>0</v>
          </cell>
          <cell r="AF2809">
            <v>0</v>
          </cell>
          <cell r="AG2809">
            <v>36561131</v>
          </cell>
          <cell r="AH2809">
            <v>13181355</v>
          </cell>
          <cell r="AI2809">
            <v>0</v>
          </cell>
        </row>
        <row r="2810">
          <cell r="A2810">
            <v>402011301</v>
          </cell>
          <cell r="C2810">
            <v>79767220</v>
          </cell>
          <cell r="D2810">
            <v>40850727</v>
          </cell>
          <cell r="E2810">
            <v>76171644</v>
          </cell>
          <cell r="F2810">
            <v>3422682</v>
          </cell>
          <cell r="G2810">
            <v>22202143</v>
          </cell>
          <cell r="H2810">
            <v>93991149</v>
          </cell>
          <cell r="I2810">
            <v>0</v>
          </cell>
          <cell r="J2810">
            <v>2194887</v>
          </cell>
          <cell r="K2810">
            <v>0</v>
          </cell>
          <cell r="L2810">
            <v>82549805</v>
          </cell>
          <cell r="M2810">
            <v>265498</v>
          </cell>
          <cell r="N2810">
            <v>37484549</v>
          </cell>
          <cell r="O2810">
            <v>190994871</v>
          </cell>
          <cell r="P2810">
            <v>20022228</v>
          </cell>
          <cell r="Q2810">
            <v>155249381</v>
          </cell>
          <cell r="R2810">
            <v>82510938</v>
          </cell>
          <cell r="S2810">
            <v>0</v>
          </cell>
          <cell r="T2810">
            <v>6470677</v>
          </cell>
          <cell r="U2810">
            <v>0</v>
          </cell>
          <cell r="V2810">
            <v>0</v>
          </cell>
          <cell r="W2810">
            <v>2553189</v>
          </cell>
          <cell r="X2810">
            <v>122697243</v>
          </cell>
          <cell r="Y2810">
            <v>0</v>
          </cell>
          <cell r="Z2810">
            <v>12329</v>
          </cell>
          <cell r="AA2810">
            <v>8105102</v>
          </cell>
          <cell r="AB2810">
            <v>31460649</v>
          </cell>
          <cell r="AC2810">
            <v>0</v>
          </cell>
          <cell r="AD2810">
            <v>48229635</v>
          </cell>
          <cell r="AE2810">
            <v>0</v>
          </cell>
          <cell r="AF2810">
            <v>0</v>
          </cell>
          <cell r="AG2810">
            <v>36561131</v>
          </cell>
          <cell r="AH2810">
            <v>13181355</v>
          </cell>
          <cell r="AI2810">
            <v>0</v>
          </cell>
        </row>
        <row r="2811">
          <cell r="A2811">
            <v>402012000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257852422</v>
          </cell>
          <cell r="H2811">
            <v>20622665</v>
          </cell>
          <cell r="I2811">
            <v>192864025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268241627</v>
          </cell>
          <cell r="O2811">
            <v>0</v>
          </cell>
          <cell r="P2811">
            <v>0</v>
          </cell>
          <cell r="Q2811">
            <v>0</v>
          </cell>
          <cell r="R2811">
            <v>5227896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751878</v>
          </cell>
          <cell r="Y2811">
            <v>0</v>
          </cell>
          <cell r="Z2811">
            <v>0</v>
          </cell>
          <cell r="AA2811">
            <v>0</v>
          </cell>
          <cell r="AB2811">
            <v>204883062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</row>
        <row r="2812">
          <cell r="A2812">
            <v>402012001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</row>
        <row r="2813">
          <cell r="A2813">
            <v>402012002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</row>
        <row r="2814">
          <cell r="A2814">
            <v>402012003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257852422</v>
          </cell>
          <cell r="H2814">
            <v>20622665</v>
          </cell>
          <cell r="I2814">
            <v>192864025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268241627</v>
          </cell>
          <cell r="O2814">
            <v>0</v>
          </cell>
          <cell r="P2814">
            <v>0</v>
          </cell>
          <cell r="Q2814">
            <v>0</v>
          </cell>
          <cell r="R2814">
            <v>5227896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751878</v>
          </cell>
          <cell r="Y2814">
            <v>0</v>
          </cell>
          <cell r="Z2814">
            <v>0</v>
          </cell>
          <cell r="AA2814">
            <v>0</v>
          </cell>
          <cell r="AB2814">
            <v>204883062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</row>
        <row r="2815">
          <cell r="A2815">
            <v>402012004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</row>
        <row r="2816">
          <cell r="A2816">
            <v>402012005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</row>
        <row r="2817">
          <cell r="A2817">
            <v>402012006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</row>
        <row r="2818">
          <cell r="A2818">
            <v>402012007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</row>
        <row r="2819">
          <cell r="A2819">
            <v>402012008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</row>
        <row r="2820">
          <cell r="A2820">
            <v>402012009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</row>
        <row r="2821">
          <cell r="A2821">
            <v>402020000</v>
          </cell>
          <cell r="C2821">
            <v>0</v>
          </cell>
          <cell r="D2821">
            <v>0</v>
          </cell>
          <cell r="E2821">
            <v>0</v>
          </cell>
          <cell r="F2821">
            <v>195131824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192807315</v>
          </cell>
          <cell r="L2821">
            <v>0</v>
          </cell>
          <cell r="M2821">
            <v>118931961</v>
          </cell>
          <cell r="N2821">
            <v>0</v>
          </cell>
          <cell r="O2821">
            <v>116922523</v>
          </cell>
          <cell r="P2821">
            <v>0</v>
          </cell>
          <cell r="Q2821">
            <v>0</v>
          </cell>
          <cell r="R2821">
            <v>1443829</v>
          </cell>
          <cell r="S2821">
            <v>499999</v>
          </cell>
          <cell r="T2821">
            <v>0</v>
          </cell>
          <cell r="U2821">
            <v>0</v>
          </cell>
          <cell r="V2821">
            <v>0</v>
          </cell>
          <cell r="W2821">
            <v>145146</v>
          </cell>
          <cell r="X2821">
            <v>64894401</v>
          </cell>
          <cell r="Y2821">
            <v>191120339</v>
          </cell>
          <cell r="Z2821">
            <v>0</v>
          </cell>
          <cell r="AA2821">
            <v>330754600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</row>
        <row r="2822">
          <cell r="A2822">
            <v>402020100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6129408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25426730</v>
          </cell>
          <cell r="Y2822">
            <v>4637473</v>
          </cell>
          <cell r="Z2822">
            <v>0</v>
          </cell>
          <cell r="AA2822">
            <v>126609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</row>
        <row r="2823">
          <cell r="A2823">
            <v>402020101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6129408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25426730</v>
          </cell>
          <cell r="Y2823">
            <v>4637473</v>
          </cell>
          <cell r="Z2823">
            <v>0</v>
          </cell>
          <cell r="AA2823">
            <v>126609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</row>
        <row r="2824">
          <cell r="A2824">
            <v>402020200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1150000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</row>
        <row r="2825">
          <cell r="A2825">
            <v>402020201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1150000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</row>
        <row r="2826">
          <cell r="A2826">
            <v>402020300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95378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98628</v>
          </cell>
          <cell r="Z2826">
            <v>0</v>
          </cell>
          <cell r="AA2826">
            <v>48925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</row>
        <row r="2827">
          <cell r="A2827">
            <v>402020301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95378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98628</v>
          </cell>
          <cell r="Z2827">
            <v>0</v>
          </cell>
          <cell r="AA2827">
            <v>48925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</row>
        <row r="2828">
          <cell r="A2828">
            <v>402020400</v>
          </cell>
          <cell r="C2828">
            <v>0</v>
          </cell>
          <cell r="D2828">
            <v>0</v>
          </cell>
          <cell r="E2828">
            <v>0</v>
          </cell>
          <cell r="F2828">
            <v>195131824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181788155</v>
          </cell>
          <cell r="L2828">
            <v>0</v>
          </cell>
          <cell r="M2828">
            <v>118931961</v>
          </cell>
          <cell r="N2828">
            <v>0</v>
          </cell>
          <cell r="O2828">
            <v>116922523</v>
          </cell>
          <cell r="P2828">
            <v>0</v>
          </cell>
          <cell r="Q2828">
            <v>0</v>
          </cell>
          <cell r="R2828">
            <v>1443829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145146</v>
          </cell>
          <cell r="X2828">
            <v>1967671</v>
          </cell>
          <cell r="Y2828">
            <v>180601801</v>
          </cell>
          <cell r="Z2828">
            <v>0</v>
          </cell>
          <cell r="AA2828">
            <v>330117666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</row>
        <row r="2829">
          <cell r="A2829">
            <v>402020401</v>
          </cell>
          <cell r="C2829">
            <v>0</v>
          </cell>
          <cell r="D2829">
            <v>0</v>
          </cell>
          <cell r="E2829">
            <v>0</v>
          </cell>
          <cell r="F2829">
            <v>195131824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181788155</v>
          </cell>
          <cell r="L2829">
            <v>0</v>
          </cell>
          <cell r="M2829">
            <v>118931961</v>
          </cell>
          <cell r="N2829">
            <v>0</v>
          </cell>
          <cell r="O2829">
            <v>116922523</v>
          </cell>
          <cell r="P2829">
            <v>0</v>
          </cell>
          <cell r="Q2829">
            <v>0</v>
          </cell>
          <cell r="R2829">
            <v>1443829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145146</v>
          </cell>
          <cell r="X2829">
            <v>1967671</v>
          </cell>
          <cell r="Y2829">
            <v>180601801</v>
          </cell>
          <cell r="Z2829">
            <v>0</v>
          </cell>
          <cell r="AA2829">
            <v>330117666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</row>
        <row r="2830">
          <cell r="A2830">
            <v>402020500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</row>
        <row r="2831">
          <cell r="A2831">
            <v>402020501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</row>
        <row r="2832">
          <cell r="A2832">
            <v>402020600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2850888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37500000</v>
          </cell>
          <cell r="Y2832">
            <v>3492521</v>
          </cell>
          <cell r="Z2832">
            <v>0</v>
          </cell>
          <cell r="AA2832">
            <v>61964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</row>
        <row r="2833">
          <cell r="A2833">
            <v>402020601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2850888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37500000</v>
          </cell>
          <cell r="Y2833">
            <v>3492521</v>
          </cell>
          <cell r="Z2833">
            <v>0</v>
          </cell>
          <cell r="AA2833">
            <v>61964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</row>
        <row r="2834">
          <cell r="A2834">
            <v>402020700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</row>
        <row r="2835">
          <cell r="A2835">
            <v>402020701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</row>
        <row r="2836">
          <cell r="A2836">
            <v>402020800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</row>
        <row r="2837">
          <cell r="A2837">
            <v>402020801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</row>
        <row r="2838">
          <cell r="A2838">
            <v>402020900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340655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343397</v>
          </cell>
          <cell r="Z2838">
            <v>0</v>
          </cell>
          <cell r="AA2838">
            <v>340293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</row>
        <row r="2839">
          <cell r="A2839">
            <v>402020901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340655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343397</v>
          </cell>
          <cell r="Z2839">
            <v>0</v>
          </cell>
          <cell r="AA2839">
            <v>340293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</row>
        <row r="2840">
          <cell r="A2840">
            <v>402021000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41195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18284</v>
          </cell>
          <cell r="Z2840">
            <v>0</v>
          </cell>
          <cell r="AA2840">
            <v>20598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</row>
        <row r="2841">
          <cell r="A2841">
            <v>402021001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41195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18284</v>
          </cell>
          <cell r="Z2841">
            <v>0</v>
          </cell>
          <cell r="AA2841">
            <v>20598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</row>
        <row r="2842">
          <cell r="A2842">
            <v>402021100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</row>
        <row r="2843">
          <cell r="A2843">
            <v>402021101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</row>
        <row r="2844">
          <cell r="A2844">
            <v>402021200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</row>
        <row r="2845">
          <cell r="A2845">
            <v>402021201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</row>
        <row r="2846">
          <cell r="A2846">
            <v>402021300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1561636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499999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778235</v>
          </cell>
          <cell r="Z2846">
            <v>0</v>
          </cell>
          <cell r="AA2846">
            <v>38545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</row>
        <row r="2847">
          <cell r="A2847">
            <v>402021301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1561636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499999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778235</v>
          </cell>
          <cell r="Z2847">
            <v>0</v>
          </cell>
          <cell r="AA2847">
            <v>38545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</row>
        <row r="2848">
          <cell r="A2848">
            <v>402022000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</row>
        <row r="2849">
          <cell r="A2849">
            <v>402022001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</row>
        <row r="2850">
          <cell r="A2850">
            <v>402022002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</row>
        <row r="2851">
          <cell r="A2851">
            <v>402022003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</row>
        <row r="2852">
          <cell r="A2852">
            <v>402022004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</row>
        <row r="2853">
          <cell r="A2853">
            <v>402022005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</row>
        <row r="2854">
          <cell r="A2854">
            <v>402022006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</row>
        <row r="2855">
          <cell r="A2855">
            <v>402022007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</row>
        <row r="2856">
          <cell r="A2856">
            <v>402022008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</row>
        <row r="2857">
          <cell r="A2857">
            <v>402022009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</row>
        <row r="2858">
          <cell r="A2858">
            <v>403000000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</row>
        <row r="2859">
          <cell r="A2859">
            <v>403010000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</row>
        <row r="2860">
          <cell r="A2860">
            <v>403010100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</row>
        <row r="2861">
          <cell r="A2861">
            <v>403010101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</row>
        <row r="2862">
          <cell r="A2862">
            <v>403010200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</row>
        <row r="2863">
          <cell r="A2863">
            <v>403010201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</row>
        <row r="2864">
          <cell r="A2864">
            <v>403010300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</row>
        <row r="2865">
          <cell r="A2865">
            <v>403010301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</row>
        <row r="2866">
          <cell r="A2866">
            <v>403010400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</row>
        <row r="2867">
          <cell r="A2867">
            <v>403010401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</row>
        <row r="2868">
          <cell r="A2868">
            <v>403010500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</row>
        <row r="2869">
          <cell r="A2869">
            <v>403010501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</row>
        <row r="2870">
          <cell r="A2870">
            <v>403010600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</row>
        <row r="2871">
          <cell r="A2871">
            <v>403010601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</row>
        <row r="2872">
          <cell r="A2872">
            <v>403010700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</row>
        <row r="2873">
          <cell r="A2873">
            <v>403010701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</row>
        <row r="2874">
          <cell r="A2874">
            <v>403010800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</row>
        <row r="2875">
          <cell r="A2875">
            <v>403010801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</row>
        <row r="2876">
          <cell r="A2876">
            <v>403010900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</row>
        <row r="2877">
          <cell r="A2877">
            <v>403010901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</row>
        <row r="2878">
          <cell r="A2878">
            <v>403011000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</row>
        <row r="2879">
          <cell r="A2879">
            <v>403011001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</row>
        <row r="2880">
          <cell r="A2880">
            <v>403011100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</row>
        <row r="2881">
          <cell r="A2881">
            <v>403011101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</row>
        <row r="2882">
          <cell r="A2882">
            <v>403011200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</row>
        <row r="2883">
          <cell r="A2883">
            <v>403011201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</row>
        <row r="2884">
          <cell r="A2884">
            <v>403011300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R2884">
            <v>0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</row>
        <row r="2885">
          <cell r="A2885">
            <v>403011301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</row>
        <row r="2886">
          <cell r="A2886">
            <v>403012000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</row>
        <row r="2887">
          <cell r="A2887">
            <v>403012001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</row>
        <row r="2888">
          <cell r="A2888">
            <v>403012002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</row>
        <row r="2889">
          <cell r="A2889">
            <v>403012003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</row>
        <row r="2890">
          <cell r="A2890">
            <v>403012004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</row>
        <row r="2891">
          <cell r="A2891">
            <v>403012005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</row>
        <row r="2892">
          <cell r="A2892">
            <v>403012006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</row>
        <row r="2893">
          <cell r="A2893">
            <v>403012007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</row>
        <row r="2894">
          <cell r="A2894">
            <v>403012008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</row>
        <row r="2895">
          <cell r="A2895">
            <v>403012009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</row>
        <row r="2896">
          <cell r="A2896">
            <v>403020000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</row>
        <row r="2897">
          <cell r="A2897">
            <v>403020100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</row>
        <row r="2898">
          <cell r="A2898">
            <v>403020101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</row>
        <row r="2899">
          <cell r="A2899">
            <v>403020200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</row>
        <row r="2900">
          <cell r="A2900">
            <v>403020201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</row>
        <row r="2901">
          <cell r="A2901">
            <v>403020300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</row>
        <row r="2902">
          <cell r="A2902">
            <v>403020301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</row>
        <row r="2903">
          <cell r="A2903">
            <v>403020400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</row>
        <row r="2904">
          <cell r="A2904">
            <v>403020401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</row>
        <row r="2905">
          <cell r="A2905">
            <v>403020500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</row>
        <row r="2906">
          <cell r="A2906">
            <v>403020501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</row>
        <row r="2907">
          <cell r="A2907">
            <v>403020600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</row>
        <row r="2908">
          <cell r="A2908">
            <v>403020601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</row>
        <row r="2909">
          <cell r="A2909">
            <v>403020700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</row>
        <row r="2910">
          <cell r="A2910">
            <v>403020701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</row>
        <row r="2911">
          <cell r="A2911">
            <v>403020800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</row>
        <row r="2912">
          <cell r="A2912">
            <v>403020801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</row>
        <row r="2913">
          <cell r="A2913">
            <v>403020900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</row>
        <row r="2914">
          <cell r="A2914">
            <v>403020901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</row>
        <row r="2915">
          <cell r="A2915">
            <v>403021000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</row>
        <row r="2916">
          <cell r="A2916">
            <v>403021001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</row>
        <row r="2917">
          <cell r="A2917">
            <v>403021100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</row>
        <row r="2918">
          <cell r="A2918">
            <v>403021101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</row>
        <row r="2919">
          <cell r="A2919">
            <v>403021200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</row>
        <row r="2920">
          <cell r="A2920">
            <v>403021201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</row>
        <row r="2921">
          <cell r="A2921">
            <v>403021300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</row>
        <row r="2922">
          <cell r="A2922">
            <v>403021301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</row>
        <row r="2923">
          <cell r="A2923">
            <v>403022000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</row>
        <row r="2924">
          <cell r="A2924">
            <v>403022001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</row>
        <row r="2925">
          <cell r="A2925">
            <v>403022002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</row>
        <row r="2926">
          <cell r="A2926">
            <v>403022003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</row>
        <row r="2927">
          <cell r="A2927">
            <v>403022004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</row>
        <row r="2928">
          <cell r="A2928">
            <v>403022005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</row>
        <row r="2929">
          <cell r="A2929">
            <v>403022006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</row>
        <row r="2930">
          <cell r="A2930">
            <v>403022007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</row>
        <row r="2931">
          <cell r="A2931">
            <v>403022008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</row>
        <row r="2932">
          <cell r="A2932">
            <v>403022009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</row>
        <row r="2933">
          <cell r="A2933">
            <v>404000000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493540963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</row>
        <row r="2934">
          <cell r="A2934">
            <v>404010000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</row>
        <row r="2935">
          <cell r="A2935">
            <v>404010100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-7335266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</row>
        <row r="2936">
          <cell r="A2936">
            <v>404010101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-7335266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</row>
        <row r="2937">
          <cell r="A2937">
            <v>404010102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</row>
        <row r="2938">
          <cell r="A2938">
            <v>404010103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</row>
        <row r="2939">
          <cell r="A2939">
            <v>404010200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-2180506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</row>
        <row r="2940">
          <cell r="A2940">
            <v>404010201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-2180506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</row>
        <row r="2941">
          <cell r="A2941">
            <v>404010202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</row>
        <row r="2942">
          <cell r="A2942">
            <v>404010203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</row>
        <row r="2943">
          <cell r="A2943">
            <v>404010300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-482589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</row>
        <row r="2944">
          <cell r="A2944">
            <v>404010301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-482589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</row>
        <row r="2945">
          <cell r="A2945">
            <v>404010302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</row>
        <row r="2946">
          <cell r="A2946">
            <v>404010303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</row>
        <row r="2947">
          <cell r="A2947">
            <v>404010400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12790890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</row>
        <row r="2948">
          <cell r="A2948">
            <v>404010401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12790890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</row>
        <row r="2949">
          <cell r="A2949">
            <v>404010402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</row>
        <row r="2950">
          <cell r="A2950">
            <v>404010403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</row>
        <row r="2951">
          <cell r="A2951">
            <v>404010500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</row>
        <row r="2952">
          <cell r="A2952">
            <v>404010501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</row>
        <row r="2953">
          <cell r="A2953">
            <v>404010502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</row>
        <row r="2954">
          <cell r="A2954">
            <v>404010503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</row>
        <row r="2955">
          <cell r="A2955">
            <v>404010600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-888172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</row>
        <row r="2956">
          <cell r="A2956">
            <v>404010601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-888172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</row>
        <row r="2957">
          <cell r="A2957">
            <v>404010602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</row>
        <row r="2958">
          <cell r="A2958">
            <v>404010603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</row>
        <row r="2959">
          <cell r="A2959">
            <v>404010700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13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</row>
        <row r="2960">
          <cell r="A2960">
            <v>404010701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13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</row>
        <row r="2961">
          <cell r="A2961">
            <v>404010702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</row>
        <row r="2962">
          <cell r="A2962">
            <v>404010703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</row>
        <row r="2963">
          <cell r="A2963">
            <v>404010800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</row>
        <row r="2964">
          <cell r="A2964">
            <v>404010801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</row>
        <row r="2965">
          <cell r="A2965">
            <v>404010802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</row>
        <row r="2966">
          <cell r="A2966">
            <v>404010803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</row>
        <row r="2967">
          <cell r="A2967">
            <v>404010900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42217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</row>
        <row r="2968">
          <cell r="A2968">
            <v>404010901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42217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</row>
        <row r="2969">
          <cell r="A2969">
            <v>404010902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</row>
        <row r="2970">
          <cell r="A2970">
            <v>404010903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</row>
        <row r="2971">
          <cell r="A2971">
            <v>404011000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-163144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</row>
        <row r="2972">
          <cell r="A2972">
            <v>404011001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-163144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</row>
        <row r="2973">
          <cell r="A2973">
            <v>404011002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</row>
        <row r="2974">
          <cell r="A2974">
            <v>404011003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</row>
        <row r="2975">
          <cell r="A2975">
            <v>404011100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</row>
        <row r="2976">
          <cell r="A2976">
            <v>404011101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</row>
        <row r="2977">
          <cell r="A2977">
            <v>404011102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</row>
        <row r="2978">
          <cell r="A2978">
            <v>404011103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</row>
        <row r="2979">
          <cell r="A2979">
            <v>404011200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4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</row>
        <row r="2980">
          <cell r="A2980">
            <v>404011201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4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</row>
        <row r="2981">
          <cell r="A2981">
            <v>404011202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</row>
        <row r="2982">
          <cell r="A2982">
            <v>404011203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</row>
        <row r="2983">
          <cell r="A2983">
            <v>404011300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-1830571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</row>
        <row r="2984">
          <cell r="A2984">
            <v>404011301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-1830571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</row>
        <row r="2985">
          <cell r="A2985">
            <v>404011302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</row>
        <row r="2986">
          <cell r="A2986">
            <v>404011303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</row>
        <row r="2987">
          <cell r="A2987">
            <v>404012000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47124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</row>
        <row r="2988">
          <cell r="A2988">
            <v>404012001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47124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</row>
        <row r="2989">
          <cell r="A2989">
            <v>404012002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</row>
        <row r="2990">
          <cell r="A2990">
            <v>404012003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</row>
        <row r="2991">
          <cell r="A2991">
            <v>404020000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0</v>
          </cell>
          <cell r="T2991">
            <v>493540963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</row>
        <row r="2992">
          <cell r="A2992">
            <v>404020100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493540963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</row>
        <row r="2993">
          <cell r="A2993">
            <v>404020101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493540963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</row>
        <row r="2994">
          <cell r="A2994">
            <v>404020102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</row>
        <row r="2995">
          <cell r="A2995">
            <v>404020103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</row>
        <row r="2996">
          <cell r="A2996">
            <v>404020104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</row>
        <row r="2997">
          <cell r="A2997">
            <v>404020105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</row>
        <row r="2998">
          <cell r="A2998">
            <v>404020106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</row>
        <row r="2999">
          <cell r="A2999">
            <v>404030000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</row>
        <row r="3000">
          <cell r="A3000">
            <v>404030100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</row>
        <row r="3001">
          <cell r="A3001">
            <v>404030101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</row>
        <row r="3002">
          <cell r="A3002">
            <v>405000000</v>
          </cell>
          <cell r="C3002">
            <v>1988378457</v>
          </cell>
          <cell r="D3002">
            <v>67911823</v>
          </cell>
          <cell r="E3002">
            <v>69235299</v>
          </cell>
          <cell r="F3002">
            <v>391676197</v>
          </cell>
          <cell r="G3002">
            <v>1078123698</v>
          </cell>
          <cell r="H3002">
            <v>2573819839</v>
          </cell>
          <cell r="I3002">
            <v>282511105</v>
          </cell>
          <cell r="J3002">
            <v>2213941</v>
          </cell>
          <cell r="K3002">
            <v>2213941</v>
          </cell>
          <cell r="L3002">
            <v>67390261</v>
          </cell>
          <cell r="M3002">
            <v>125122236</v>
          </cell>
          <cell r="N3002">
            <v>778261596</v>
          </cell>
          <cell r="O3002">
            <v>848744045</v>
          </cell>
          <cell r="P3002">
            <v>13230561</v>
          </cell>
          <cell r="Q3002">
            <v>227195119</v>
          </cell>
          <cell r="R3002">
            <v>422570683</v>
          </cell>
          <cell r="S3002">
            <v>210774352</v>
          </cell>
          <cell r="T3002">
            <v>3996795410</v>
          </cell>
          <cell r="U3002">
            <v>0</v>
          </cell>
          <cell r="V3002">
            <v>1523035531</v>
          </cell>
          <cell r="W3002">
            <v>554749034</v>
          </cell>
          <cell r="X3002">
            <v>1234180577</v>
          </cell>
          <cell r="Y3002">
            <v>164339801</v>
          </cell>
          <cell r="Z3002">
            <v>609410597</v>
          </cell>
          <cell r="AA3002">
            <v>2213941</v>
          </cell>
          <cell r="AB3002">
            <v>3160741911</v>
          </cell>
          <cell r="AC3002">
            <v>2213941</v>
          </cell>
          <cell r="AD3002">
            <v>1068857755</v>
          </cell>
          <cell r="AE3002">
            <v>7626206860</v>
          </cell>
          <cell r="AF3002">
            <v>241531636</v>
          </cell>
          <cell r="AG3002">
            <v>1140655532</v>
          </cell>
          <cell r="AH3002">
            <v>531484200</v>
          </cell>
          <cell r="AI3002">
            <v>286506446</v>
          </cell>
        </row>
        <row r="3003">
          <cell r="A3003">
            <v>405010000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52899364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777111201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16090548</v>
          </cell>
          <cell r="U3003">
            <v>0</v>
          </cell>
          <cell r="V3003">
            <v>0</v>
          </cell>
          <cell r="W3003">
            <v>0</v>
          </cell>
          <cell r="X3003">
            <v>2053747</v>
          </cell>
          <cell r="Y3003">
            <v>0</v>
          </cell>
          <cell r="Z3003">
            <v>0</v>
          </cell>
          <cell r="AA3003">
            <v>0</v>
          </cell>
          <cell r="AB3003">
            <v>3391277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5036403</v>
          </cell>
          <cell r="AI3003">
            <v>27950643</v>
          </cell>
        </row>
        <row r="3004">
          <cell r="A3004">
            <v>405010100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3198120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276024601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145116</v>
          </cell>
          <cell r="U3004">
            <v>0</v>
          </cell>
          <cell r="V3004">
            <v>0</v>
          </cell>
          <cell r="W3004">
            <v>0</v>
          </cell>
          <cell r="X3004">
            <v>27132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58419</v>
          </cell>
          <cell r="AI3004">
            <v>0</v>
          </cell>
        </row>
        <row r="3005">
          <cell r="A3005">
            <v>405010101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3198120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276024601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0</v>
          </cell>
          <cell r="T3005">
            <v>145116</v>
          </cell>
          <cell r="U3005">
            <v>0</v>
          </cell>
          <cell r="V3005">
            <v>0</v>
          </cell>
          <cell r="W3005">
            <v>0</v>
          </cell>
          <cell r="X3005">
            <v>27132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58419</v>
          </cell>
          <cell r="AI3005">
            <v>0</v>
          </cell>
        </row>
        <row r="3006">
          <cell r="A3006">
            <v>405010200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4692065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29021545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0</v>
          </cell>
          <cell r="T3006">
            <v>907123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149017</v>
          </cell>
          <cell r="AI3006">
            <v>0</v>
          </cell>
        </row>
        <row r="3007">
          <cell r="A3007">
            <v>405010201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4692065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29021545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0</v>
          </cell>
          <cell r="T3007">
            <v>907123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149017</v>
          </cell>
          <cell r="AI3007">
            <v>0</v>
          </cell>
        </row>
        <row r="3008">
          <cell r="A3008">
            <v>405010300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752690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60164370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72584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5648</v>
          </cell>
          <cell r="AI3008">
            <v>3409111</v>
          </cell>
        </row>
        <row r="3009">
          <cell r="A3009">
            <v>405010301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752690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60164370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72584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5648</v>
          </cell>
          <cell r="AI3009">
            <v>3409111</v>
          </cell>
        </row>
        <row r="3010">
          <cell r="A3010">
            <v>405010400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29006826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24996147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8397803</v>
          </cell>
          <cell r="U3010">
            <v>0</v>
          </cell>
          <cell r="V3010">
            <v>0</v>
          </cell>
          <cell r="W3010">
            <v>0</v>
          </cell>
          <cell r="X3010">
            <v>1767254</v>
          </cell>
          <cell r="Y3010">
            <v>0</v>
          </cell>
          <cell r="Z3010">
            <v>0</v>
          </cell>
          <cell r="AA3010">
            <v>0</v>
          </cell>
          <cell r="AB3010">
            <v>3391277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4525277</v>
          </cell>
          <cell r="AI3010">
            <v>0</v>
          </cell>
        </row>
        <row r="3011">
          <cell r="A3011">
            <v>405010401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29006826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24996147</v>
          </cell>
          <cell r="O3011">
            <v>0</v>
          </cell>
          <cell r="P3011">
            <v>0</v>
          </cell>
          <cell r="Q3011">
            <v>0</v>
          </cell>
          <cell r="R3011">
            <v>0</v>
          </cell>
          <cell r="S3011">
            <v>0</v>
          </cell>
          <cell r="T3011">
            <v>8397803</v>
          </cell>
          <cell r="U3011">
            <v>0</v>
          </cell>
          <cell r="V3011">
            <v>0</v>
          </cell>
          <cell r="W3011">
            <v>0</v>
          </cell>
          <cell r="X3011">
            <v>1767254</v>
          </cell>
          <cell r="Y3011">
            <v>0</v>
          </cell>
          <cell r="Z3011">
            <v>0</v>
          </cell>
          <cell r="AA3011">
            <v>0</v>
          </cell>
          <cell r="AB3011">
            <v>3391277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4525277</v>
          </cell>
          <cell r="AI3011">
            <v>0</v>
          </cell>
        </row>
        <row r="3012">
          <cell r="A3012">
            <v>405010500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3411812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</row>
        <row r="3013">
          <cell r="A3013">
            <v>405010501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3411812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</row>
        <row r="3014">
          <cell r="A3014">
            <v>405010600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2282273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68977827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37956</v>
          </cell>
          <cell r="U3014">
            <v>0</v>
          </cell>
          <cell r="V3014">
            <v>0</v>
          </cell>
          <cell r="W3014">
            <v>0</v>
          </cell>
          <cell r="X3014">
            <v>254938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18353</v>
          </cell>
          <cell r="AI3014">
            <v>0</v>
          </cell>
        </row>
        <row r="3015">
          <cell r="A3015">
            <v>405010601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2282273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68977827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37956</v>
          </cell>
          <cell r="U3015">
            <v>0</v>
          </cell>
          <cell r="V3015">
            <v>0</v>
          </cell>
          <cell r="W3015">
            <v>0</v>
          </cell>
          <cell r="X3015">
            <v>254938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18353</v>
          </cell>
          <cell r="AI3015">
            <v>0</v>
          </cell>
        </row>
        <row r="3016">
          <cell r="A3016">
            <v>405010700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1899754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37584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</row>
        <row r="3017">
          <cell r="A3017">
            <v>405010701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1899754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37584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</row>
        <row r="3018">
          <cell r="A3018">
            <v>405010800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R3018">
            <v>0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23629233</v>
          </cell>
        </row>
        <row r="3019">
          <cell r="A3019">
            <v>405010801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23629233</v>
          </cell>
        </row>
        <row r="3020">
          <cell r="A3020">
            <v>405010900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33692600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7984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319997</v>
          </cell>
        </row>
        <row r="3021">
          <cell r="A3021">
            <v>405010901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33692600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7984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319997</v>
          </cell>
        </row>
        <row r="3022">
          <cell r="A3022">
            <v>405011000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1938478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81960563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</row>
        <row r="3023">
          <cell r="A3023">
            <v>405011001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1938478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81960563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</row>
        <row r="3024">
          <cell r="A3024">
            <v>405011100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6125037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</row>
        <row r="3025">
          <cell r="A3025">
            <v>405011101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6125037</v>
          </cell>
          <cell r="O3025">
            <v>0</v>
          </cell>
          <cell r="P3025">
            <v>0</v>
          </cell>
          <cell r="Q3025">
            <v>0</v>
          </cell>
          <cell r="R3025">
            <v>0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</row>
        <row r="3026">
          <cell r="A3026">
            <v>405011200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1978368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42247613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17576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</row>
        <row r="3027">
          <cell r="A3027">
            <v>405011201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1978368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42247613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17576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</row>
        <row r="3028">
          <cell r="A3028">
            <v>405011300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3738978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135507879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  <cell r="T3028">
            <v>41800</v>
          </cell>
          <cell r="U3028">
            <v>0</v>
          </cell>
          <cell r="V3028">
            <v>0</v>
          </cell>
          <cell r="W3028">
            <v>0</v>
          </cell>
          <cell r="X3028">
            <v>4423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</row>
        <row r="3029">
          <cell r="A3029">
            <v>405011301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3738978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135507879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41800</v>
          </cell>
          <cell r="U3029">
            <v>0</v>
          </cell>
          <cell r="V3029">
            <v>0</v>
          </cell>
          <cell r="W3029">
            <v>0</v>
          </cell>
          <cell r="X3029">
            <v>4423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</row>
        <row r="3030">
          <cell r="A3030">
            <v>405012000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18355435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6462606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279689</v>
          </cell>
          <cell r="AI3030">
            <v>592302</v>
          </cell>
        </row>
        <row r="3031">
          <cell r="A3031">
            <v>405012001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279689</v>
          </cell>
          <cell r="AI3031">
            <v>0</v>
          </cell>
        </row>
        <row r="3032">
          <cell r="A3032">
            <v>405012002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</row>
        <row r="3033">
          <cell r="A3033">
            <v>405012003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18355435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0</v>
          </cell>
          <cell r="T3033">
            <v>6431946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592302</v>
          </cell>
        </row>
        <row r="3034">
          <cell r="A3034">
            <v>405012004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</row>
        <row r="3035">
          <cell r="A3035">
            <v>405012005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</row>
        <row r="3036">
          <cell r="A3036">
            <v>405012006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</row>
        <row r="3037">
          <cell r="A3037">
            <v>405012007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</row>
        <row r="3038">
          <cell r="A3038">
            <v>405012008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0</v>
          </cell>
          <cell r="T3038">
            <v>30660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</row>
        <row r="3039">
          <cell r="A3039">
            <v>405012009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</row>
        <row r="3040">
          <cell r="A3040">
            <v>405020000</v>
          </cell>
          <cell r="C3040">
            <v>1986165591</v>
          </cell>
          <cell r="D3040">
            <v>414913</v>
          </cell>
          <cell r="E3040">
            <v>69234224</v>
          </cell>
          <cell r="F3040">
            <v>348248707</v>
          </cell>
          <cell r="G3040">
            <v>1078123698</v>
          </cell>
          <cell r="H3040">
            <v>2571605979</v>
          </cell>
          <cell r="I3040">
            <v>229611741</v>
          </cell>
          <cell r="J3040">
            <v>0</v>
          </cell>
          <cell r="K3040">
            <v>0</v>
          </cell>
          <cell r="L3040">
            <v>63634816</v>
          </cell>
          <cell r="M3040">
            <v>103179224</v>
          </cell>
          <cell r="N3040">
            <v>1150395</v>
          </cell>
          <cell r="O3040">
            <v>841067566</v>
          </cell>
          <cell r="P3040">
            <v>0</v>
          </cell>
          <cell r="Q3040">
            <v>227194044</v>
          </cell>
          <cell r="R3040">
            <v>420059920</v>
          </cell>
          <cell r="S3040">
            <v>208560411</v>
          </cell>
          <cell r="T3040">
            <v>3980703868</v>
          </cell>
          <cell r="U3040">
            <v>0</v>
          </cell>
          <cell r="V3040">
            <v>1466691668</v>
          </cell>
          <cell r="W3040">
            <v>552535093</v>
          </cell>
          <cell r="X3040">
            <v>1221976234</v>
          </cell>
          <cell r="Y3040">
            <v>162434314</v>
          </cell>
          <cell r="Z3040">
            <v>577319171</v>
          </cell>
          <cell r="AA3040">
            <v>0</v>
          </cell>
          <cell r="AB3040">
            <v>3155075584</v>
          </cell>
          <cell r="AC3040">
            <v>0</v>
          </cell>
          <cell r="AD3040">
            <v>1015296949</v>
          </cell>
          <cell r="AE3040">
            <v>4216749260</v>
          </cell>
          <cell r="AF3040">
            <v>241530561</v>
          </cell>
          <cell r="AG3040">
            <v>1138441591</v>
          </cell>
          <cell r="AH3040">
            <v>526447797</v>
          </cell>
          <cell r="AI3040">
            <v>258555803</v>
          </cell>
        </row>
        <row r="3041">
          <cell r="A3041">
            <v>405020100</v>
          </cell>
          <cell r="C3041">
            <v>97886960</v>
          </cell>
          <cell r="D3041">
            <v>0</v>
          </cell>
          <cell r="E3041">
            <v>15872103</v>
          </cell>
          <cell r="F3041">
            <v>44202290</v>
          </cell>
          <cell r="G3041">
            <v>33266295</v>
          </cell>
          <cell r="H3041">
            <v>58666132</v>
          </cell>
          <cell r="I3041">
            <v>20298004</v>
          </cell>
          <cell r="J3041">
            <v>0</v>
          </cell>
          <cell r="K3041">
            <v>0</v>
          </cell>
          <cell r="L3041">
            <v>7868104</v>
          </cell>
          <cell r="M3041">
            <v>1208000</v>
          </cell>
          <cell r="N3041">
            <v>149531</v>
          </cell>
          <cell r="O3041">
            <v>108810030</v>
          </cell>
          <cell r="P3041">
            <v>0</v>
          </cell>
          <cell r="Q3041">
            <v>3586604</v>
          </cell>
          <cell r="R3041">
            <v>23786273</v>
          </cell>
          <cell r="S3041">
            <v>4039686</v>
          </cell>
          <cell r="T3041">
            <v>221467506</v>
          </cell>
          <cell r="U3041">
            <v>0</v>
          </cell>
          <cell r="V3041">
            <v>99084114</v>
          </cell>
          <cell r="W3041">
            <v>901704</v>
          </cell>
          <cell r="X3041">
            <v>101277405</v>
          </cell>
          <cell r="Y3041">
            <v>799678</v>
          </cell>
          <cell r="Z3041">
            <v>24696374</v>
          </cell>
          <cell r="AA3041">
            <v>0</v>
          </cell>
          <cell r="AB3041">
            <v>152458674</v>
          </cell>
          <cell r="AC3041">
            <v>0</v>
          </cell>
          <cell r="AD3041">
            <v>93280997</v>
          </cell>
          <cell r="AE3041">
            <v>0</v>
          </cell>
          <cell r="AF3041">
            <v>0</v>
          </cell>
          <cell r="AG3041">
            <v>51497323</v>
          </cell>
          <cell r="AH3041">
            <v>20406844</v>
          </cell>
          <cell r="AI3041">
            <v>864302</v>
          </cell>
        </row>
        <row r="3042">
          <cell r="A3042">
            <v>405020101</v>
          </cell>
          <cell r="C3042">
            <v>97886960</v>
          </cell>
          <cell r="D3042">
            <v>0</v>
          </cell>
          <cell r="E3042">
            <v>15872103</v>
          </cell>
          <cell r="F3042">
            <v>44202290</v>
          </cell>
          <cell r="G3042">
            <v>33266295</v>
          </cell>
          <cell r="H3042">
            <v>58666132</v>
          </cell>
          <cell r="I3042">
            <v>20298004</v>
          </cell>
          <cell r="J3042">
            <v>0</v>
          </cell>
          <cell r="K3042">
            <v>0</v>
          </cell>
          <cell r="L3042">
            <v>7868104</v>
          </cell>
          <cell r="M3042">
            <v>1208000</v>
          </cell>
          <cell r="N3042">
            <v>149531</v>
          </cell>
          <cell r="O3042">
            <v>108810030</v>
          </cell>
          <cell r="P3042">
            <v>0</v>
          </cell>
          <cell r="Q3042">
            <v>3586604</v>
          </cell>
          <cell r="R3042">
            <v>23786273</v>
          </cell>
          <cell r="S3042">
            <v>4039686</v>
          </cell>
          <cell r="T3042">
            <v>221467506</v>
          </cell>
          <cell r="U3042">
            <v>0</v>
          </cell>
          <cell r="V3042">
            <v>99084114</v>
          </cell>
          <cell r="W3042">
            <v>901704</v>
          </cell>
          <cell r="X3042">
            <v>101277405</v>
          </cell>
          <cell r="Y3042">
            <v>799678</v>
          </cell>
          <cell r="Z3042">
            <v>24696374</v>
          </cell>
          <cell r="AA3042">
            <v>0</v>
          </cell>
          <cell r="AB3042">
            <v>152458674</v>
          </cell>
          <cell r="AC3042">
            <v>0</v>
          </cell>
          <cell r="AD3042">
            <v>93280997</v>
          </cell>
          <cell r="AE3042">
            <v>0</v>
          </cell>
          <cell r="AF3042">
            <v>0</v>
          </cell>
          <cell r="AG3042">
            <v>51497323</v>
          </cell>
          <cell r="AH3042">
            <v>20406844</v>
          </cell>
          <cell r="AI3042">
            <v>864302</v>
          </cell>
        </row>
        <row r="3043">
          <cell r="A3043">
            <v>405020200</v>
          </cell>
          <cell r="C3043">
            <v>25851819</v>
          </cell>
          <cell r="D3043">
            <v>0</v>
          </cell>
          <cell r="E3043">
            <v>1121311</v>
          </cell>
          <cell r="F3043">
            <v>2603404</v>
          </cell>
          <cell r="G3043">
            <v>22094150</v>
          </cell>
          <cell r="H3043">
            <v>3053664</v>
          </cell>
          <cell r="I3043">
            <v>3373015</v>
          </cell>
          <cell r="J3043">
            <v>0</v>
          </cell>
          <cell r="K3043">
            <v>0</v>
          </cell>
          <cell r="L3043">
            <v>1385751</v>
          </cell>
          <cell r="M3043">
            <v>3816499</v>
          </cell>
          <cell r="N3043">
            <v>0</v>
          </cell>
          <cell r="O3043">
            <v>9726428</v>
          </cell>
          <cell r="P3043">
            <v>0</v>
          </cell>
          <cell r="Q3043">
            <v>609562</v>
          </cell>
          <cell r="R3043">
            <v>11326838</v>
          </cell>
          <cell r="S3043">
            <v>106994</v>
          </cell>
          <cell r="T3043">
            <v>71136554</v>
          </cell>
          <cell r="U3043">
            <v>0</v>
          </cell>
          <cell r="V3043">
            <v>45549070</v>
          </cell>
          <cell r="W3043">
            <v>64100</v>
          </cell>
          <cell r="X3043">
            <v>19688624</v>
          </cell>
          <cell r="Y3043">
            <v>112725</v>
          </cell>
          <cell r="Z3043">
            <v>1745245</v>
          </cell>
          <cell r="AA3043">
            <v>0</v>
          </cell>
          <cell r="AB3043">
            <v>27075787</v>
          </cell>
          <cell r="AC3043">
            <v>0</v>
          </cell>
          <cell r="AD3043">
            <v>16497891</v>
          </cell>
          <cell r="AE3043">
            <v>0</v>
          </cell>
          <cell r="AF3043">
            <v>272941</v>
          </cell>
          <cell r="AG3043">
            <v>41253504</v>
          </cell>
          <cell r="AH3043">
            <v>3303213</v>
          </cell>
          <cell r="AI3043">
            <v>322971</v>
          </cell>
        </row>
        <row r="3044">
          <cell r="A3044">
            <v>405020201</v>
          </cell>
          <cell r="C3044">
            <v>25851819</v>
          </cell>
          <cell r="D3044">
            <v>0</v>
          </cell>
          <cell r="E3044">
            <v>1121311</v>
          </cell>
          <cell r="F3044">
            <v>2603404</v>
          </cell>
          <cell r="G3044">
            <v>22094150</v>
          </cell>
          <cell r="H3044">
            <v>3053664</v>
          </cell>
          <cell r="I3044">
            <v>3373015</v>
          </cell>
          <cell r="J3044">
            <v>0</v>
          </cell>
          <cell r="K3044">
            <v>0</v>
          </cell>
          <cell r="L3044">
            <v>1385751</v>
          </cell>
          <cell r="M3044">
            <v>3816499</v>
          </cell>
          <cell r="N3044">
            <v>0</v>
          </cell>
          <cell r="O3044">
            <v>9726428</v>
          </cell>
          <cell r="P3044">
            <v>0</v>
          </cell>
          <cell r="Q3044">
            <v>609562</v>
          </cell>
          <cell r="R3044">
            <v>11326838</v>
          </cell>
          <cell r="S3044">
            <v>106994</v>
          </cell>
          <cell r="T3044">
            <v>71136554</v>
          </cell>
          <cell r="U3044">
            <v>0</v>
          </cell>
          <cell r="V3044">
            <v>45549070</v>
          </cell>
          <cell r="W3044">
            <v>64100</v>
          </cell>
          <cell r="X3044">
            <v>19688624</v>
          </cell>
          <cell r="Y3044">
            <v>112725</v>
          </cell>
          <cell r="Z3044">
            <v>1745245</v>
          </cell>
          <cell r="AA3044">
            <v>0</v>
          </cell>
          <cell r="AB3044">
            <v>27075787</v>
          </cell>
          <cell r="AC3044">
            <v>0</v>
          </cell>
          <cell r="AD3044">
            <v>16497891</v>
          </cell>
          <cell r="AE3044">
            <v>0</v>
          </cell>
          <cell r="AF3044">
            <v>272941</v>
          </cell>
          <cell r="AG3044">
            <v>41253504</v>
          </cell>
          <cell r="AH3044">
            <v>3303213</v>
          </cell>
          <cell r="AI3044">
            <v>322971</v>
          </cell>
        </row>
        <row r="3045">
          <cell r="A3045">
            <v>405020300</v>
          </cell>
          <cell r="C3045">
            <v>7682503</v>
          </cell>
          <cell r="D3045">
            <v>0</v>
          </cell>
          <cell r="E3045">
            <v>2659892</v>
          </cell>
          <cell r="F3045">
            <v>874275</v>
          </cell>
          <cell r="G3045">
            <v>2180113</v>
          </cell>
          <cell r="H3045">
            <v>0</v>
          </cell>
          <cell r="I3045">
            <v>133500</v>
          </cell>
          <cell r="J3045">
            <v>0</v>
          </cell>
          <cell r="K3045">
            <v>0</v>
          </cell>
          <cell r="L3045">
            <v>2899293</v>
          </cell>
          <cell r="M3045">
            <v>245088</v>
          </cell>
          <cell r="N3045">
            <v>0</v>
          </cell>
          <cell r="O3045">
            <v>4677367</v>
          </cell>
          <cell r="P3045">
            <v>0</v>
          </cell>
          <cell r="Q3045">
            <v>4002644</v>
          </cell>
          <cell r="R3045">
            <v>10323475</v>
          </cell>
          <cell r="S3045">
            <v>2580991</v>
          </cell>
          <cell r="T3045">
            <v>5723492</v>
          </cell>
          <cell r="U3045">
            <v>0</v>
          </cell>
          <cell r="V3045">
            <v>80752874</v>
          </cell>
          <cell r="W3045">
            <v>29723</v>
          </cell>
          <cell r="X3045">
            <v>11052566</v>
          </cell>
          <cell r="Y3045">
            <v>191643</v>
          </cell>
          <cell r="Z3045">
            <v>2401651</v>
          </cell>
          <cell r="AA3045">
            <v>0</v>
          </cell>
          <cell r="AB3045">
            <v>118004981</v>
          </cell>
          <cell r="AC3045">
            <v>0</v>
          </cell>
          <cell r="AD3045">
            <v>5339791</v>
          </cell>
          <cell r="AE3045">
            <v>0</v>
          </cell>
          <cell r="AF3045">
            <v>0</v>
          </cell>
          <cell r="AG3045">
            <v>3436584</v>
          </cell>
          <cell r="AH3045">
            <v>711316</v>
          </cell>
          <cell r="AI3045">
            <v>3082245</v>
          </cell>
        </row>
        <row r="3046">
          <cell r="A3046">
            <v>405020301</v>
          </cell>
          <cell r="C3046">
            <v>7682503</v>
          </cell>
          <cell r="D3046">
            <v>0</v>
          </cell>
          <cell r="E3046">
            <v>2659892</v>
          </cell>
          <cell r="F3046">
            <v>874275</v>
          </cell>
          <cell r="G3046">
            <v>2180113</v>
          </cell>
          <cell r="H3046">
            <v>0</v>
          </cell>
          <cell r="I3046">
            <v>133500</v>
          </cell>
          <cell r="J3046">
            <v>0</v>
          </cell>
          <cell r="K3046">
            <v>0</v>
          </cell>
          <cell r="L3046">
            <v>2899293</v>
          </cell>
          <cell r="M3046">
            <v>245088</v>
          </cell>
          <cell r="N3046">
            <v>0</v>
          </cell>
          <cell r="O3046">
            <v>4677367</v>
          </cell>
          <cell r="P3046">
            <v>0</v>
          </cell>
          <cell r="Q3046">
            <v>4002644</v>
          </cell>
          <cell r="R3046">
            <v>10323475</v>
          </cell>
          <cell r="S3046">
            <v>2580991</v>
          </cell>
          <cell r="T3046">
            <v>5723492</v>
          </cell>
          <cell r="U3046">
            <v>0</v>
          </cell>
          <cell r="V3046">
            <v>80752874</v>
          </cell>
          <cell r="W3046">
            <v>29723</v>
          </cell>
          <cell r="X3046">
            <v>11052566</v>
          </cell>
          <cell r="Y3046">
            <v>191643</v>
          </cell>
          <cell r="Z3046">
            <v>2401651</v>
          </cell>
          <cell r="AA3046">
            <v>0</v>
          </cell>
          <cell r="AB3046">
            <v>118004981</v>
          </cell>
          <cell r="AC3046">
            <v>0</v>
          </cell>
          <cell r="AD3046">
            <v>5339791</v>
          </cell>
          <cell r="AE3046">
            <v>0</v>
          </cell>
          <cell r="AF3046">
            <v>0</v>
          </cell>
          <cell r="AG3046">
            <v>3436584</v>
          </cell>
          <cell r="AH3046">
            <v>711316</v>
          </cell>
          <cell r="AI3046">
            <v>3082245</v>
          </cell>
        </row>
        <row r="3047">
          <cell r="A3047">
            <v>405020400</v>
          </cell>
          <cell r="C3047">
            <v>1595447601</v>
          </cell>
          <cell r="D3047">
            <v>414913</v>
          </cell>
          <cell r="E3047">
            <v>45663416</v>
          </cell>
          <cell r="F3047">
            <v>274083768</v>
          </cell>
          <cell r="G3047">
            <v>952276983</v>
          </cell>
          <cell r="H3047">
            <v>2162535381</v>
          </cell>
          <cell r="I3047">
            <v>149233909</v>
          </cell>
          <cell r="J3047">
            <v>0</v>
          </cell>
          <cell r="K3047">
            <v>0</v>
          </cell>
          <cell r="L3047">
            <v>48590580</v>
          </cell>
          <cell r="M3047">
            <v>95992290</v>
          </cell>
          <cell r="N3047">
            <v>1000864</v>
          </cell>
          <cell r="O3047">
            <v>623467324</v>
          </cell>
          <cell r="P3047">
            <v>0</v>
          </cell>
          <cell r="Q3047">
            <v>216630652</v>
          </cell>
          <cell r="R3047">
            <v>307692870</v>
          </cell>
          <cell r="S3047">
            <v>173317068</v>
          </cell>
          <cell r="T3047">
            <v>3467786208</v>
          </cell>
          <cell r="U3047">
            <v>0</v>
          </cell>
          <cell r="V3047">
            <v>1094262057</v>
          </cell>
          <cell r="W3047">
            <v>550517081</v>
          </cell>
          <cell r="X3047">
            <v>940054966</v>
          </cell>
          <cell r="Y3047">
            <v>122353837</v>
          </cell>
          <cell r="Z3047">
            <v>531834170</v>
          </cell>
          <cell r="AA3047">
            <v>0</v>
          </cell>
          <cell r="AB3047">
            <v>2678305636</v>
          </cell>
          <cell r="AC3047">
            <v>0</v>
          </cell>
          <cell r="AD3047">
            <v>824480022</v>
          </cell>
          <cell r="AE3047">
            <v>4216749260</v>
          </cell>
          <cell r="AF3047">
            <v>228353958</v>
          </cell>
          <cell r="AG3047">
            <v>998873347</v>
          </cell>
          <cell r="AH3047">
            <v>452169362</v>
          </cell>
          <cell r="AI3047">
            <v>4837468</v>
          </cell>
        </row>
        <row r="3048">
          <cell r="A3048">
            <v>405020401</v>
          </cell>
          <cell r="C3048">
            <v>1595447601</v>
          </cell>
          <cell r="D3048">
            <v>414913</v>
          </cell>
          <cell r="E3048">
            <v>45663416</v>
          </cell>
          <cell r="F3048">
            <v>274083768</v>
          </cell>
          <cell r="G3048">
            <v>952276983</v>
          </cell>
          <cell r="H3048">
            <v>2162535381</v>
          </cell>
          <cell r="I3048">
            <v>149233909</v>
          </cell>
          <cell r="J3048">
            <v>0</v>
          </cell>
          <cell r="K3048">
            <v>0</v>
          </cell>
          <cell r="L3048">
            <v>48590580</v>
          </cell>
          <cell r="M3048">
            <v>95992290</v>
          </cell>
          <cell r="N3048">
            <v>1000864</v>
          </cell>
          <cell r="O3048">
            <v>623467324</v>
          </cell>
          <cell r="P3048">
            <v>0</v>
          </cell>
          <cell r="Q3048">
            <v>216630652</v>
          </cell>
          <cell r="R3048">
            <v>307692870</v>
          </cell>
          <cell r="S3048">
            <v>173317068</v>
          </cell>
          <cell r="T3048">
            <v>3467786208</v>
          </cell>
          <cell r="U3048">
            <v>0</v>
          </cell>
          <cell r="V3048">
            <v>1094262057</v>
          </cell>
          <cell r="W3048">
            <v>550517081</v>
          </cell>
          <cell r="X3048">
            <v>940054966</v>
          </cell>
          <cell r="Y3048">
            <v>122353837</v>
          </cell>
          <cell r="Z3048">
            <v>531834170</v>
          </cell>
          <cell r="AA3048">
            <v>0</v>
          </cell>
          <cell r="AB3048">
            <v>2678305636</v>
          </cell>
          <cell r="AC3048">
            <v>0</v>
          </cell>
          <cell r="AD3048">
            <v>824480022</v>
          </cell>
          <cell r="AE3048">
            <v>4216749260</v>
          </cell>
          <cell r="AF3048">
            <v>228353958</v>
          </cell>
          <cell r="AG3048">
            <v>998873347</v>
          </cell>
          <cell r="AH3048">
            <v>452169362</v>
          </cell>
          <cell r="AI3048">
            <v>4837468</v>
          </cell>
        </row>
        <row r="3049">
          <cell r="A3049">
            <v>405020500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50692207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38316257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</row>
        <row r="3050">
          <cell r="A3050">
            <v>405020501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50692207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38316257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</row>
        <row r="3051">
          <cell r="A3051">
            <v>405020600</v>
          </cell>
          <cell r="C3051">
            <v>14630422</v>
          </cell>
          <cell r="D3051">
            <v>0</v>
          </cell>
          <cell r="E3051">
            <v>2281132</v>
          </cell>
          <cell r="F3051">
            <v>11005703</v>
          </cell>
          <cell r="G3051">
            <v>13966937</v>
          </cell>
          <cell r="H3051">
            <v>5047091</v>
          </cell>
          <cell r="I3051">
            <v>5201553</v>
          </cell>
          <cell r="J3051">
            <v>0</v>
          </cell>
          <cell r="K3051">
            <v>0</v>
          </cell>
          <cell r="L3051">
            <v>1878115</v>
          </cell>
          <cell r="M3051">
            <v>1703540</v>
          </cell>
          <cell r="N3051">
            <v>0</v>
          </cell>
          <cell r="O3051">
            <v>25356857</v>
          </cell>
          <cell r="P3051">
            <v>0</v>
          </cell>
          <cell r="Q3051">
            <v>1335699</v>
          </cell>
          <cell r="R3051">
            <v>23801185</v>
          </cell>
          <cell r="S3051">
            <v>2919750</v>
          </cell>
          <cell r="T3051">
            <v>92442761</v>
          </cell>
          <cell r="U3051">
            <v>0</v>
          </cell>
          <cell r="V3051">
            <v>36846361</v>
          </cell>
          <cell r="W3051">
            <v>145135</v>
          </cell>
          <cell r="X3051">
            <v>95046653</v>
          </cell>
          <cell r="Y3051">
            <v>151602</v>
          </cell>
          <cell r="Z3051">
            <v>9482319</v>
          </cell>
          <cell r="AA3051">
            <v>0</v>
          </cell>
          <cell r="AB3051">
            <v>46090733</v>
          </cell>
          <cell r="AC3051">
            <v>0</v>
          </cell>
          <cell r="AD3051">
            <v>56982828</v>
          </cell>
          <cell r="AE3051">
            <v>0</v>
          </cell>
          <cell r="AF3051">
            <v>0</v>
          </cell>
          <cell r="AG3051">
            <v>28020200</v>
          </cell>
          <cell r="AH3051">
            <v>33109140</v>
          </cell>
          <cell r="AI3051">
            <v>672510</v>
          </cell>
        </row>
        <row r="3052">
          <cell r="A3052">
            <v>405020601</v>
          </cell>
          <cell r="C3052">
            <v>14630422</v>
          </cell>
          <cell r="D3052">
            <v>0</v>
          </cell>
          <cell r="E3052">
            <v>2281132</v>
          </cell>
          <cell r="F3052">
            <v>11005703</v>
          </cell>
          <cell r="G3052">
            <v>13966937</v>
          </cell>
          <cell r="H3052">
            <v>5047091</v>
          </cell>
          <cell r="I3052">
            <v>5201553</v>
          </cell>
          <cell r="J3052">
            <v>0</v>
          </cell>
          <cell r="K3052">
            <v>0</v>
          </cell>
          <cell r="L3052">
            <v>1878115</v>
          </cell>
          <cell r="M3052">
            <v>1703540</v>
          </cell>
          <cell r="N3052">
            <v>0</v>
          </cell>
          <cell r="O3052">
            <v>25356857</v>
          </cell>
          <cell r="P3052">
            <v>0</v>
          </cell>
          <cell r="Q3052">
            <v>1335699</v>
          </cell>
          <cell r="R3052">
            <v>23801185</v>
          </cell>
          <cell r="S3052">
            <v>2919750</v>
          </cell>
          <cell r="T3052">
            <v>92442761</v>
          </cell>
          <cell r="U3052">
            <v>0</v>
          </cell>
          <cell r="V3052">
            <v>36846361</v>
          </cell>
          <cell r="W3052">
            <v>145135</v>
          </cell>
          <cell r="X3052">
            <v>95046653</v>
          </cell>
          <cell r="Y3052">
            <v>151602</v>
          </cell>
          <cell r="Z3052">
            <v>9482319</v>
          </cell>
          <cell r="AA3052">
            <v>0</v>
          </cell>
          <cell r="AB3052">
            <v>46090733</v>
          </cell>
          <cell r="AC3052">
            <v>0</v>
          </cell>
          <cell r="AD3052">
            <v>56982828</v>
          </cell>
          <cell r="AE3052">
            <v>0</v>
          </cell>
          <cell r="AF3052">
            <v>0</v>
          </cell>
          <cell r="AG3052">
            <v>28020200</v>
          </cell>
          <cell r="AH3052">
            <v>33109140</v>
          </cell>
          <cell r="AI3052">
            <v>672510</v>
          </cell>
        </row>
        <row r="3053">
          <cell r="A3053">
            <v>405020700</v>
          </cell>
          <cell r="C3053">
            <v>994419</v>
          </cell>
          <cell r="D3053">
            <v>0</v>
          </cell>
          <cell r="E3053">
            <v>0</v>
          </cell>
          <cell r="F3053">
            <v>542292</v>
          </cell>
          <cell r="G3053">
            <v>460019</v>
          </cell>
          <cell r="H3053">
            <v>198787</v>
          </cell>
          <cell r="I3053">
            <v>101865</v>
          </cell>
          <cell r="J3053">
            <v>0</v>
          </cell>
          <cell r="K3053">
            <v>0</v>
          </cell>
          <cell r="L3053">
            <v>28573</v>
          </cell>
          <cell r="M3053">
            <v>80607</v>
          </cell>
          <cell r="N3053">
            <v>0</v>
          </cell>
          <cell r="O3053">
            <v>506350</v>
          </cell>
          <cell r="P3053">
            <v>0</v>
          </cell>
          <cell r="Q3053">
            <v>157229</v>
          </cell>
          <cell r="R3053">
            <v>731832</v>
          </cell>
          <cell r="S3053">
            <v>117160</v>
          </cell>
          <cell r="T3053">
            <v>1334677</v>
          </cell>
          <cell r="U3053">
            <v>0</v>
          </cell>
          <cell r="V3053">
            <v>845884</v>
          </cell>
          <cell r="W3053">
            <v>3410</v>
          </cell>
          <cell r="X3053">
            <v>4740417</v>
          </cell>
          <cell r="Y3053">
            <v>0</v>
          </cell>
          <cell r="Z3053">
            <v>1184954</v>
          </cell>
          <cell r="AA3053">
            <v>0</v>
          </cell>
          <cell r="AB3053">
            <v>3650396</v>
          </cell>
          <cell r="AC3053">
            <v>0</v>
          </cell>
          <cell r="AD3053">
            <v>1827922</v>
          </cell>
          <cell r="AE3053">
            <v>0</v>
          </cell>
          <cell r="AF3053">
            <v>0</v>
          </cell>
          <cell r="AG3053">
            <v>1389187</v>
          </cell>
          <cell r="AH3053">
            <v>1583717</v>
          </cell>
          <cell r="AI3053">
            <v>0</v>
          </cell>
        </row>
        <row r="3054">
          <cell r="A3054">
            <v>405020701</v>
          </cell>
          <cell r="C3054">
            <v>994419</v>
          </cell>
          <cell r="D3054">
            <v>0</v>
          </cell>
          <cell r="E3054">
            <v>0</v>
          </cell>
          <cell r="F3054">
            <v>542292</v>
          </cell>
          <cell r="G3054">
            <v>460019</v>
          </cell>
          <cell r="H3054">
            <v>198787</v>
          </cell>
          <cell r="I3054">
            <v>101865</v>
          </cell>
          <cell r="J3054">
            <v>0</v>
          </cell>
          <cell r="K3054">
            <v>0</v>
          </cell>
          <cell r="L3054">
            <v>28573</v>
          </cell>
          <cell r="M3054">
            <v>80607</v>
          </cell>
          <cell r="N3054">
            <v>0</v>
          </cell>
          <cell r="O3054">
            <v>506350</v>
          </cell>
          <cell r="P3054">
            <v>0</v>
          </cell>
          <cell r="Q3054">
            <v>157229</v>
          </cell>
          <cell r="R3054">
            <v>731832</v>
          </cell>
          <cell r="S3054">
            <v>117160</v>
          </cell>
          <cell r="T3054">
            <v>1334677</v>
          </cell>
          <cell r="U3054">
            <v>0</v>
          </cell>
          <cell r="V3054">
            <v>845884</v>
          </cell>
          <cell r="W3054">
            <v>3410</v>
          </cell>
          <cell r="X3054">
            <v>4740417</v>
          </cell>
          <cell r="Y3054">
            <v>0</v>
          </cell>
          <cell r="Z3054">
            <v>1184954</v>
          </cell>
          <cell r="AA3054">
            <v>0</v>
          </cell>
          <cell r="AB3054">
            <v>3650396</v>
          </cell>
          <cell r="AC3054">
            <v>0</v>
          </cell>
          <cell r="AD3054">
            <v>1827922</v>
          </cell>
          <cell r="AE3054">
            <v>0</v>
          </cell>
          <cell r="AF3054">
            <v>0</v>
          </cell>
          <cell r="AG3054">
            <v>1389187</v>
          </cell>
          <cell r="AH3054">
            <v>1583717</v>
          </cell>
          <cell r="AI3054">
            <v>0</v>
          </cell>
        </row>
        <row r="3055">
          <cell r="A3055">
            <v>405020800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12895946</v>
          </cell>
          <cell r="AG3055">
            <v>0</v>
          </cell>
          <cell r="AH3055">
            <v>0</v>
          </cell>
          <cell r="AI3055">
            <v>240853628</v>
          </cell>
        </row>
        <row r="3056">
          <cell r="A3056">
            <v>405020801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12895946</v>
          </cell>
          <cell r="AG3056">
            <v>0</v>
          </cell>
          <cell r="AH3056">
            <v>0</v>
          </cell>
          <cell r="AI3056">
            <v>240853628</v>
          </cell>
        </row>
        <row r="3057">
          <cell r="A3057">
            <v>405020900</v>
          </cell>
          <cell r="C3057">
            <v>11054164</v>
          </cell>
          <cell r="D3057">
            <v>0</v>
          </cell>
          <cell r="E3057">
            <v>201152</v>
          </cell>
          <cell r="F3057">
            <v>0</v>
          </cell>
          <cell r="G3057">
            <v>59922</v>
          </cell>
          <cell r="H3057">
            <v>145090944</v>
          </cell>
          <cell r="I3057">
            <v>47757976</v>
          </cell>
          <cell r="J3057">
            <v>0</v>
          </cell>
          <cell r="K3057">
            <v>0</v>
          </cell>
          <cell r="L3057">
            <v>26125</v>
          </cell>
          <cell r="M3057">
            <v>0</v>
          </cell>
          <cell r="N3057">
            <v>0</v>
          </cell>
          <cell r="O3057">
            <v>23542497</v>
          </cell>
          <cell r="P3057">
            <v>0</v>
          </cell>
          <cell r="Q3057">
            <v>90813</v>
          </cell>
          <cell r="R3057">
            <v>67476</v>
          </cell>
          <cell r="S3057">
            <v>159143</v>
          </cell>
          <cell r="T3057">
            <v>12577946</v>
          </cell>
          <cell r="U3057">
            <v>0</v>
          </cell>
          <cell r="V3057">
            <v>41703541</v>
          </cell>
          <cell r="W3057">
            <v>654743</v>
          </cell>
          <cell r="X3057">
            <v>16274696</v>
          </cell>
          <cell r="Y3057">
            <v>0</v>
          </cell>
          <cell r="Z3057">
            <v>2292617</v>
          </cell>
          <cell r="AA3057">
            <v>0</v>
          </cell>
          <cell r="AB3057">
            <v>32477175</v>
          </cell>
          <cell r="AC3057">
            <v>0</v>
          </cell>
          <cell r="AD3057">
            <v>6593035</v>
          </cell>
          <cell r="AE3057">
            <v>0</v>
          </cell>
          <cell r="AF3057">
            <v>5841</v>
          </cell>
          <cell r="AG3057">
            <v>4416443</v>
          </cell>
          <cell r="AH3057">
            <v>11209997</v>
          </cell>
          <cell r="AI3057">
            <v>3568342</v>
          </cell>
        </row>
        <row r="3058">
          <cell r="A3058">
            <v>405020901</v>
          </cell>
          <cell r="C3058">
            <v>11054164</v>
          </cell>
          <cell r="D3058">
            <v>0</v>
          </cell>
          <cell r="E3058">
            <v>201152</v>
          </cell>
          <cell r="F3058">
            <v>0</v>
          </cell>
          <cell r="G3058">
            <v>59922</v>
          </cell>
          <cell r="H3058">
            <v>145090944</v>
          </cell>
          <cell r="I3058">
            <v>47757976</v>
          </cell>
          <cell r="J3058">
            <v>0</v>
          </cell>
          <cell r="K3058">
            <v>0</v>
          </cell>
          <cell r="L3058">
            <v>26125</v>
          </cell>
          <cell r="M3058">
            <v>0</v>
          </cell>
          <cell r="N3058">
            <v>0</v>
          </cell>
          <cell r="O3058">
            <v>23542497</v>
          </cell>
          <cell r="P3058">
            <v>0</v>
          </cell>
          <cell r="Q3058">
            <v>90813</v>
          </cell>
          <cell r="R3058">
            <v>67476</v>
          </cell>
          <cell r="S3058">
            <v>159143</v>
          </cell>
          <cell r="T3058">
            <v>12577946</v>
          </cell>
          <cell r="U3058">
            <v>0</v>
          </cell>
          <cell r="V3058">
            <v>41703541</v>
          </cell>
          <cell r="W3058">
            <v>654743</v>
          </cell>
          <cell r="X3058">
            <v>16274696</v>
          </cell>
          <cell r="Y3058">
            <v>0</v>
          </cell>
          <cell r="Z3058">
            <v>2292617</v>
          </cell>
          <cell r="AA3058">
            <v>0</v>
          </cell>
          <cell r="AB3058">
            <v>32477175</v>
          </cell>
          <cell r="AC3058">
            <v>0</v>
          </cell>
          <cell r="AD3058">
            <v>6593035</v>
          </cell>
          <cell r="AE3058">
            <v>0</v>
          </cell>
          <cell r="AF3058">
            <v>5841</v>
          </cell>
          <cell r="AG3058">
            <v>4416443</v>
          </cell>
          <cell r="AH3058">
            <v>11209997</v>
          </cell>
          <cell r="AI3058">
            <v>3568342</v>
          </cell>
        </row>
        <row r="3059">
          <cell r="A3059">
            <v>405021000</v>
          </cell>
          <cell r="C3059">
            <v>137877605</v>
          </cell>
          <cell r="D3059">
            <v>0</v>
          </cell>
          <cell r="E3059">
            <v>1020552</v>
          </cell>
          <cell r="F3059">
            <v>1330986</v>
          </cell>
          <cell r="G3059">
            <v>2702212</v>
          </cell>
          <cell r="H3059">
            <v>3376531</v>
          </cell>
          <cell r="I3059">
            <v>3270908</v>
          </cell>
          <cell r="J3059">
            <v>0</v>
          </cell>
          <cell r="K3059">
            <v>0</v>
          </cell>
          <cell r="L3059">
            <v>229814</v>
          </cell>
          <cell r="M3059">
            <v>42868</v>
          </cell>
          <cell r="N3059">
            <v>0</v>
          </cell>
          <cell r="O3059">
            <v>8940852</v>
          </cell>
          <cell r="P3059">
            <v>0</v>
          </cell>
          <cell r="Q3059">
            <v>291153</v>
          </cell>
          <cell r="R3059">
            <v>6836934</v>
          </cell>
          <cell r="S3059">
            <v>1914623</v>
          </cell>
          <cell r="T3059">
            <v>15086222</v>
          </cell>
          <cell r="U3059">
            <v>0</v>
          </cell>
          <cell r="V3059">
            <v>30570276</v>
          </cell>
          <cell r="W3059">
            <v>126554</v>
          </cell>
          <cell r="X3059">
            <v>12198931</v>
          </cell>
          <cell r="Y3059">
            <v>508572</v>
          </cell>
          <cell r="Z3059">
            <v>2941860</v>
          </cell>
          <cell r="AA3059">
            <v>0</v>
          </cell>
          <cell r="AB3059">
            <v>23293817</v>
          </cell>
          <cell r="AC3059">
            <v>0</v>
          </cell>
          <cell r="AD3059">
            <v>4253304</v>
          </cell>
          <cell r="AE3059">
            <v>0</v>
          </cell>
          <cell r="AF3059">
            <v>0</v>
          </cell>
          <cell r="AG3059">
            <v>7069582</v>
          </cell>
          <cell r="AH3059">
            <v>1260948</v>
          </cell>
          <cell r="AI3059">
            <v>280356</v>
          </cell>
        </row>
        <row r="3060">
          <cell r="A3060">
            <v>405021001</v>
          </cell>
          <cell r="C3060">
            <v>137877605</v>
          </cell>
          <cell r="D3060">
            <v>0</v>
          </cell>
          <cell r="E3060">
            <v>1020552</v>
          </cell>
          <cell r="F3060">
            <v>1330986</v>
          </cell>
          <cell r="G3060">
            <v>2702212</v>
          </cell>
          <cell r="H3060">
            <v>3376531</v>
          </cell>
          <cell r="I3060">
            <v>3270908</v>
          </cell>
          <cell r="J3060">
            <v>0</v>
          </cell>
          <cell r="K3060">
            <v>0</v>
          </cell>
          <cell r="L3060">
            <v>229814</v>
          </cell>
          <cell r="M3060">
            <v>42868</v>
          </cell>
          <cell r="N3060">
            <v>0</v>
          </cell>
          <cell r="O3060">
            <v>8940852</v>
          </cell>
          <cell r="P3060">
            <v>0</v>
          </cell>
          <cell r="Q3060">
            <v>291153</v>
          </cell>
          <cell r="R3060">
            <v>6836934</v>
          </cell>
          <cell r="S3060">
            <v>1914623</v>
          </cell>
          <cell r="T3060">
            <v>15086222</v>
          </cell>
          <cell r="U3060">
            <v>0</v>
          </cell>
          <cell r="V3060">
            <v>30570276</v>
          </cell>
          <cell r="W3060">
            <v>126554</v>
          </cell>
          <cell r="X3060">
            <v>12198931</v>
          </cell>
          <cell r="Y3060">
            <v>508572</v>
          </cell>
          <cell r="Z3060">
            <v>2941860</v>
          </cell>
          <cell r="AA3060">
            <v>0</v>
          </cell>
          <cell r="AB3060">
            <v>23293817</v>
          </cell>
          <cell r="AC3060">
            <v>0</v>
          </cell>
          <cell r="AD3060">
            <v>4253304</v>
          </cell>
          <cell r="AE3060">
            <v>0</v>
          </cell>
          <cell r="AF3060">
            <v>0</v>
          </cell>
          <cell r="AG3060">
            <v>7069582</v>
          </cell>
          <cell r="AH3060">
            <v>1260948</v>
          </cell>
          <cell r="AI3060">
            <v>280356</v>
          </cell>
        </row>
        <row r="3061">
          <cell r="A3061">
            <v>405021100</v>
          </cell>
          <cell r="C3061">
            <v>4887358</v>
          </cell>
          <cell r="D3061">
            <v>0</v>
          </cell>
          <cell r="E3061">
            <v>0</v>
          </cell>
          <cell r="F3061">
            <v>0</v>
          </cell>
          <cell r="G3061">
            <v>333860</v>
          </cell>
          <cell r="H3061">
            <v>290162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937962</v>
          </cell>
          <cell r="P3061">
            <v>0</v>
          </cell>
          <cell r="Q3061">
            <v>295113</v>
          </cell>
          <cell r="R3061">
            <v>284626</v>
          </cell>
          <cell r="S3061">
            <v>0</v>
          </cell>
          <cell r="T3061">
            <v>10312930</v>
          </cell>
          <cell r="U3061">
            <v>0</v>
          </cell>
          <cell r="V3061">
            <v>470158</v>
          </cell>
          <cell r="W3061">
            <v>0</v>
          </cell>
          <cell r="X3061">
            <v>12177610</v>
          </cell>
          <cell r="Y3061">
            <v>0</v>
          </cell>
          <cell r="Z3061">
            <v>321583</v>
          </cell>
          <cell r="AA3061">
            <v>0</v>
          </cell>
          <cell r="AB3061">
            <v>9438748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188717</v>
          </cell>
          <cell r="AH3061">
            <v>0</v>
          </cell>
          <cell r="AI3061">
            <v>637203</v>
          </cell>
        </row>
        <row r="3062">
          <cell r="A3062">
            <v>405021101</v>
          </cell>
          <cell r="C3062">
            <v>4887358</v>
          </cell>
          <cell r="D3062">
            <v>0</v>
          </cell>
          <cell r="E3062">
            <v>0</v>
          </cell>
          <cell r="F3062">
            <v>0</v>
          </cell>
          <cell r="G3062">
            <v>333860</v>
          </cell>
          <cell r="H3062">
            <v>290162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937962</v>
          </cell>
          <cell r="P3062">
            <v>0</v>
          </cell>
          <cell r="Q3062">
            <v>295113</v>
          </cell>
          <cell r="R3062">
            <v>284626</v>
          </cell>
          <cell r="S3062">
            <v>0</v>
          </cell>
          <cell r="T3062">
            <v>10312930</v>
          </cell>
          <cell r="U3062">
            <v>0</v>
          </cell>
          <cell r="V3062">
            <v>470158</v>
          </cell>
          <cell r="W3062">
            <v>0</v>
          </cell>
          <cell r="X3062">
            <v>12177610</v>
          </cell>
          <cell r="Y3062">
            <v>0</v>
          </cell>
          <cell r="Z3062">
            <v>321583</v>
          </cell>
          <cell r="AA3062">
            <v>0</v>
          </cell>
          <cell r="AB3062">
            <v>9438748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188717</v>
          </cell>
          <cell r="AH3062">
            <v>0</v>
          </cell>
          <cell r="AI3062">
            <v>637203</v>
          </cell>
        </row>
        <row r="3063">
          <cell r="A3063">
            <v>405021200</v>
          </cell>
          <cell r="C3063">
            <v>50539793</v>
          </cell>
          <cell r="D3063">
            <v>0</v>
          </cell>
          <cell r="E3063">
            <v>414666</v>
          </cell>
          <cell r="F3063">
            <v>13541622</v>
          </cell>
          <cell r="G3063">
            <v>91000</v>
          </cell>
          <cell r="H3063">
            <v>1467699</v>
          </cell>
          <cell r="I3063">
            <v>241011</v>
          </cell>
          <cell r="J3063">
            <v>0</v>
          </cell>
          <cell r="K3063">
            <v>0</v>
          </cell>
          <cell r="L3063">
            <v>44638</v>
          </cell>
          <cell r="M3063">
            <v>90332</v>
          </cell>
          <cell r="N3063">
            <v>0</v>
          </cell>
          <cell r="O3063">
            <v>22629420</v>
          </cell>
          <cell r="P3063">
            <v>0</v>
          </cell>
          <cell r="Q3063">
            <v>31698</v>
          </cell>
          <cell r="R3063">
            <v>31973627</v>
          </cell>
          <cell r="S3063">
            <v>1104286</v>
          </cell>
          <cell r="T3063">
            <v>75258345</v>
          </cell>
          <cell r="U3063">
            <v>0</v>
          </cell>
          <cell r="V3063">
            <v>5024049</v>
          </cell>
          <cell r="W3063">
            <v>49065</v>
          </cell>
          <cell r="X3063">
            <v>8036372</v>
          </cell>
          <cell r="Y3063">
            <v>0</v>
          </cell>
          <cell r="Z3063">
            <v>418397</v>
          </cell>
          <cell r="AA3063">
            <v>0</v>
          </cell>
          <cell r="AB3063">
            <v>42350731</v>
          </cell>
          <cell r="AC3063">
            <v>0</v>
          </cell>
          <cell r="AD3063">
            <v>5403881</v>
          </cell>
          <cell r="AE3063">
            <v>0</v>
          </cell>
          <cell r="AF3063">
            <v>0</v>
          </cell>
          <cell r="AG3063">
            <v>923411</v>
          </cell>
          <cell r="AH3063">
            <v>2693260</v>
          </cell>
          <cell r="AI3063">
            <v>1064868</v>
          </cell>
        </row>
        <row r="3064">
          <cell r="A3064">
            <v>405021201</v>
          </cell>
          <cell r="C3064">
            <v>50539793</v>
          </cell>
          <cell r="D3064">
            <v>0</v>
          </cell>
          <cell r="E3064">
            <v>414666</v>
          </cell>
          <cell r="F3064">
            <v>13541622</v>
          </cell>
          <cell r="G3064">
            <v>91000</v>
          </cell>
          <cell r="H3064">
            <v>1467699</v>
          </cell>
          <cell r="I3064">
            <v>241011</v>
          </cell>
          <cell r="J3064">
            <v>0</v>
          </cell>
          <cell r="K3064">
            <v>0</v>
          </cell>
          <cell r="L3064">
            <v>44638</v>
          </cell>
          <cell r="M3064">
            <v>90332</v>
          </cell>
          <cell r="N3064">
            <v>0</v>
          </cell>
          <cell r="O3064">
            <v>22629420</v>
          </cell>
          <cell r="P3064">
            <v>0</v>
          </cell>
          <cell r="Q3064">
            <v>31698</v>
          </cell>
          <cell r="R3064">
            <v>31973627</v>
          </cell>
          <cell r="S3064">
            <v>1104286</v>
          </cell>
          <cell r="T3064">
            <v>75258345</v>
          </cell>
          <cell r="U3064">
            <v>0</v>
          </cell>
          <cell r="V3064">
            <v>5024049</v>
          </cell>
          <cell r="W3064">
            <v>49065</v>
          </cell>
          <cell r="X3064">
            <v>8036372</v>
          </cell>
          <cell r="Y3064">
            <v>0</v>
          </cell>
          <cell r="Z3064">
            <v>418397</v>
          </cell>
          <cell r="AA3064">
            <v>0</v>
          </cell>
          <cell r="AB3064">
            <v>42350731</v>
          </cell>
          <cell r="AC3064">
            <v>0</v>
          </cell>
          <cell r="AD3064">
            <v>5403881</v>
          </cell>
          <cell r="AE3064">
            <v>0</v>
          </cell>
          <cell r="AF3064">
            <v>0</v>
          </cell>
          <cell r="AG3064">
            <v>923411</v>
          </cell>
          <cell r="AH3064">
            <v>2693260</v>
          </cell>
          <cell r="AI3064">
            <v>1064868</v>
          </cell>
        </row>
        <row r="3065">
          <cell r="A3065">
            <v>405021300</v>
          </cell>
          <cell r="C3065">
            <v>39312947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191879588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12472479</v>
          </cell>
          <cell r="P3065">
            <v>0</v>
          </cell>
          <cell r="Q3065">
            <v>162877</v>
          </cell>
          <cell r="R3065">
            <v>2985234</v>
          </cell>
          <cell r="S3065">
            <v>22300710</v>
          </cell>
          <cell r="T3065">
            <v>6668506</v>
          </cell>
          <cell r="U3065">
            <v>0</v>
          </cell>
          <cell r="V3065">
            <v>75708</v>
          </cell>
          <cell r="W3065">
            <v>0</v>
          </cell>
          <cell r="X3065">
            <v>1389952</v>
          </cell>
          <cell r="Y3065">
            <v>0</v>
          </cell>
          <cell r="Z3065">
            <v>1</v>
          </cell>
          <cell r="AA3065">
            <v>0</v>
          </cell>
          <cell r="AB3065">
            <v>3544135</v>
          </cell>
          <cell r="AC3065">
            <v>0</v>
          </cell>
          <cell r="AD3065">
            <v>266289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</row>
        <row r="3066">
          <cell r="A3066">
            <v>405021301</v>
          </cell>
          <cell r="C3066">
            <v>39312947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191879588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12472479</v>
          </cell>
          <cell r="P3066">
            <v>0</v>
          </cell>
          <cell r="Q3066">
            <v>162877</v>
          </cell>
          <cell r="R3066">
            <v>2985234</v>
          </cell>
          <cell r="S3066">
            <v>22300710</v>
          </cell>
          <cell r="T3066">
            <v>6668506</v>
          </cell>
          <cell r="U3066">
            <v>0</v>
          </cell>
          <cell r="V3066">
            <v>75708</v>
          </cell>
          <cell r="W3066">
            <v>0</v>
          </cell>
          <cell r="X3066">
            <v>1389952</v>
          </cell>
          <cell r="Y3066">
            <v>0</v>
          </cell>
          <cell r="Z3066">
            <v>1</v>
          </cell>
          <cell r="AA3066">
            <v>0</v>
          </cell>
          <cell r="AB3066">
            <v>3544135</v>
          </cell>
          <cell r="AC3066">
            <v>0</v>
          </cell>
          <cell r="AD3066">
            <v>266289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</row>
        <row r="3067">
          <cell r="A3067">
            <v>405022000</v>
          </cell>
          <cell r="C3067">
            <v>0</v>
          </cell>
          <cell r="D3067">
            <v>0</v>
          </cell>
          <cell r="E3067">
            <v>0</v>
          </cell>
          <cell r="F3067">
            <v>64367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683823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249550</v>
          </cell>
          <cell r="S3067">
            <v>0</v>
          </cell>
          <cell r="T3067">
            <v>908721</v>
          </cell>
          <cell r="U3067">
            <v>0</v>
          </cell>
          <cell r="V3067">
            <v>31507576</v>
          </cell>
          <cell r="W3067">
            <v>43578</v>
          </cell>
          <cell r="X3067">
            <v>38042</v>
          </cell>
          <cell r="Y3067">
            <v>0</v>
          </cell>
          <cell r="Z3067">
            <v>0</v>
          </cell>
          <cell r="AA3067">
            <v>0</v>
          </cell>
          <cell r="AB3067">
            <v>18384771</v>
          </cell>
          <cell r="AC3067">
            <v>0</v>
          </cell>
          <cell r="AD3067">
            <v>370989</v>
          </cell>
          <cell r="AE3067">
            <v>0</v>
          </cell>
          <cell r="AF3067">
            <v>1875</v>
          </cell>
          <cell r="AG3067">
            <v>1373293</v>
          </cell>
          <cell r="AH3067">
            <v>0</v>
          </cell>
          <cell r="AI3067">
            <v>2371910</v>
          </cell>
        </row>
        <row r="3068">
          <cell r="A3068">
            <v>405022001</v>
          </cell>
          <cell r="C3068">
            <v>0</v>
          </cell>
          <cell r="D3068">
            <v>0</v>
          </cell>
          <cell r="E3068">
            <v>0</v>
          </cell>
          <cell r="F3068">
            <v>3679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882836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</row>
        <row r="3069">
          <cell r="A3069">
            <v>405022002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</row>
        <row r="3070">
          <cell r="A3070">
            <v>405022003</v>
          </cell>
          <cell r="C3070">
            <v>0</v>
          </cell>
          <cell r="D3070">
            <v>0</v>
          </cell>
          <cell r="E3070">
            <v>0</v>
          </cell>
          <cell r="F3070">
            <v>60688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683823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249550</v>
          </cell>
          <cell r="S3070">
            <v>0</v>
          </cell>
          <cell r="T3070">
            <v>0</v>
          </cell>
          <cell r="U3070">
            <v>0</v>
          </cell>
          <cell r="V3070">
            <v>31507576</v>
          </cell>
          <cell r="W3070">
            <v>43578</v>
          </cell>
          <cell r="X3070">
            <v>38042</v>
          </cell>
          <cell r="Y3070">
            <v>0</v>
          </cell>
          <cell r="Z3070">
            <v>0</v>
          </cell>
          <cell r="AA3070">
            <v>0</v>
          </cell>
          <cell r="AB3070">
            <v>18384771</v>
          </cell>
          <cell r="AC3070">
            <v>0</v>
          </cell>
          <cell r="AD3070">
            <v>370989</v>
          </cell>
          <cell r="AE3070">
            <v>0</v>
          </cell>
          <cell r="AF3070">
            <v>1875</v>
          </cell>
          <cell r="AG3070">
            <v>1373293</v>
          </cell>
          <cell r="AH3070">
            <v>0</v>
          </cell>
          <cell r="AI3070">
            <v>2371910</v>
          </cell>
        </row>
        <row r="3071">
          <cell r="A3071">
            <v>405022004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</row>
        <row r="3072">
          <cell r="A3072">
            <v>405022005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25885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</row>
        <row r="3073">
          <cell r="A3073">
            <v>405022006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</row>
        <row r="3074">
          <cell r="A3074">
            <v>405030000</v>
          </cell>
          <cell r="C3074">
            <v>2212866</v>
          </cell>
          <cell r="D3074">
            <v>67496910</v>
          </cell>
          <cell r="E3074">
            <v>1075</v>
          </cell>
          <cell r="F3074">
            <v>43427490</v>
          </cell>
          <cell r="G3074">
            <v>0</v>
          </cell>
          <cell r="H3074">
            <v>2213860</v>
          </cell>
          <cell r="I3074">
            <v>0</v>
          </cell>
          <cell r="J3074">
            <v>2213941</v>
          </cell>
          <cell r="K3074">
            <v>2213941</v>
          </cell>
          <cell r="L3074">
            <v>3755445</v>
          </cell>
          <cell r="M3074">
            <v>21943012</v>
          </cell>
          <cell r="N3074">
            <v>0</v>
          </cell>
          <cell r="O3074">
            <v>7676479</v>
          </cell>
          <cell r="P3074">
            <v>13230561</v>
          </cell>
          <cell r="Q3074">
            <v>1075</v>
          </cell>
          <cell r="R3074">
            <v>2510763</v>
          </cell>
          <cell r="S3074">
            <v>2213941</v>
          </cell>
          <cell r="T3074">
            <v>994</v>
          </cell>
          <cell r="U3074">
            <v>0</v>
          </cell>
          <cell r="V3074">
            <v>56343863</v>
          </cell>
          <cell r="W3074">
            <v>2213941</v>
          </cell>
          <cell r="X3074">
            <v>10150596</v>
          </cell>
          <cell r="Y3074">
            <v>1905487</v>
          </cell>
          <cell r="Z3074">
            <v>32091426</v>
          </cell>
          <cell r="AA3074">
            <v>2213941</v>
          </cell>
          <cell r="AB3074">
            <v>2275050</v>
          </cell>
          <cell r="AC3074">
            <v>2213941</v>
          </cell>
          <cell r="AD3074">
            <v>53560806</v>
          </cell>
          <cell r="AE3074">
            <v>3409457600</v>
          </cell>
          <cell r="AF3074">
            <v>1075</v>
          </cell>
          <cell r="AG3074">
            <v>2213941</v>
          </cell>
          <cell r="AH3074">
            <v>0</v>
          </cell>
          <cell r="AI3074">
            <v>0</v>
          </cell>
        </row>
        <row r="3075">
          <cell r="A3075">
            <v>405030100</v>
          </cell>
          <cell r="C3075">
            <v>0</v>
          </cell>
          <cell r="D3075">
            <v>24140579</v>
          </cell>
          <cell r="E3075">
            <v>0</v>
          </cell>
          <cell r="F3075">
            <v>195362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54864</v>
          </cell>
          <cell r="M3075">
            <v>983350</v>
          </cell>
          <cell r="N3075">
            <v>0</v>
          </cell>
          <cell r="O3075">
            <v>0</v>
          </cell>
          <cell r="P3075">
            <v>243585</v>
          </cell>
          <cell r="Q3075">
            <v>0</v>
          </cell>
          <cell r="R3075">
            <v>23785</v>
          </cell>
          <cell r="S3075">
            <v>0</v>
          </cell>
          <cell r="T3075">
            <v>0</v>
          </cell>
          <cell r="U3075">
            <v>0</v>
          </cell>
          <cell r="V3075">
            <v>2633618</v>
          </cell>
          <cell r="W3075">
            <v>0</v>
          </cell>
          <cell r="X3075">
            <v>784492</v>
          </cell>
          <cell r="Y3075">
            <v>0</v>
          </cell>
          <cell r="Z3075">
            <v>532172</v>
          </cell>
          <cell r="AA3075">
            <v>0</v>
          </cell>
          <cell r="AB3075">
            <v>0</v>
          </cell>
          <cell r="AC3075">
            <v>0</v>
          </cell>
          <cell r="AD3075">
            <v>2132283</v>
          </cell>
          <cell r="AE3075">
            <v>1120012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</row>
        <row r="3076">
          <cell r="A3076">
            <v>405030101</v>
          </cell>
          <cell r="C3076">
            <v>0</v>
          </cell>
          <cell r="D3076">
            <v>24140579</v>
          </cell>
          <cell r="E3076">
            <v>0</v>
          </cell>
          <cell r="F3076">
            <v>195362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54864</v>
          </cell>
          <cell r="M3076">
            <v>983350</v>
          </cell>
          <cell r="N3076">
            <v>0</v>
          </cell>
          <cell r="O3076">
            <v>0</v>
          </cell>
          <cell r="P3076">
            <v>243585</v>
          </cell>
          <cell r="Q3076">
            <v>0</v>
          </cell>
          <cell r="R3076">
            <v>23785</v>
          </cell>
          <cell r="S3076">
            <v>0</v>
          </cell>
          <cell r="T3076">
            <v>0</v>
          </cell>
          <cell r="U3076">
            <v>0</v>
          </cell>
          <cell r="V3076">
            <v>2633618</v>
          </cell>
          <cell r="W3076">
            <v>0</v>
          </cell>
          <cell r="X3076">
            <v>784492</v>
          </cell>
          <cell r="Y3076">
            <v>0</v>
          </cell>
          <cell r="Z3076">
            <v>532172</v>
          </cell>
          <cell r="AA3076">
            <v>0</v>
          </cell>
          <cell r="AB3076">
            <v>0</v>
          </cell>
          <cell r="AC3076">
            <v>0</v>
          </cell>
          <cell r="AD3076">
            <v>2132283</v>
          </cell>
          <cell r="AE3076">
            <v>1120012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</row>
        <row r="3077">
          <cell r="A3077">
            <v>405030200</v>
          </cell>
          <cell r="C3077">
            <v>0</v>
          </cell>
          <cell r="D3077">
            <v>38208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41999</v>
          </cell>
          <cell r="N3077">
            <v>0</v>
          </cell>
          <cell r="O3077">
            <v>0</v>
          </cell>
          <cell r="P3077">
            <v>324045</v>
          </cell>
          <cell r="Q3077">
            <v>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119043</v>
          </cell>
          <cell r="W3077">
            <v>0</v>
          </cell>
          <cell r="X3077">
            <v>0</v>
          </cell>
          <cell r="Y3077">
            <v>0</v>
          </cell>
          <cell r="Z3077">
            <v>410933</v>
          </cell>
          <cell r="AA3077">
            <v>0</v>
          </cell>
          <cell r="AB3077">
            <v>0</v>
          </cell>
          <cell r="AC3077">
            <v>0</v>
          </cell>
          <cell r="AD3077">
            <v>362345</v>
          </cell>
          <cell r="AE3077">
            <v>469492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</row>
        <row r="3078">
          <cell r="A3078">
            <v>405030201</v>
          </cell>
          <cell r="C3078">
            <v>0</v>
          </cell>
          <cell r="D3078">
            <v>38208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41999</v>
          </cell>
          <cell r="N3078">
            <v>0</v>
          </cell>
          <cell r="O3078">
            <v>0</v>
          </cell>
          <cell r="P3078">
            <v>324045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119043</v>
          </cell>
          <cell r="W3078">
            <v>0</v>
          </cell>
          <cell r="X3078">
            <v>0</v>
          </cell>
          <cell r="Y3078">
            <v>0</v>
          </cell>
          <cell r="Z3078">
            <v>410933</v>
          </cell>
          <cell r="AA3078">
            <v>0</v>
          </cell>
          <cell r="AB3078">
            <v>0</v>
          </cell>
          <cell r="AC3078">
            <v>0</v>
          </cell>
          <cell r="AD3078">
            <v>362345</v>
          </cell>
          <cell r="AE3078">
            <v>469492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</row>
        <row r="3079">
          <cell r="A3079">
            <v>405030300</v>
          </cell>
          <cell r="C3079">
            <v>0</v>
          </cell>
          <cell r="D3079">
            <v>296411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112688</v>
          </cell>
          <cell r="M3079">
            <v>172000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18613</v>
          </cell>
          <cell r="S3079">
            <v>0</v>
          </cell>
          <cell r="T3079">
            <v>0</v>
          </cell>
          <cell r="U3079">
            <v>0</v>
          </cell>
          <cell r="V3079">
            <v>249799</v>
          </cell>
          <cell r="W3079">
            <v>0</v>
          </cell>
          <cell r="X3079">
            <v>0</v>
          </cell>
          <cell r="Y3079">
            <v>0</v>
          </cell>
          <cell r="Z3079">
            <v>101819</v>
          </cell>
          <cell r="AA3079">
            <v>0</v>
          </cell>
          <cell r="AB3079">
            <v>0</v>
          </cell>
          <cell r="AC3079">
            <v>0</v>
          </cell>
          <cell r="AD3079">
            <v>212954</v>
          </cell>
          <cell r="AE3079">
            <v>1380840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</row>
        <row r="3080">
          <cell r="A3080">
            <v>405030301</v>
          </cell>
          <cell r="C3080">
            <v>0</v>
          </cell>
          <cell r="D3080">
            <v>296411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112688</v>
          </cell>
          <cell r="M3080">
            <v>172000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18613</v>
          </cell>
          <cell r="S3080">
            <v>0</v>
          </cell>
          <cell r="T3080">
            <v>0</v>
          </cell>
          <cell r="U3080">
            <v>0</v>
          </cell>
          <cell r="V3080">
            <v>249799</v>
          </cell>
          <cell r="W3080">
            <v>0</v>
          </cell>
          <cell r="X3080">
            <v>0</v>
          </cell>
          <cell r="Y3080">
            <v>0</v>
          </cell>
          <cell r="Z3080">
            <v>101819</v>
          </cell>
          <cell r="AA3080">
            <v>0</v>
          </cell>
          <cell r="AB3080">
            <v>0</v>
          </cell>
          <cell r="AC3080">
            <v>0</v>
          </cell>
          <cell r="AD3080">
            <v>212954</v>
          </cell>
          <cell r="AE3080">
            <v>1380840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</row>
        <row r="3081">
          <cell r="A3081">
            <v>405030400</v>
          </cell>
          <cell r="C3081">
            <v>0</v>
          </cell>
          <cell r="D3081">
            <v>37119598</v>
          </cell>
          <cell r="E3081">
            <v>0</v>
          </cell>
          <cell r="F3081">
            <v>3094252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1373952</v>
          </cell>
          <cell r="M3081">
            <v>16012811</v>
          </cell>
          <cell r="N3081">
            <v>0</v>
          </cell>
          <cell r="O3081">
            <v>7495604</v>
          </cell>
          <cell r="P3081">
            <v>10420461</v>
          </cell>
          <cell r="Q3081">
            <v>0</v>
          </cell>
          <cell r="R3081">
            <v>126998</v>
          </cell>
          <cell r="S3081">
            <v>0</v>
          </cell>
          <cell r="T3081">
            <v>0</v>
          </cell>
          <cell r="U3081">
            <v>0</v>
          </cell>
          <cell r="V3081">
            <v>53077437</v>
          </cell>
          <cell r="W3081">
            <v>0</v>
          </cell>
          <cell r="X3081">
            <v>7019749</v>
          </cell>
          <cell r="Y3081">
            <v>1728858</v>
          </cell>
          <cell r="Z3081">
            <v>28742310</v>
          </cell>
          <cell r="AA3081">
            <v>0</v>
          </cell>
          <cell r="AB3081">
            <v>61109</v>
          </cell>
          <cell r="AC3081">
            <v>0</v>
          </cell>
          <cell r="AD3081">
            <v>49673195</v>
          </cell>
          <cell r="AE3081">
            <v>8068841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</row>
        <row r="3082">
          <cell r="A3082">
            <v>405030401</v>
          </cell>
          <cell r="C3082">
            <v>0</v>
          </cell>
          <cell r="D3082">
            <v>37119598</v>
          </cell>
          <cell r="E3082">
            <v>0</v>
          </cell>
          <cell r="F3082">
            <v>3094252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1373952</v>
          </cell>
          <cell r="M3082">
            <v>16012811</v>
          </cell>
          <cell r="N3082">
            <v>0</v>
          </cell>
          <cell r="O3082">
            <v>7495604</v>
          </cell>
          <cell r="P3082">
            <v>10420461</v>
          </cell>
          <cell r="Q3082">
            <v>0</v>
          </cell>
          <cell r="R3082">
            <v>126998</v>
          </cell>
          <cell r="S3082">
            <v>0</v>
          </cell>
          <cell r="T3082">
            <v>0</v>
          </cell>
          <cell r="U3082">
            <v>0</v>
          </cell>
          <cell r="V3082">
            <v>53077437</v>
          </cell>
          <cell r="W3082">
            <v>0</v>
          </cell>
          <cell r="X3082">
            <v>7019749</v>
          </cell>
          <cell r="Y3082">
            <v>1728858</v>
          </cell>
          <cell r="Z3082">
            <v>28742310</v>
          </cell>
          <cell r="AA3082">
            <v>0</v>
          </cell>
          <cell r="AB3082">
            <v>61109</v>
          </cell>
          <cell r="AC3082">
            <v>0</v>
          </cell>
          <cell r="AD3082">
            <v>49673195</v>
          </cell>
          <cell r="AE3082">
            <v>8068841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</row>
        <row r="3083">
          <cell r="A3083">
            <v>405030500</v>
          </cell>
          <cell r="C3083">
            <v>2212866</v>
          </cell>
          <cell r="D3083">
            <v>0</v>
          </cell>
          <cell r="E3083">
            <v>0</v>
          </cell>
          <cell r="F3083">
            <v>39753572</v>
          </cell>
          <cell r="G3083">
            <v>0</v>
          </cell>
          <cell r="H3083">
            <v>2212866</v>
          </cell>
          <cell r="I3083">
            <v>0</v>
          </cell>
          <cell r="J3083">
            <v>2212866</v>
          </cell>
          <cell r="K3083">
            <v>2212866</v>
          </cell>
          <cell r="L3083">
            <v>2212866</v>
          </cell>
          <cell r="M3083">
            <v>2212866</v>
          </cell>
          <cell r="N3083">
            <v>0</v>
          </cell>
          <cell r="O3083">
            <v>0</v>
          </cell>
          <cell r="P3083">
            <v>2212866</v>
          </cell>
          <cell r="Q3083">
            <v>0</v>
          </cell>
          <cell r="R3083">
            <v>2212882</v>
          </cell>
          <cell r="S3083">
            <v>2212866</v>
          </cell>
          <cell r="T3083">
            <v>0</v>
          </cell>
          <cell r="U3083">
            <v>0</v>
          </cell>
          <cell r="V3083">
            <v>0</v>
          </cell>
          <cell r="W3083">
            <v>2212866</v>
          </cell>
          <cell r="X3083">
            <v>2212866</v>
          </cell>
          <cell r="Y3083">
            <v>0</v>
          </cell>
          <cell r="Z3083">
            <v>2212866</v>
          </cell>
          <cell r="AA3083">
            <v>2212866</v>
          </cell>
          <cell r="AB3083">
            <v>2212866</v>
          </cell>
          <cell r="AC3083">
            <v>2212866</v>
          </cell>
          <cell r="AD3083">
            <v>0</v>
          </cell>
          <cell r="AE3083">
            <v>0</v>
          </cell>
          <cell r="AF3083">
            <v>0</v>
          </cell>
          <cell r="AG3083">
            <v>2212866</v>
          </cell>
          <cell r="AH3083">
            <v>0</v>
          </cell>
          <cell r="AI3083">
            <v>0</v>
          </cell>
        </row>
        <row r="3084">
          <cell r="A3084">
            <v>405030501</v>
          </cell>
          <cell r="C3084">
            <v>2212866</v>
          </cell>
          <cell r="D3084">
            <v>0</v>
          </cell>
          <cell r="E3084">
            <v>0</v>
          </cell>
          <cell r="F3084">
            <v>39753572</v>
          </cell>
          <cell r="G3084">
            <v>0</v>
          </cell>
          <cell r="H3084">
            <v>2212866</v>
          </cell>
          <cell r="I3084">
            <v>0</v>
          </cell>
          <cell r="J3084">
            <v>2212866</v>
          </cell>
          <cell r="K3084">
            <v>2212866</v>
          </cell>
          <cell r="L3084">
            <v>2212866</v>
          </cell>
          <cell r="M3084">
            <v>2212866</v>
          </cell>
          <cell r="N3084">
            <v>0</v>
          </cell>
          <cell r="O3084">
            <v>0</v>
          </cell>
          <cell r="P3084">
            <v>2212866</v>
          </cell>
          <cell r="Q3084">
            <v>0</v>
          </cell>
          <cell r="R3084">
            <v>2212882</v>
          </cell>
          <cell r="S3084">
            <v>2212866</v>
          </cell>
          <cell r="T3084">
            <v>0</v>
          </cell>
          <cell r="U3084">
            <v>0</v>
          </cell>
          <cell r="V3084">
            <v>0</v>
          </cell>
          <cell r="W3084">
            <v>2212866</v>
          </cell>
          <cell r="X3084">
            <v>2212866</v>
          </cell>
          <cell r="Y3084">
            <v>0</v>
          </cell>
          <cell r="Z3084">
            <v>2212866</v>
          </cell>
          <cell r="AA3084">
            <v>2212866</v>
          </cell>
          <cell r="AB3084">
            <v>2212866</v>
          </cell>
          <cell r="AC3084">
            <v>2212866</v>
          </cell>
          <cell r="AD3084">
            <v>0</v>
          </cell>
          <cell r="AE3084">
            <v>0</v>
          </cell>
          <cell r="AF3084">
            <v>0</v>
          </cell>
          <cell r="AG3084">
            <v>2212866</v>
          </cell>
          <cell r="AH3084">
            <v>0</v>
          </cell>
          <cell r="AI3084">
            <v>0</v>
          </cell>
        </row>
        <row r="3085">
          <cell r="A3085">
            <v>405030600</v>
          </cell>
          <cell r="C3085">
            <v>0</v>
          </cell>
          <cell r="D3085">
            <v>2159360</v>
          </cell>
          <cell r="E3085">
            <v>0</v>
          </cell>
          <cell r="F3085">
            <v>30000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1089344</v>
          </cell>
          <cell r="N3085">
            <v>0</v>
          </cell>
          <cell r="O3085">
            <v>108799</v>
          </cell>
          <cell r="P3085">
            <v>19000</v>
          </cell>
          <cell r="Q3085">
            <v>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74667</v>
          </cell>
          <cell r="W3085">
            <v>0</v>
          </cell>
          <cell r="X3085">
            <v>5532</v>
          </cell>
          <cell r="Y3085">
            <v>0</v>
          </cell>
          <cell r="Z3085">
            <v>90251</v>
          </cell>
          <cell r="AA3085">
            <v>0</v>
          </cell>
          <cell r="AB3085">
            <v>0</v>
          </cell>
          <cell r="AC3085">
            <v>0</v>
          </cell>
          <cell r="AD3085">
            <v>273362</v>
          </cell>
          <cell r="AE3085">
            <v>1913200852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</row>
        <row r="3086">
          <cell r="A3086">
            <v>405030601</v>
          </cell>
          <cell r="C3086">
            <v>0</v>
          </cell>
          <cell r="D3086">
            <v>2159360</v>
          </cell>
          <cell r="E3086">
            <v>0</v>
          </cell>
          <cell r="F3086">
            <v>30000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1089344</v>
          </cell>
          <cell r="N3086">
            <v>0</v>
          </cell>
          <cell r="O3086">
            <v>108799</v>
          </cell>
          <cell r="P3086">
            <v>19000</v>
          </cell>
          <cell r="Q3086">
            <v>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74667</v>
          </cell>
          <cell r="W3086">
            <v>0</v>
          </cell>
          <cell r="X3086">
            <v>5532</v>
          </cell>
          <cell r="Y3086">
            <v>0</v>
          </cell>
          <cell r="Z3086">
            <v>90251</v>
          </cell>
          <cell r="AA3086">
            <v>0</v>
          </cell>
          <cell r="AB3086">
            <v>0</v>
          </cell>
          <cell r="AC3086">
            <v>0</v>
          </cell>
          <cell r="AD3086">
            <v>273362</v>
          </cell>
          <cell r="AE3086">
            <v>1913200852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</row>
        <row r="3087">
          <cell r="A3087">
            <v>405030700</v>
          </cell>
          <cell r="C3087">
            <v>0</v>
          </cell>
          <cell r="D3087">
            <v>327868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25105</v>
          </cell>
          <cell r="W3087">
            <v>0</v>
          </cell>
          <cell r="X3087">
            <v>5071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17655</v>
          </cell>
          <cell r="AE3087">
            <v>32637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</row>
        <row r="3088">
          <cell r="A3088">
            <v>405030701</v>
          </cell>
          <cell r="C3088">
            <v>0</v>
          </cell>
          <cell r="D3088">
            <v>327868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25105</v>
          </cell>
          <cell r="W3088">
            <v>0</v>
          </cell>
          <cell r="X3088">
            <v>5071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17655</v>
          </cell>
          <cell r="AE3088">
            <v>32637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</row>
        <row r="3089">
          <cell r="A3089">
            <v>405030800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</row>
        <row r="3090">
          <cell r="A3090">
            <v>405030801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</row>
        <row r="3091">
          <cell r="A3091">
            <v>405030900</v>
          </cell>
          <cell r="C3091">
            <v>0</v>
          </cell>
          <cell r="D3091">
            <v>21172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2562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43471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</row>
        <row r="3092">
          <cell r="A3092">
            <v>405030901</v>
          </cell>
          <cell r="C3092">
            <v>0</v>
          </cell>
          <cell r="D3092">
            <v>21172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2562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43471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</row>
        <row r="3093">
          <cell r="A3093">
            <v>405031000</v>
          </cell>
          <cell r="C3093">
            <v>0</v>
          </cell>
          <cell r="D3093">
            <v>1269210</v>
          </cell>
          <cell r="E3093">
            <v>1075</v>
          </cell>
          <cell r="F3093">
            <v>1075</v>
          </cell>
          <cell r="G3093">
            <v>0</v>
          </cell>
          <cell r="H3093">
            <v>994</v>
          </cell>
          <cell r="I3093">
            <v>0</v>
          </cell>
          <cell r="J3093">
            <v>1075</v>
          </cell>
          <cell r="K3093">
            <v>1075</v>
          </cell>
          <cell r="L3093">
            <v>1075</v>
          </cell>
          <cell r="M3093">
            <v>1075</v>
          </cell>
          <cell r="N3093">
            <v>0</v>
          </cell>
          <cell r="O3093">
            <v>1075</v>
          </cell>
          <cell r="P3093">
            <v>1104</v>
          </cell>
          <cell r="Q3093">
            <v>1075</v>
          </cell>
          <cell r="R3093">
            <v>1075</v>
          </cell>
          <cell r="S3093">
            <v>1075</v>
          </cell>
          <cell r="T3093">
            <v>994</v>
          </cell>
          <cell r="U3093">
            <v>0</v>
          </cell>
          <cell r="V3093">
            <v>132381</v>
          </cell>
          <cell r="W3093">
            <v>1075</v>
          </cell>
          <cell r="X3093">
            <v>1075</v>
          </cell>
          <cell r="Y3093">
            <v>1075</v>
          </cell>
          <cell r="Z3093">
            <v>1075</v>
          </cell>
          <cell r="AA3093">
            <v>1075</v>
          </cell>
          <cell r="AB3093">
            <v>1075</v>
          </cell>
          <cell r="AC3093">
            <v>1075</v>
          </cell>
          <cell r="AD3093">
            <v>116991</v>
          </cell>
          <cell r="AE3093">
            <v>45066</v>
          </cell>
          <cell r="AF3093">
            <v>1075</v>
          </cell>
          <cell r="AG3093">
            <v>1075</v>
          </cell>
          <cell r="AH3093">
            <v>0</v>
          </cell>
          <cell r="AI3093">
            <v>0</v>
          </cell>
        </row>
        <row r="3094">
          <cell r="A3094">
            <v>405031001</v>
          </cell>
          <cell r="C3094">
            <v>0</v>
          </cell>
          <cell r="D3094">
            <v>1269210</v>
          </cell>
          <cell r="E3094">
            <v>1075</v>
          </cell>
          <cell r="F3094">
            <v>1075</v>
          </cell>
          <cell r="G3094">
            <v>0</v>
          </cell>
          <cell r="H3094">
            <v>994</v>
          </cell>
          <cell r="I3094">
            <v>0</v>
          </cell>
          <cell r="J3094">
            <v>1075</v>
          </cell>
          <cell r="K3094">
            <v>1075</v>
          </cell>
          <cell r="L3094">
            <v>1075</v>
          </cell>
          <cell r="M3094">
            <v>1075</v>
          </cell>
          <cell r="N3094">
            <v>0</v>
          </cell>
          <cell r="O3094">
            <v>1075</v>
          </cell>
          <cell r="P3094">
            <v>1104</v>
          </cell>
          <cell r="Q3094">
            <v>1075</v>
          </cell>
          <cell r="R3094">
            <v>1075</v>
          </cell>
          <cell r="S3094">
            <v>1075</v>
          </cell>
          <cell r="T3094">
            <v>994</v>
          </cell>
          <cell r="U3094">
            <v>0</v>
          </cell>
          <cell r="V3094">
            <v>132381</v>
          </cell>
          <cell r="W3094">
            <v>1075</v>
          </cell>
          <cell r="X3094">
            <v>1075</v>
          </cell>
          <cell r="Y3094">
            <v>1075</v>
          </cell>
          <cell r="Z3094">
            <v>1075</v>
          </cell>
          <cell r="AA3094">
            <v>1075</v>
          </cell>
          <cell r="AB3094">
            <v>1075</v>
          </cell>
          <cell r="AC3094">
            <v>1075</v>
          </cell>
          <cell r="AD3094">
            <v>116991</v>
          </cell>
          <cell r="AE3094">
            <v>45066</v>
          </cell>
          <cell r="AF3094">
            <v>1075</v>
          </cell>
          <cell r="AG3094">
            <v>1075</v>
          </cell>
          <cell r="AH3094">
            <v>0</v>
          </cell>
          <cell r="AI3094">
            <v>0</v>
          </cell>
        </row>
        <row r="3095">
          <cell r="A3095">
            <v>405031100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</row>
        <row r="3096">
          <cell r="A3096">
            <v>405031101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</row>
        <row r="3097">
          <cell r="A3097">
            <v>405031200</v>
          </cell>
          <cell r="C3097">
            <v>0</v>
          </cell>
          <cell r="D3097">
            <v>2124504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81967</v>
          </cell>
          <cell r="N3097">
            <v>0</v>
          </cell>
          <cell r="O3097">
            <v>0</v>
          </cell>
          <cell r="P3097">
            <v>9500</v>
          </cell>
          <cell r="Q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169800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252226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</row>
        <row r="3098">
          <cell r="A3098">
            <v>405031201</v>
          </cell>
          <cell r="C3098">
            <v>0</v>
          </cell>
          <cell r="D3098">
            <v>2124504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81967</v>
          </cell>
          <cell r="N3098">
            <v>0</v>
          </cell>
          <cell r="O3098">
            <v>0</v>
          </cell>
          <cell r="P3098">
            <v>9500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169800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252226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</row>
        <row r="3099">
          <cell r="A3099">
            <v>405031300</v>
          </cell>
          <cell r="C3099">
            <v>0</v>
          </cell>
          <cell r="D3099">
            <v>0</v>
          </cell>
          <cell r="E3099">
            <v>0</v>
          </cell>
          <cell r="F3099">
            <v>353229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1347600</v>
          </cell>
          <cell r="N3099">
            <v>0</v>
          </cell>
          <cell r="O3099">
            <v>71001</v>
          </cell>
          <cell r="P3099">
            <v>0</v>
          </cell>
          <cell r="Q3099">
            <v>0</v>
          </cell>
          <cell r="R3099">
            <v>127410</v>
          </cell>
          <cell r="S3099">
            <v>0</v>
          </cell>
          <cell r="T3099">
            <v>0</v>
          </cell>
          <cell r="U3099">
            <v>0</v>
          </cell>
          <cell r="V3099">
            <v>11677</v>
          </cell>
          <cell r="W3099">
            <v>0</v>
          </cell>
          <cell r="X3099">
            <v>110466</v>
          </cell>
          <cell r="Y3099">
            <v>5754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467408</v>
          </cell>
          <cell r="AE3099">
            <v>37879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</row>
        <row r="3100">
          <cell r="A3100">
            <v>405031301</v>
          </cell>
          <cell r="C3100">
            <v>0</v>
          </cell>
          <cell r="D3100">
            <v>0</v>
          </cell>
          <cell r="E3100">
            <v>0</v>
          </cell>
          <cell r="F3100">
            <v>353229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1347600</v>
          </cell>
          <cell r="N3100">
            <v>0</v>
          </cell>
          <cell r="O3100">
            <v>71001</v>
          </cell>
          <cell r="P3100">
            <v>0</v>
          </cell>
          <cell r="Q3100">
            <v>0</v>
          </cell>
          <cell r="R3100">
            <v>127410</v>
          </cell>
          <cell r="S3100">
            <v>0</v>
          </cell>
          <cell r="T3100">
            <v>0</v>
          </cell>
          <cell r="U3100">
            <v>0</v>
          </cell>
          <cell r="V3100">
            <v>11677</v>
          </cell>
          <cell r="W3100">
            <v>0</v>
          </cell>
          <cell r="X3100">
            <v>110466</v>
          </cell>
          <cell r="Y3100">
            <v>5754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467408</v>
          </cell>
          <cell r="AE3100">
            <v>37879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</row>
        <row r="3101">
          <cell r="A3101">
            <v>405032000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17574</v>
          </cell>
          <cell r="W3101">
            <v>0</v>
          </cell>
          <cell r="X3101">
            <v>11345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8916</v>
          </cell>
          <cell r="AE3101">
            <v>1485101981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</row>
        <row r="3102">
          <cell r="A3102">
            <v>405032001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</row>
        <row r="3103">
          <cell r="A3103">
            <v>405032002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</row>
        <row r="3104">
          <cell r="A3104">
            <v>405032003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17574</v>
          </cell>
          <cell r="W3104">
            <v>0</v>
          </cell>
          <cell r="X3104">
            <v>11345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8916</v>
          </cell>
          <cell r="AE3104">
            <v>1485101981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</row>
        <row r="3105">
          <cell r="A3105">
            <v>405032004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</row>
        <row r="3106">
          <cell r="A3106">
            <v>405032005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</row>
        <row r="3107">
          <cell r="A3107">
            <v>405032006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</row>
        <row r="3108">
          <cell r="A3108">
            <v>406000000</v>
          </cell>
          <cell r="C3108">
            <v>1609588580</v>
          </cell>
          <cell r="D3108">
            <v>2460849211</v>
          </cell>
          <cell r="E3108">
            <v>2186929025</v>
          </cell>
          <cell r="F3108">
            <v>533124420</v>
          </cell>
          <cell r="G3108">
            <v>1683140104</v>
          </cell>
          <cell r="H3108">
            <v>2874877311</v>
          </cell>
          <cell r="I3108">
            <v>2117594313</v>
          </cell>
          <cell r="J3108">
            <v>744780188</v>
          </cell>
          <cell r="K3108">
            <v>311585259</v>
          </cell>
          <cell r="L3108">
            <v>231092798</v>
          </cell>
          <cell r="M3108">
            <v>613577131</v>
          </cell>
          <cell r="N3108">
            <v>8693681961</v>
          </cell>
          <cell r="O3108">
            <v>523743728</v>
          </cell>
          <cell r="P3108">
            <v>964042490</v>
          </cell>
          <cell r="Q3108">
            <v>2338872571</v>
          </cell>
          <cell r="R3108">
            <v>1519302450</v>
          </cell>
          <cell r="S3108">
            <v>1011116686</v>
          </cell>
          <cell r="T3108">
            <v>2133366386</v>
          </cell>
          <cell r="U3108">
            <v>84011180</v>
          </cell>
          <cell r="V3108">
            <v>2480031253</v>
          </cell>
          <cell r="W3108">
            <v>1018725541</v>
          </cell>
          <cell r="X3108">
            <v>1468938379</v>
          </cell>
          <cell r="Y3108">
            <v>550386746</v>
          </cell>
          <cell r="Z3108">
            <v>1324675235</v>
          </cell>
          <cell r="AA3108">
            <v>274654917</v>
          </cell>
          <cell r="AB3108">
            <v>2410701238</v>
          </cell>
          <cell r="AC3108">
            <v>644312190</v>
          </cell>
          <cell r="AD3108">
            <v>1228487341</v>
          </cell>
          <cell r="AE3108">
            <v>5921545916</v>
          </cell>
          <cell r="AF3108">
            <v>1304397534</v>
          </cell>
          <cell r="AG3108">
            <v>1004908985</v>
          </cell>
          <cell r="AH3108">
            <v>2905429625</v>
          </cell>
          <cell r="AI3108">
            <v>2127181113</v>
          </cell>
        </row>
        <row r="3109">
          <cell r="A3109">
            <v>406010000</v>
          </cell>
          <cell r="C3109">
            <v>1609588580</v>
          </cell>
          <cell r="D3109">
            <v>2460849211</v>
          </cell>
          <cell r="E3109">
            <v>2186929025</v>
          </cell>
          <cell r="F3109">
            <v>533124420</v>
          </cell>
          <cell r="G3109">
            <v>1683140104</v>
          </cell>
          <cell r="H3109">
            <v>2874877311</v>
          </cell>
          <cell r="I3109">
            <v>2117594313</v>
          </cell>
          <cell r="J3109">
            <v>744780188</v>
          </cell>
          <cell r="K3109">
            <v>311585259</v>
          </cell>
          <cell r="L3109">
            <v>231092798</v>
          </cell>
          <cell r="M3109">
            <v>613577131</v>
          </cell>
          <cell r="N3109">
            <v>8693681961</v>
          </cell>
          <cell r="O3109">
            <v>523743728</v>
          </cell>
          <cell r="P3109">
            <v>964042490</v>
          </cell>
          <cell r="Q3109">
            <v>2338872571</v>
          </cell>
          <cell r="R3109">
            <v>1519302450</v>
          </cell>
          <cell r="S3109">
            <v>1011116686</v>
          </cell>
          <cell r="T3109">
            <v>2133366386</v>
          </cell>
          <cell r="U3109">
            <v>84011180</v>
          </cell>
          <cell r="V3109">
            <v>2480031253</v>
          </cell>
          <cell r="W3109">
            <v>1018725541</v>
          </cell>
          <cell r="X3109">
            <v>1468938379</v>
          </cell>
          <cell r="Y3109">
            <v>550386746</v>
          </cell>
          <cell r="Z3109">
            <v>1324675235</v>
          </cell>
          <cell r="AA3109">
            <v>274654917</v>
          </cell>
          <cell r="AB3109">
            <v>2410701238</v>
          </cell>
          <cell r="AC3109">
            <v>644312190</v>
          </cell>
          <cell r="AD3109">
            <v>1228487341</v>
          </cell>
          <cell r="AE3109">
            <v>5921545916</v>
          </cell>
          <cell r="AF3109">
            <v>1304397534</v>
          </cell>
          <cell r="AG3109">
            <v>1004908985</v>
          </cell>
          <cell r="AH3109">
            <v>2905429625</v>
          </cell>
          <cell r="AI3109">
            <v>2127181113</v>
          </cell>
        </row>
        <row r="3110">
          <cell r="A3110">
            <v>406010100</v>
          </cell>
          <cell r="C3110">
            <v>87525044</v>
          </cell>
          <cell r="D3110">
            <v>644043563</v>
          </cell>
          <cell r="E3110">
            <v>653279238</v>
          </cell>
          <cell r="F3110">
            <v>75406289</v>
          </cell>
          <cell r="G3110">
            <v>334561317</v>
          </cell>
          <cell r="H3110">
            <v>607825401</v>
          </cell>
          <cell r="I3110">
            <v>911268456</v>
          </cell>
          <cell r="J3110">
            <v>15020000</v>
          </cell>
          <cell r="K3110">
            <v>9266313</v>
          </cell>
          <cell r="L3110">
            <v>15035577</v>
          </cell>
          <cell r="M3110">
            <v>2020000</v>
          </cell>
          <cell r="N3110">
            <v>1010165218</v>
          </cell>
          <cell r="O3110">
            <v>75057409</v>
          </cell>
          <cell r="P3110">
            <v>156860121</v>
          </cell>
          <cell r="Q3110">
            <v>1029649500</v>
          </cell>
          <cell r="R3110">
            <v>180460627</v>
          </cell>
          <cell r="S3110">
            <v>1100000</v>
          </cell>
          <cell r="T3110">
            <v>276158727</v>
          </cell>
          <cell r="U3110">
            <v>0</v>
          </cell>
          <cell r="V3110">
            <v>335495611</v>
          </cell>
          <cell r="W3110">
            <v>16652173</v>
          </cell>
          <cell r="X3110">
            <v>99146203</v>
          </cell>
          <cell r="Y3110">
            <v>30561550</v>
          </cell>
          <cell r="Z3110">
            <v>191682033</v>
          </cell>
          <cell r="AA3110">
            <v>59434000</v>
          </cell>
          <cell r="AB3110">
            <v>187910873</v>
          </cell>
          <cell r="AC3110">
            <v>218900000</v>
          </cell>
          <cell r="AD3110">
            <v>40142540</v>
          </cell>
          <cell r="AE3110">
            <v>1233291152</v>
          </cell>
          <cell r="AF3110">
            <v>130953437</v>
          </cell>
          <cell r="AG3110">
            <v>83164522</v>
          </cell>
          <cell r="AH3110">
            <v>66051978</v>
          </cell>
          <cell r="AI3110">
            <v>0</v>
          </cell>
        </row>
        <row r="3111">
          <cell r="A3111">
            <v>406010101</v>
          </cell>
          <cell r="C3111">
            <v>0</v>
          </cell>
          <cell r="D3111">
            <v>0</v>
          </cell>
          <cell r="E3111">
            <v>42493789</v>
          </cell>
          <cell r="F3111">
            <v>3026830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188576</v>
          </cell>
          <cell r="P3111">
            <v>3383438</v>
          </cell>
          <cell r="Q3111">
            <v>1029649500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50369</v>
          </cell>
          <cell r="Z3111">
            <v>0</v>
          </cell>
          <cell r="AA3111">
            <v>0</v>
          </cell>
          <cell r="AB3111">
            <v>573513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</row>
        <row r="3112">
          <cell r="A3112">
            <v>406010102</v>
          </cell>
          <cell r="C3112">
            <v>87525044</v>
          </cell>
          <cell r="D3112">
            <v>644043563</v>
          </cell>
          <cell r="E3112">
            <v>610785449</v>
          </cell>
          <cell r="F3112">
            <v>72379459</v>
          </cell>
          <cell r="G3112">
            <v>334561317</v>
          </cell>
          <cell r="H3112">
            <v>607825401</v>
          </cell>
          <cell r="I3112">
            <v>911268456</v>
          </cell>
          <cell r="J3112">
            <v>15020000</v>
          </cell>
          <cell r="K3112">
            <v>9266313</v>
          </cell>
          <cell r="L3112">
            <v>15035577</v>
          </cell>
          <cell r="M3112">
            <v>2020000</v>
          </cell>
          <cell r="N3112">
            <v>1010165218</v>
          </cell>
          <cell r="O3112">
            <v>74868833</v>
          </cell>
          <cell r="P3112">
            <v>153476683</v>
          </cell>
          <cell r="Q3112">
            <v>0</v>
          </cell>
          <cell r="R3112">
            <v>180460627</v>
          </cell>
          <cell r="S3112">
            <v>1100000</v>
          </cell>
          <cell r="T3112">
            <v>276158727</v>
          </cell>
          <cell r="U3112">
            <v>0</v>
          </cell>
          <cell r="V3112">
            <v>335495611</v>
          </cell>
          <cell r="W3112">
            <v>16652173</v>
          </cell>
          <cell r="X3112">
            <v>99146203</v>
          </cell>
          <cell r="Y3112">
            <v>30511181</v>
          </cell>
          <cell r="Z3112">
            <v>191682033</v>
          </cell>
          <cell r="AA3112">
            <v>59434000</v>
          </cell>
          <cell r="AB3112">
            <v>187337360</v>
          </cell>
          <cell r="AC3112">
            <v>218900000</v>
          </cell>
          <cell r="AD3112">
            <v>40142540</v>
          </cell>
          <cell r="AE3112">
            <v>1233291152</v>
          </cell>
          <cell r="AF3112">
            <v>130953437</v>
          </cell>
          <cell r="AG3112">
            <v>83164522</v>
          </cell>
          <cell r="AH3112">
            <v>66051978</v>
          </cell>
          <cell r="AI3112">
            <v>0</v>
          </cell>
        </row>
        <row r="3113">
          <cell r="A3113">
            <v>406010103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</row>
        <row r="3114">
          <cell r="A3114">
            <v>406010104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</row>
        <row r="3115">
          <cell r="A3115">
            <v>406010200</v>
          </cell>
          <cell r="C3115">
            <v>39139156</v>
          </cell>
          <cell r="D3115">
            <v>156481533</v>
          </cell>
          <cell r="E3115">
            <v>229326000</v>
          </cell>
          <cell r="F3115">
            <v>10370671</v>
          </cell>
          <cell r="G3115">
            <v>10625000</v>
          </cell>
          <cell r="H3115">
            <v>122824361</v>
          </cell>
          <cell r="I3115">
            <v>2900000</v>
          </cell>
          <cell r="J3115">
            <v>268158626</v>
          </cell>
          <cell r="K3115">
            <v>0</v>
          </cell>
          <cell r="L3115">
            <v>0</v>
          </cell>
          <cell r="M3115">
            <v>4621920</v>
          </cell>
          <cell r="N3115">
            <v>243049029</v>
          </cell>
          <cell r="O3115">
            <v>7009880</v>
          </cell>
          <cell r="P3115">
            <v>203300624</v>
          </cell>
          <cell r="Q3115">
            <v>253498733</v>
          </cell>
          <cell r="R3115">
            <v>55686000</v>
          </cell>
          <cell r="S3115">
            <v>0</v>
          </cell>
          <cell r="T3115">
            <v>28517846</v>
          </cell>
          <cell r="U3115">
            <v>0</v>
          </cell>
          <cell r="V3115">
            <v>82144962</v>
          </cell>
          <cell r="W3115">
            <v>382479</v>
          </cell>
          <cell r="X3115">
            <v>138156145</v>
          </cell>
          <cell r="Y3115">
            <v>16310604</v>
          </cell>
          <cell r="Z3115">
            <v>19907390</v>
          </cell>
          <cell r="AA3115">
            <v>950000</v>
          </cell>
          <cell r="AB3115">
            <v>210438258</v>
          </cell>
          <cell r="AC3115">
            <v>1700000</v>
          </cell>
          <cell r="AD3115">
            <v>20005000</v>
          </cell>
          <cell r="AE3115">
            <v>720872389</v>
          </cell>
          <cell r="AF3115">
            <v>7150000</v>
          </cell>
          <cell r="AG3115">
            <v>184213151</v>
          </cell>
          <cell r="AH3115">
            <v>1368181</v>
          </cell>
          <cell r="AI3115">
            <v>0</v>
          </cell>
        </row>
        <row r="3116">
          <cell r="A3116">
            <v>406010201</v>
          </cell>
          <cell r="C3116">
            <v>10883196</v>
          </cell>
          <cell r="D3116">
            <v>0</v>
          </cell>
          <cell r="E3116">
            <v>0</v>
          </cell>
          <cell r="F3116">
            <v>527534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110717</v>
          </cell>
          <cell r="P3116">
            <v>2904854</v>
          </cell>
          <cell r="Q3116">
            <v>253498733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330604</v>
          </cell>
          <cell r="Z3116">
            <v>0</v>
          </cell>
          <cell r="AA3116">
            <v>0</v>
          </cell>
          <cell r="AB3116">
            <v>5386160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</row>
        <row r="3117">
          <cell r="A3117">
            <v>406010202</v>
          </cell>
          <cell r="C3117">
            <v>28255960</v>
          </cell>
          <cell r="D3117">
            <v>156481533</v>
          </cell>
          <cell r="E3117">
            <v>229326000</v>
          </cell>
          <cell r="F3117">
            <v>9843137</v>
          </cell>
          <cell r="G3117">
            <v>10625000</v>
          </cell>
          <cell r="H3117">
            <v>122824361</v>
          </cell>
          <cell r="I3117">
            <v>2900000</v>
          </cell>
          <cell r="J3117">
            <v>268158626</v>
          </cell>
          <cell r="K3117">
            <v>0</v>
          </cell>
          <cell r="L3117">
            <v>0</v>
          </cell>
          <cell r="M3117">
            <v>4621920</v>
          </cell>
          <cell r="N3117">
            <v>243049029</v>
          </cell>
          <cell r="O3117">
            <v>6899163</v>
          </cell>
          <cell r="P3117">
            <v>200395770</v>
          </cell>
          <cell r="Q3117">
            <v>0</v>
          </cell>
          <cell r="R3117">
            <v>55686000</v>
          </cell>
          <cell r="S3117">
            <v>0</v>
          </cell>
          <cell r="T3117">
            <v>28517846</v>
          </cell>
          <cell r="U3117">
            <v>0</v>
          </cell>
          <cell r="V3117">
            <v>82144962</v>
          </cell>
          <cell r="W3117">
            <v>382479</v>
          </cell>
          <cell r="X3117">
            <v>138156145</v>
          </cell>
          <cell r="Y3117">
            <v>15980000</v>
          </cell>
          <cell r="Z3117">
            <v>19907390</v>
          </cell>
          <cell r="AA3117">
            <v>950000</v>
          </cell>
          <cell r="AB3117">
            <v>205052098</v>
          </cell>
          <cell r="AC3117">
            <v>1700000</v>
          </cell>
          <cell r="AD3117">
            <v>20005000</v>
          </cell>
          <cell r="AE3117">
            <v>720872389</v>
          </cell>
          <cell r="AF3117">
            <v>7150000</v>
          </cell>
          <cell r="AG3117">
            <v>184213151</v>
          </cell>
          <cell r="AH3117">
            <v>1368181</v>
          </cell>
          <cell r="AI3117">
            <v>0</v>
          </cell>
        </row>
        <row r="3118">
          <cell r="A3118">
            <v>406010203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</row>
        <row r="3119">
          <cell r="A3119">
            <v>406010204</v>
          </cell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</row>
        <row r="3120">
          <cell r="A3120">
            <v>406010300</v>
          </cell>
          <cell r="C3120">
            <v>0</v>
          </cell>
          <cell r="D3120">
            <v>42100000</v>
          </cell>
          <cell r="E3120">
            <v>231722222</v>
          </cell>
          <cell r="F3120">
            <v>5556</v>
          </cell>
          <cell r="G3120">
            <v>0</v>
          </cell>
          <cell r="H3120">
            <v>2000000</v>
          </cell>
          <cell r="I3120">
            <v>0</v>
          </cell>
          <cell r="J3120">
            <v>11516000</v>
          </cell>
          <cell r="K3120">
            <v>0</v>
          </cell>
          <cell r="L3120">
            <v>23000000</v>
          </cell>
          <cell r="M3120">
            <v>0</v>
          </cell>
          <cell r="N3120">
            <v>1678230</v>
          </cell>
          <cell r="O3120">
            <v>3695177</v>
          </cell>
          <cell r="P3120">
            <v>24973026</v>
          </cell>
          <cell r="Q3120">
            <v>27000000</v>
          </cell>
          <cell r="R3120">
            <v>19807165</v>
          </cell>
          <cell r="S3120">
            <v>2300000</v>
          </cell>
          <cell r="T3120">
            <v>263200000</v>
          </cell>
          <cell r="U3120">
            <v>0</v>
          </cell>
          <cell r="V3120">
            <v>39667096</v>
          </cell>
          <cell r="W3120">
            <v>0</v>
          </cell>
          <cell r="X3120">
            <v>20997000</v>
          </cell>
          <cell r="Y3120">
            <v>0</v>
          </cell>
          <cell r="Z3120">
            <v>0</v>
          </cell>
          <cell r="AA3120">
            <v>0</v>
          </cell>
          <cell r="AB3120">
            <v>144149137</v>
          </cell>
          <cell r="AC3120">
            <v>2500000</v>
          </cell>
          <cell r="AD3120">
            <v>3719566</v>
          </cell>
          <cell r="AE3120">
            <v>14962326</v>
          </cell>
          <cell r="AF3120">
            <v>71061795</v>
          </cell>
          <cell r="AG3120">
            <v>11875528</v>
          </cell>
          <cell r="AH3120">
            <v>179935944</v>
          </cell>
          <cell r="AI3120">
            <v>0</v>
          </cell>
        </row>
        <row r="3121">
          <cell r="A3121">
            <v>406010301</v>
          </cell>
          <cell r="C3121">
            <v>0</v>
          </cell>
          <cell r="D3121">
            <v>0</v>
          </cell>
          <cell r="E3121">
            <v>48611111</v>
          </cell>
          <cell r="F3121">
            <v>415</v>
          </cell>
          <cell r="G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155177</v>
          </cell>
          <cell r="P3121">
            <v>1846509</v>
          </cell>
          <cell r="Q3121">
            <v>27000000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1160989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</row>
        <row r="3122">
          <cell r="A3122">
            <v>406010302</v>
          </cell>
          <cell r="C3122">
            <v>0</v>
          </cell>
          <cell r="D3122">
            <v>42100000</v>
          </cell>
          <cell r="E3122">
            <v>183111111</v>
          </cell>
          <cell r="F3122">
            <v>5141</v>
          </cell>
          <cell r="G3122">
            <v>0</v>
          </cell>
          <cell r="H3122">
            <v>2000000</v>
          </cell>
          <cell r="I3122">
            <v>0</v>
          </cell>
          <cell r="J3122">
            <v>11516000</v>
          </cell>
          <cell r="K3122">
            <v>0</v>
          </cell>
          <cell r="L3122">
            <v>23000000</v>
          </cell>
          <cell r="M3122">
            <v>0</v>
          </cell>
          <cell r="N3122">
            <v>0</v>
          </cell>
          <cell r="O3122">
            <v>3540000</v>
          </cell>
          <cell r="P3122">
            <v>23126517</v>
          </cell>
          <cell r="Q3122">
            <v>0</v>
          </cell>
          <cell r="R3122">
            <v>19807165</v>
          </cell>
          <cell r="S3122">
            <v>2300000</v>
          </cell>
          <cell r="T3122">
            <v>263200000</v>
          </cell>
          <cell r="U3122">
            <v>0</v>
          </cell>
          <cell r="V3122">
            <v>39667096</v>
          </cell>
          <cell r="W3122">
            <v>0</v>
          </cell>
          <cell r="X3122">
            <v>20997000</v>
          </cell>
          <cell r="Y3122">
            <v>0</v>
          </cell>
          <cell r="Z3122">
            <v>0</v>
          </cell>
          <cell r="AA3122">
            <v>0</v>
          </cell>
          <cell r="AB3122">
            <v>142988148</v>
          </cell>
          <cell r="AC3122">
            <v>2500000</v>
          </cell>
          <cell r="AD3122">
            <v>3719566</v>
          </cell>
          <cell r="AE3122">
            <v>14962326</v>
          </cell>
          <cell r="AF3122">
            <v>71061795</v>
          </cell>
          <cell r="AG3122">
            <v>11875528</v>
          </cell>
          <cell r="AH3122">
            <v>179935944</v>
          </cell>
          <cell r="AI3122">
            <v>0</v>
          </cell>
        </row>
        <row r="3123">
          <cell r="A3123">
            <v>406010303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1678230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</row>
        <row r="3124">
          <cell r="A3124">
            <v>406010304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</row>
        <row r="3125">
          <cell r="A3125">
            <v>406010400</v>
          </cell>
          <cell r="C3125">
            <v>559672493</v>
          </cell>
          <cell r="D3125">
            <v>550109858</v>
          </cell>
          <cell r="E3125">
            <v>418565767</v>
          </cell>
          <cell r="F3125">
            <v>361517874</v>
          </cell>
          <cell r="G3125">
            <v>4519882</v>
          </cell>
          <cell r="H3125">
            <v>1278229945</v>
          </cell>
          <cell r="I3125">
            <v>1095826663</v>
          </cell>
          <cell r="J3125">
            <v>387769895</v>
          </cell>
          <cell r="K3125">
            <v>210830290</v>
          </cell>
          <cell r="L3125">
            <v>75978720</v>
          </cell>
          <cell r="M3125">
            <v>528093599</v>
          </cell>
          <cell r="N3125">
            <v>4469347062</v>
          </cell>
          <cell r="O3125">
            <v>273129564</v>
          </cell>
          <cell r="P3125">
            <v>481551944</v>
          </cell>
          <cell r="Q3125">
            <v>393167960</v>
          </cell>
          <cell r="R3125">
            <v>289985086</v>
          </cell>
          <cell r="S3125">
            <v>901370000</v>
          </cell>
          <cell r="T3125">
            <v>775185939</v>
          </cell>
          <cell r="U3125">
            <v>15222680</v>
          </cell>
          <cell r="V3125">
            <v>1460451007</v>
          </cell>
          <cell r="W3125">
            <v>251343208</v>
          </cell>
          <cell r="X3125">
            <v>648241566</v>
          </cell>
          <cell r="Y3125">
            <v>287917600</v>
          </cell>
          <cell r="Z3125">
            <v>608978523</v>
          </cell>
          <cell r="AA3125">
            <v>175147494</v>
          </cell>
          <cell r="AB3125">
            <v>722498390</v>
          </cell>
          <cell r="AC3125">
            <v>223094773</v>
          </cell>
          <cell r="AD3125">
            <v>516278194</v>
          </cell>
          <cell r="AE3125">
            <v>3849588950</v>
          </cell>
          <cell r="AF3125">
            <v>334429954</v>
          </cell>
          <cell r="AG3125">
            <v>209380025</v>
          </cell>
          <cell r="AH3125">
            <v>796520545</v>
          </cell>
          <cell r="AI3125">
            <v>0</v>
          </cell>
        </row>
        <row r="3126">
          <cell r="A3126">
            <v>406010401</v>
          </cell>
          <cell r="C3126">
            <v>3235170</v>
          </cell>
          <cell r="D3126">
            <v>1338257</v>
          </cell>
          <cell r="E3126">
            <v>68318852</v>
          </cell>
          <cell r="F3126">
            <v>2908923</v>
          </cell>
          <cell r="G3126">
            <v>4519882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6378499</v>
          </cell>
          <cell r="M3126">
            <v>0</v>
          </cell>
          <cell r="N3126">
            <v>475481136</v>
          </cell>
          <cell r="O3126">
            <v>1403756</v>
          </cell>
          <cell r="P3126">
            <v>1993935</v>
          </cell>
          <cell r="Q3126">
            <v>393167960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141186757</v>
          </cell>
          <cell r="X3126">
            <v>0</v>
          </cell>
          <cell r="Y3126">
            <v>2416050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832139</v>
          </cell>
          <cell r="AH3126">
            <v>3243099</v>
          </cell>
          <cell r="AI3126">
            <v>0</v>
          </cell>
        </row>
        <row r="3127">
          <cell r="A3127">
            <v>406010402</v>
          </cell>
          <cell r="C3127">
            <v>511437323</v>
          </cell>
          <cell r="D3127">
            <v>548771601</v>
          </cell>
          <cell r="E3127">
            <v>350246915</v>
          </cell>
          <cell r="F3127">
            <v>358608951</v>
          </cell>
          <cell r="G3127">
            <v>0</v>
          </cell>
          <cell r="H3127">
            <v>946669865</v>
          </cell>
          <cell r="I3127">
            <v>1095826663</v>
          </cell>
          <cell r="J3127">
            <v>374169895</v>
          </cell>
          <cell r="K3127">
            <v>210830290</v>
          </cell>
          <cell r="L3127">
            <v>69600221</v>
          </cell>
          <cell r="M3127">
            <v>528093599</v>
          </cell>
          <cell r="N3127">
            <v>3993865926</v>
          </cell>
          <cell r="O3127">
            <v>271725808</v>
          </cell>
          <cell r="P3127">
            <v>479558009</v>
          </cell>
          <cell r="Q3127">
            <v>0</v>
          </cell>
          <cell r="R3127">
            <v>264985086</v>
          </cell>
          <cell r="S3127">
            <v>901370000</v>
          </cell>
          <cell r="T3127">
            <v>775185939</v>
          </cell>
          <cell r="U3127">
            <v>0</v>
          </cell>
          <cell r="V3127">
            <v>1250935471</v>
          </cell>
          <cell r="W3127">
            <v>98156451</v>
          </cell>
          <cell r="X3127">
            <v>641991566</v>
          </cell>
          <cell r="Y3127">
            <v>285501550</v>
          </cell>
          <cell r="Z3127">
            <v>501313168</v>
          </cell>
          <cell r="AA3127">
            <v>175147494</v>
          </cell>
          <cell r="AB3127">
            <v>722498390</v>
          </cell>
          <cell r="AC3127">
            <v>162295100</v>
          </cell>
          <cell r="AD3127">
            <v>248720194</v>
          </cell>
          <cell r="AE3127">
            <v>3849588950</v>
          </cell>
          <cell r="AF3127">
            <v>334429954</v>
          </cell>
          <cell r="AG3127">
            <v>208547886</v>
          </cell>
          <cell r="AH3127">
            <v>793277446</v>
          </cell>
          <cell r="AI3127">
            <v>0</v>
          </cell>
        </row>
        <row r="3128">
          <cell r="A3128">
            <v>406010403</v>
          </cell>
          <cell r="C3128">
            <v>45000000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331560080</v>
          </cell>
          <cell r="I3128">
            <v>0</v>
          </cell>
          <cell r="J3128">
            <v>13600000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25000000</v>
          </cell>
          <cell r="S3128">
            <v>0</v>
          </cell>
          <cell r="T3128">
            <v>0</v>
          </cell>
          <cell r="U3128">
            <v>15222680</v>
          </cell>
          <cell r="V3128">
            <v>209515536</v>
          </cell>
          <cell r="W3128">
            <v>12000000</v>
          </cell>
          <cell r="X3128">
            <v>6250000</v>
          </cell>
          <cell r="Y3128">
            <v>0</v>
          </cell>
          <cell r="Z3128">
            <v>107665355</v>
          </cell>
          <cell r="AA3128">
            <v>0</v>
          </cell>
          <cell r="AB3128">
            <v>0</v>
          </cell>
          <cell r="AC3128">
            <v>60799673</v>
          </cell>
          <cell r="AD3128">
            <v>267558000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</row>
        <row r="3129">
          <cell r="A3129">
            <v>406010404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</row>
        <row r="3130">
          <cell r="A3130">
            <v>406010500</v>
          </cell>
          <cell r="C3130">
            <v>4569584</v>
          </cell>
          <cell r="D3130">
            <v>0</v>
          </cell>
          <cell r="E3130">
            <v>0</v>
          </cell>
          <cell r="F3130">
            <v>4569584</v>
          </cell>
          <cell r="G3130">
            <v>174305341</v>
          </cell>
          <cell r="H3130">
            <v>4569590</v>
          </cell>
          <cell r="I3130">
            <v>4189427</v>
          </cell>
          <cell r="J3130">
            <v>2459754</v>
          </cell>
          <cell r="K3130">
            <v>4569584</v>
          </cell>
          <cell r="L3130">
            <v>4569584</v>
          </cell>
          <cell r="M3130">
            <v>3447699</v>
          </cell>
          <cell r="N3130">
            <v>0</v>
          </cell>
          <cell r="O3130">
            <v>0</v>
          </cell>
          <cell r="P3130">
            <v>4569584</v>
          </cell>
          <cell r="Q3130">
            <v>0</v>
          </cell>
          <cell r="R3130">
            <v>4569661</v>
          </cell>
          <cell r="S3130">
            <v>4569584</v>
          </cell>
          <cell r="T3130">
            <v>0</v>
          </cell>
          <cell r="U3130">
            <v>0</v>
          </cell>
          <cell r="V3130">
            <v>0</v>
          </cell>
          <cell r="W3130">
            <v>4569590</v>
          </cell>
          <cell r="X3130">
            <v>4569584</v>
          </cell>
          <cell r="Y3130">
            <v>142613458</v>
          </cell>
          <cell r="Z3130">
            <v>5481484</v>
          </cell>
          <cell r="AA3130">
            <v>4569590</v>
          </cell>
          <cell r="AB3130">
            <v>4569590</v>
          </cell>
          <cell r="AC3130">
            <v>4569584</v>
          </cell>
          <cell r="AD3130">
            <v>0</v>
          </cell>
          <cell r="AE3130">
            <v>0</v>
          </cell>
          <cell r="AF3130">
            <v>0</v>
          </cell>
          <cell r="AG3130">
            <v>4869584</v>
          </cell>
          <cell r="AH3130">
            <v>0</v>
          </cell>
          <cell r="AI3130">
            <v>0</v>
          </cell>
        </row>
        <row r="3131">
          <cell r="A3131">
            <v>406010501</v>
          </cell>
          <cell r="C3131">
            <v>380157</v>
          </cell>
          <cell r="D3131">
            <v>0</v>
          </cell>
          <cell r="E3131">
            <v>0</v>
          </cell>
          <cell r="F3131">
            <v>380157</v>
          </cell>
          <cell r="G3131">
            <v>83675</v>
          </cell>
          <cell r="H3131">
            <v>380157</v>
          </cell>
          <cell r="I3131">
            <v>0</v>
          </cell>
          <cell r="J3131">
            <v>380079</v>
          </cell>
          <cell r="K3131">
            <v>380157</v>
          </cell>
          <cell r="L3131">
            <v>380157</v>
          </cell>
          <cell r="M3131">
            <v>380146</v>
          </cell>
          <cell r="N3131">
            <v>0</v>
          </cell>
          <cell r="O3131">
            <v>0</v>
          </cell>
          <cell r="P3131">
            <v>380157</v>
          </cell>
          <cell r="Q3131">
            <v>0</v>
          </cell>
          <cell r="R3131">
            <v>380168</v>
          </cell>
          <cell r="S3131">
            <v>380157</v>
          </cell>
          <cell r="T3131">
            <v>0</v>
          </cell>
          <cell r="U3131">
            <v>0</v>
          </cell>
          <cell r="V3131">
            <v>0</v>
          </cell>
          <cell r="W3131">
            <v>380157</v>
          </cell>
          <cell r="X3131">
            <v>380157</v>
          </cell>
          <cell r="Y3131">
            <v>68460</v>
          </cell>
          <cell r="Z3131">
            <v>380157</v>
          </cell>
          <cell r="AA3131">
            <v>380157</v>
          </cell>
          <cell r="AB3131">
            <v>380157</v>
          </cell>
          <cell r="AC3131">
            <v>380157</v>
          </cell>
          <cell r="AD3131">
            <v>0</v>
          </cell>
          <cell r="AE3131">
            <v>0</v>
          </cell>
          <cell r="AF3131">
            <v>0</v>
          </cell>
          <cell r="AG3131">
            <v>380157</v>
          </cell>
          <cell r="AH3131">
            <v>0</v>
          </cell>
          <cell r="AI3131">
            <v>0</v>
          </cell>
        </row>
        <row r="3132">
          <cell r="A3132">
            <v>406010502</v>
          </cell>
          <cell r="C3132">
            <v>4189427</v>
          </cell>
          <cell r="D3132">
            <v>0</v>
          </cell>
          <cell r="E3132">
            <v>0</v>
          </cell>
          <cell r="F3132">
            <v>4189427</v>
          </cell>
          <cell r="G3132">
            <v>174221666</v>
          </cell>
          <cell r="H3132">
            <v>4189433</v>
          </cell>
          <cell r="I3132">
            <v>4189427</v>
          </cell>
          <cell r="J3132">
            <v>2079675</v>
          </cell>
          <cell r="K3132">
            <v>4189427</v>
          </cell>
          <cell r="L3132">
            <v>4189427</v>
          </cell>
          <cell r="M3132">
            <v>3067553</v>
          </cell>
          <cell r="N3132">
            <v>0</v>
          </cell>
          <cell r="O3132">
            <v>0</v>
          </cell>
          <cell r="P3132">
            <v>4189427</v>
          </cell>
          <cell r="Q3132">
            <v>0</v>
          </cell>
          <cell r="R3132">
            <v>4189493</v>
          </cell>
          <cell r="S3132">
            <v>4189427</v>
          </cell>
          <cell r="T3132">
            <v>0</v>
          </cell>
          <cell r="U3132">
            <v>0</v>
          </cell>
          <cell r="V3132">
            <v>0</v>
          </cell>
          <cell r="W3132">
            <v>4189433</v>
          </cell>
          <cell r="X3132">
            <v>4189427</v>
          </cell>
          <cell r="Y3132">
            <v>142544998</v>
          </cell>
          <cell r="Z3132">
            <v>5101327</v>
          </cell>
          <cell r="AA3132">
            <v>4189433</v>
          </cell>
          <cell r="AB3132">
            <v>4189433</v>
          </cell>
          <cell r="AC3132">
            <v>4189427</v>
          </cell>
          <cell r="AD3132">
            <v>0</v>
          </cell>
          <cell r="AE3132">
            <v>0</v>
          </cell>
          <cell r="AF3132">
            <v>0</v>
          </cell>
          <cell r="AG3132">
            <v>4489427</v>
          </cell>
          <cell r="AH3132">
            <v>0</v>
          </cell>
          <cell r="AI3132">
            <v>0</v>
          </cell>
        </row>
        <row r="3133">
          <cell r="A3133">
            <v>406010503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</row>
        <row r="3134">
          <cell r="A3134">
            <v>406010504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</row>
        <row r="3135">
          <cell r="A3135">
            <v>406010600</v>
          </cell>
          <cell r="C3135">
            <v>402320864</v>
          </cell>
          <cell r="D3135">
            <v>206067887</v>
          </cell>
          <cell r="E3135">
            <v>66897943</v>
          </cell>
          <cell r="F3135">
            <v>40517009</v>
          </cell>
          <cell r="G3135">
            <v>63834423</v>
          </cell>
          <cell r="H3135">
            <v>36933835</v>
          </cell>
          <cell r="I3135">
            <v>21344765</v>
          </cell>
          <cell r="J3135">
            <v>25908080</v>
          </cell>
          <cell r="K3135">
            <v>303104</v>
          </cell>
          <cell r="L3135">
            <v>1628964</v>
          </cell>
          <cell r="M3135">
            <v>36951480</v>
          </cell>
          <cell r="N3135">
            <v>488854908</v>
          </cell>
          <cell r="O3135">
            <v>30721519</v>
          </cell>
          <cell r="P3135">
            <v>56790877</v>
          </cell>
          <cell r="Q3135">
            <v>126750000</v>
          </cell>
          <cell r="R3135">
            <v>469559618</v>
          </cell>
          <cell r="S3135">
            <v>19000000</v>
          </cell>
          <cell r="T3135">
            <v>73013000</v>
          </cell>
          <cell r="U3135">
            <v>0</v>
          </cell>
          <cell r="V3135">
            <v>190320832</v>
          </cell>
          <cell r="W3135">
            <v>462922396</v>
          </cell>
          <cell r="X3135">
            <v>225301518</v>
          </cell>
          <cell r="Y3135">
            <v>34997270</v>
          </cell>
          <cell r="Z3135">
            <v>216345729</v>
          </cell>
          <cell r="AA3135">
            <v>3906000</v>
          </cell>
          <cell r="AB3135">
            <v>295823683</v>
          </cell>
          <cell r="AC3135">
            <v>58500000</v>
          </cell>
          <cell r="AD3135">
            <v>215792000</v>
          </cell>
          <cell r="AE3135">
            <v>42371923</v>
          </cell>
          <cell r="AF3135">
            <v>46791359</v>
          </cell>
          <cell r="AG3135">
            <v>173018053</v>
          </cell>
          <cell r="AH3135">
            <v>1367751606</v>
          </cell>
          <cell r="AI3135">
            <v>0</v>
          </cell>
        </row>
        <row r="3136">
          <cell r="A3136">
            <v>406010601</v>
          </cell>
          <cell r="C3136">
            <v>0</v>
          </cell>
          <cell r="D3136">
            <v>0</v>
          </cell>
          <cell r="E3136">
            <v>0</v>
          </cell>
          <cell r="F3136">
            <v>1019873</v>
          </cell>
          <cell r="G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3104</v>
          </cell>
          <cell r="L3136">
            <v>0</v>
          </cell>
          <cell r="M3136">
            <v>0</v>
          </cell>
          <cell r="N3136">
            <v>0</v>
          </cell>
          <cell r="O3136">
            <v>208821</v>
          </cell>
          <cell r="P3136">
            <v>1551394</v>
          </cell>
          <cell r="Q3136">
            <v>126750000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707270</v>
          </cell>
          <cell r="Z3136">
            <v>0</v>
          </cell>
          <cell r="AA3136">
            <v>0</v>
          </cell>
          <cell r="AB3136">
            <v>1539536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</row>
        <row r="3137">
          <cell r="A3137">
            <v>406010602</v>
          </cell>
          <cell r="C3137">
            <v>402320864</v>
          </cell>
          <cell r="D3137">
            <v>206067887</v>
          </cell>
          <cell r="E3137">
            <v>66897943</v>
          </cell>
          <cell r="F3137">
            <v>39497136</v>
          </cell>
          <cell r="G3137">
            <v>63834423</v>
          </cell>
          <cell r="H3137">
            <v>36933835</v>
          </cell>
          <cell r="I3137">
            <v>21344765</v>
          </cell>
          <cell r="J3137">
            <v>25908080</v>
          </cell>
          <cell r="K3137">
            <v>300000</v>
          </cell>
          <cell r="L3137">
            <v>1628964</v>
          </cell>
          <cell r="M3137">
            <v>36951480</v>
          </cell>
          <cell r="N3137">
            <v>488854908</v>
          </cell>
          <cell r="O3137">
            <v>30512698</v>
          </cell>
          <cell r="P3137">
            <v>55239483</v>
          </cell>
          <cell r="Q3137">
            <v>0</v>
          </cell>
          <cell r="R3137">
            <v>469559618</v>
          </cell>
          <cell r="S3137">
            <v>19000000</v>
          </cell>
          <cell r="T3137">
            <v>73013000</v>
          </cell>
          <cell r="U3137">
            <v>0</v>
          </cell>
          <cell r="V3137">
            <v>190320832</v>
          </cell>
          <cell r="W3137">
            <v>462922396</v>
          </cell>
          <cell r="X3137">
            <v>225301518</v>
          </cell>
          <cell r="Y3137">
            <v>34290000</v>
          </cell>
          <cell r="Z3137">
            <v>216345729</v>
          </cell>
          <cell r="AA3137">
            <v>3906000</v>
          </cell>
          <cell r="AB3137">
            <v>294284147</v>
          </cell>
          <cell r="AC3137">
            <v>58500000</v>
          </cell>
          <cell r="AD3137">
            <v>215792000</v>
          </cell>
          <cell r="AE3137">
            <v>42371923</v>
          </cell>
          <cell r="AF3137">
            <v>46791359</v>
          </cell>
          <cell r="AG3137">
            <v>173018053</v>
          </cell>
          <cell r="AH3137">
            <v>1367751606</v>
          </cell>
          <cell r="AI3137">
            <v>0</v>
          </cell>
        </row>
        <row r="3138">
          <cell r="A3138">
            <v>406010603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</row>
        <row r="3139">
          <cell r="A3139">
            <v>406010604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</row>
        <row r="3140">
          <cell r="A3140">
            <v>406010700</v>
          </cell>
          <cell r="C3140">
            <v>766545</v>
          </cell>
          <cell r="D3140">
            <v>52805606</v>
          </cell>
          <cell r="E3140">
            <v>0</v>
          </cell>
          <cell r="F3140">
            <v>2359426</v>
          </cell>
          <cell r="G3140">
            <v>6800000</v>
          </cell>
          <cell r="H3140">
            <v>35469998</v>
          </cell>
          <cell r="I3140">
            <v>1244000</v>
          </cell>
          <cell r="J3140">
            <v>1400000</v>
          </cell>
          <cell r="K3140">
            <v>0</v>
          </cell>
          <cell r="L3140">
            <v>0</v>
          </cell>
          <cell r="M3140">
            <v>0</v>
          </cell>
          <cell r="N3140">
            <v>11324140</v>
          </cell>
          <cell r="O3140">
            <v>665688</v>
          </cell>
          <cell r="P3140">
            <v>15295</v>
          </cell>
          <cell r="Q3140">
            <v>6300000</v>
          </cell>
          <cell r="R3140">
            <v>4711818</v>
          </cell>
          <cell r="S3140">
            <v>0</v>
          </cell>
          <cell r="T3140">
            <v>0</v>
          </cell>
          <cell r="U3140">
            <v>0</v>
          </cell>
          <cell r="V3140">
            <v>5144105</v>
          </cell>
          <cell r="W3140">
            <v>1927272</v>
          </cell>
          <cell r="X3140">
            <v>2037114</v>
          </cell>
          <cell r="Y3140">
            <v>0</v>
          </cell>
          <cell r="Z3140">
            <v>1690909</v>
          </cell>
          <cell r="AA3140">
            <v>1400000</v>
          </cell>
          <cell r="AB3140">
            <v>9091859</v>
          </cell>
          <cell r="AC3140">
            <v>0</v>
          </cell>
          <cell r="AD3140">
            <v>532046</v>
          </cell>
          <cell r="AE3140">
            <v>7196615</v>
          </cell>
          <cell r="AF3140">
            <v>0</v>
          </cell>
          <cell r="AG3140">
            <v>600000</v>
          </cell>
          <cell r="AH3140">
            <v>4986364</v>
          </cell>
          <cell r="AI3140">
            <v>0</v>
          </cell>
        </row>
        <row r="3141">
          <cell r="A3141">
            <v>406010701</v>
          </cell>
          <cell r="C3141">
            <v>0</v>
          </cell>
          <cell r="D3141">
            <v>0</v>
          </cell>
          <cell r="E3141">
            <v>0</v>
          </cell>
          <cell r="F3141">
            <v>95936</v>
          </cell>
          <cell r="G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7408</v>
          </cell>
          <cell r="P3141">
            <v>15295</v>
          </cell>
          <cell r="Q3141">
            <v>6300000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2244</v>
          </cell>
          <cell r="Y3141">
            <v>0</v>
          </cell>
          <cell r="Z3141">
            <v>0</v>
          </cell>
          <cell r="AA3141">
            <v>0</v>
          </cell>
          <cell r="AB3141">
            <v>92711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</row>
        <row r="3142">
          <cell r="A3142">
            <v>406010702</v>
          </cell>
          <cell r="C3142">
            <v>766545</v>
          </cell>
          <cell r="D3142">
            <v>52805606</v>
          </cell>
          <cell r="E3142">
            <v>0</v>
          </cell>
          <cell r="F3142">
            <v>2263490</v>
          </cell>
          <cell r="G3142">
            <v>6800000</v>
          </cell>
          <cell r="H3142">
            <v>35469998</v>
          </cell>
          <cell r="I3142">
            <v>1244000</v>
          </cell>
          <cell r="J3142">
            <v>1400000</v>
          </cell>
          <cell r="K3142">
            <v>0</v>
          </cell>
          <cell r="L3142">
            <v>0</v>
          </cell>
          <cell r="M3142">
            <v>0</v>
          </cell>
          <cell r="N3142">
            <v>11324140</v>
          </cell>
          <cell r="O3142">
            <v>658280</v>
          </cell>
          <cell r="P3142">
            <v>0</v>
          </cell>
          <cell r="Q3142">
            <v>0</v>
          </cell>
          <cell r="R3142">
            <v>4711818</v>
          </cell>
          <cell r="S3142">
            <v>0</v>
          </cell>
          <cell r="T3142">
            <v>0</v>
          </cell>
          <cell r="U3142">
            <v>0</v>
          </cell>
          <cell r="V3142">
            <v>5144105</v>
          </cell>
          <cell r="W3142">
            <v>1927272</v>
          </cell>
          <cell r="X3142">
            <v>2034870</v>
          </cell>
          <cell r="Y3142">
            <v>0</v>
          </cell>
          <cell r="Z3142">
            <v>1690909</v>
          </cell>
          <cell r="AA3142">
            <v>1400000</v>
          </cell>
          <cell r="AB3142">
            <v>8999148</v>
          </cell>
          <cell r="AC3142">
            <v>0</v>
          </cell>
          <cell r="AD3142">
            <v>532046</v>
          </cell>
          <cell r="AE3142">
            <v>7196615</v>
          </cell>
          <cell r="AF3142">
            <v>0</v>
          </cell>
          <cell r="AG3142">
            <v>600000</v>
          </cell>
          <cell r="AH3142">
            <v>4986364</v>
          </cell>
          <cell r="AI3142">
            <v>0</v>
          </cell>
        </row>
        <row r="3143">
          <cell r="A3143">
            <v>406010703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</row>
        <row r="3144">
          <cell r="A3144">
            <v>406010704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</row>
        <row r="3145">
          <cell r="A3145">
            <v>406010800</v>
          </cell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9494600</v>
          </cell>
          <cell r="N3145">
            <v>1226888725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0</v>
          </cell>
          <cell r="T3145">
            <v>316573554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1064889</v>
          </cell>
          <cell r="AG3145">
            <v>0</v>
          </cell>
          <cell r="AH3145">
            <v>0</v>
          </cell>
          <cell r="AI3145">
            <v>2127181113</v>
          </cell>
        </row>
        <row r="3146">
          <cell r="A3146">
            <v>406010801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2127181113</v>
          </cell>
        </row>
        <row r="3147">
          <cell r="A3147">
            <v>406010802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9494600</v>
          </cell>
          <cell r="N3147">
            <v>1226888725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316573554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1064889</v>
          </cell>
          <cell r="AG3147">
            <v>0</v>
          </cell>
          <cell r="AH3147">
            <v>0</v>
          </cell>
          <cell r="AI3147">
            <v>0</v>
          </cell>
        </row>
        <row r="3148">
          <cell r="A3148">
            <v>406010803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</row>
        <row r="3149">
          <cell r="A3149">
            <v>406010804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</row>
        <row r="3150">
          <cell r="A3150">
            <v>406010900</v>
          </cell>
          <cell r="C3150">
            <v>18238725</v>
          </cell>
          <cell r="D3150">
            <v>134451620</v>
          </cell>
          <cell r="E3150">
            <v>12402760</v>
          </cell>
          <cell r="F3150">
            <v>749805</v>
          </cell>
          <cell r="G3150">
            <v>40606909</v>
          </cell>
          <cell r="H3150">
            <v>40716905</v>
          </cell>
          <cell r="I3150">
            <v>8527400</v>
          </cell>
          <cell r="J3150">
            <v>0</v>
          </cell>
          <cell r="K3150">
            <v>2305599</v>
          </cell>
          <cell r="L3150">
            <v>524673</v>
          </cell>
          <cell r="M3150">
            <v>0</v>
          </cell>
          <cell r="N3150">
            <v>428618238</v>
          </cell>
          <cell r="O3150">
            <v>40408918</v>
          </cell>
          <cell r="P3150">
            <v>21943</v>
          </cell>
          <cell r="Q3150">
            <v>524673</v>
          </cell>
          <cell r="R3150">
            <v>0</v>
          </cell>
          <cell r="S3150">
            <v>20827160</v>
          </cell>
          <cell r="T3150">
            <v>6946364</v>
          </cell>
          <cell r="U3150">
            <v>0</v>
          </cell>
          <cell r="V3150">
            <v>136412091</v>
          </cell>
          <cell r="W3150">
            <v>19798524</v>
          </cell>
          <cell r="X3150">
            <v>8041063</v>
          </cell>
          <cell r="Y3150">
            <v>0</v>
          </cell>
          <cell r="Z3150">
            <v>22257000</v>
          </cell>
          <cell r="AA3150">
            <v>0</v>
          </cell>
          <cell r="AB3150">
            <v>147570891</v>
          </cell>
          <cell r="AC3150">
            <v>600000</v>
          </cell>
          <cell r="AD3150">
            <v>30857432</v>
          </cell>
          <cell r="AE3150">
            <v>3562946</v>
          </cell>
          <cell r="AF3150">
            <v>328913012</v>
          </cell>
          <cell r="AG3150">
            <v>9406118</v>
          </cell>
          <cell r="AH3150">
            <v>36086292</v>
          </cell>
          <cell r="AI3150">
            <v>0</v>
          </cell>
        </row>
        <row r="3151">
          <cell r="A3151">
            <v>406010901</v>
          </cell>
          <cell r="C3151">
            <v>0</v>
          </cell>
          <cell r="D3151">
            <v>0</v>
          </cell>
          <cell r="E3151">
            <v>396010</v>
          </cell>
          <cell r="F3151">
            <v>56517</v>
          </cell>
          <cell r="G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67399</v>
          </cell>
          <cell r="L3151">
            <v>0</v>
          </cell>
          <cell r="M3151">
            <v>0</v>
          </cell>
          <cell r="N3151">
            <v>0</v>
          </cell>
          <cell r="O3151">
            <v>789949</v>
          </cell>
          <cell r="P3151">
            <v>21943</v>
          </cell>
          <cell r="Q3151">
            <v>524673</v>
          </cell>
          <cell r="R3151">
            <v>0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3331566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</row>
        <row r="3152">
          <cell r="A3152">
            <v>406010902</v>
          </cell>
          <cell r="C3152">
            <v>18238725</v>
          </cell>
          <cell r="D3152">
            <v>134451620</v>
          </cell>
          <cell r="E3152">
            <v>12006750</v>
          </cell>
          <cell r="F3152">
            <v>693288</v>
          </cell>
          <cell r="G3152">
            <v>40606909</v>
          </cell>
          <cell r="H3152">
            <v>40716905</v>
          </cell>
          <cell r="I3152">
            <v>8527400</v>
          </cell>
          <cell r="J3152">
            <v>0</v>
          </cell>
          <cell r="K3152">
            <v>2238200</v>
          </cell>
          <cell r="L3152">
            <v>524673</v>
          </cell>
          <cell r="M3152">
            <v>0</v>
          </cell>
          <cell r="N3152">
            <v>428618238</v>
          </cell>
          <cell r="O3152">
            <v>39618969</v>
          </cell>
          <cell r="P3152">
            <v>0</v>
          </cell>
          <cell r="Q3152">
            <v>0</v>
          </cell>
          <cell r="R3152">
            <v>0</v>
          </cell>
          <cell r="S3152">
            <v>20827160</v>
          </cell>
          <cell r="T3152">
            <v>6946364</v>
          </cell>
          <cell r="U3152">
            <v>0</v>
          </cell>
          <cell r="V3152">
            <v>136412091</v>
          </cell>
          <cell r="W3152">
            <v>19798524</v>
          </cell>
          <cell r="X3152">
            <v>8041063</v>
          </cell>
          <cell r="Y3152">
            <v>0</v>
          </cell>
          <cell r="Z3152">
            <v>22257000</v>
          </cell>
          <cell r="AA3152">
            <v>0</v>
          </cell>
          <cell r="AB3152">
            <v>144239325</v>
          </cell>
          <cell r="AC3152">
            <v>600000</v>
          </cell>
          <cell r="AD3152">
            <v>30857432</v>
          </cell>
          <cell r="AE3152">
            <v>3562946</v>
          </cell>
          <cell r="AF3152">
            <v>328913012</v>
          </cell>
          <cell r="AG3152">
            <v>9406118</v>
          </cell>
          <cell r="AH3152">
            <v>36086292</v>
          </cell>
          <cell r="AI3152">
            <v>0</v>
          </cell>
        </row>
        <row r="3153">
          <cell r="A3153">
            <v>406010903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</row>
        <row r="3154">
          <cell r="A3154">
            <v>406010904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</row>
        <row r="3155">
          <cell r="A3155">
            <v>406011000</v>
          </cell>
          <cell r="C3155">
            <v>100577209</v>
          </cell>
          <cell r="D3155">
            <v>50279595</v>
          </cell>
          <cell r="E3155">
            <v>399026976</v>
          </cell>
          <cell r="F3155">
            <v>29211367</v>
          </cell>
          <cell r="G3155">
            <v>29345561</v>
          </cell>
          <cell r="H3155">
            <v>109169340</v>
          </cell>
          <cell r="I3155">
            <v>50043781</v>
          </cell>
          <cell r="J3155">
            <v>29447833</v>
          </cell>
          <cell r="K3155">
            <v>28947833</v>
          </cell>
          <cell r="L3155">
            <v>28997833</v>
          </cell>
          <cell r="M3155">
            <v>28947833</v>
          </cell>
          <cell r="N3155">
            <v>110510103</v>
          </cell>
          <cell r="O3155">
            <v>32929881</v>
          </cell>
          <cell r="P3155">
            <v>32615237</v>
          </cell>
          <cell r="Q3155">
            <v>298097624</v>
          </cell>
          <cell r="R3155">
            <v>49332833</v>
          </cell>
          <cell r="S3155">
            <v>30197833</v>
          </cell>
          <cell r="T3155">
            <v>16096097</v>
          </cell>
          <cell r="U3155">
            <v>0</v>
          </cell>
          <cell r="V3155">
            <v>22307596</v>
          </cell>
          <cell r="W3155">
            <v>55720819</v>
          </cell>
          <cell r="X3155">
            <v>53394464</v>
          </cell>
          <cell r="Y3155">
            <v>32429991</v>
          </cell>
          <cell r="Z3155">
            <v>75247833</v>
          </cell>
          <cell r="AA3155">
            <v>28947833</v>
          </cell>
          <cell r="AB3155">
            <v>36870593</v>
          </cell>
          <cell r="AC3155">
            <v>33947833</v>
          </cell>
          <cell r="AD3155">
            <v>33036923</v>
          </cell>
          <cell r="AE3155">
            <v>4706370</v>
          </cell>
          <cell r="AF3155">
            <v>33432833</v>
          </cell>
          <cell r="AG3155">
            <v>29947833</v>
          </cell>
          <cell r="AH3155">
            <v>23800000</v>
          </cell>
          <cell r="AI3155">
            <v>0</v>
          </cell>
        </row>
        <row r="3156">
          <cell r="A3156">
            <v>406011001</v>
          </cell>
          <cell r="C3156">
            <v>0</v>
          </cell>
          <cell r="D3156">
            <v>735883</v>
          </cell>
          <cell r="E3156">
            <v>232885130</v>
          </cell>
          <cell r="F3156">
            <v>759295</v>
          </cell>
          <cell r="G3156">
            <v>735883</v>
          </cell>
          <cell r="H3156">
            <v>735883</v>
          </cell>
          <cell r="I3156">
            <v>1116040</v>
          </cell>
          <cell r="J3156">
            <v>735883</v>
          </cell>
          <cell r="K3156">
            <v>735883</v>
          </cell>
          <cell r="L3156">
            <v>735883</v>
          </cell>
          <cell r="M3156">
            <v>735883</v>
          </cell>
          <cell r="N3156">
            <v>0</v>
          </cell>
          <cell r="O3156">
            <v>944533</v>
          </cell>
          <cell r="P3156">
            <v>856875</v>
          </cell>
          <cell r="Q3156">
            <v>1735883</v>
          </cell>
          <cell r="R3156">
            <v>735883</v>
          </cell>
          <cell r="S3156">
            <v>735883</v>
          </cell>
          <cell r="T3156">
            <v>3720208</v>
          </cell>
          <cell r="U3156">
            <v>0</v>
          </cell>
          <cell r="V3156">
            <v>0</v>
          </cell>
          <cell r="W3156">
            <v>17200157</v>
          </cell>
          <cell r="X3156">
            <v>735883</v>
          </cell>
          <cell r="Y3156">
            <v>798186</v>
          </cell>
          <cell r="Z3156">
            <v>735883</v>
          </cell>
          <cell r="AA3156">
            <v>735883</v>
          </cell>
          <cell r="AB3156">
            <v>874915</v>
          </cell>
          <cell r="AC3156">
            <v>735883</v>
          </cell>
          <cell r="AD3156">
            <v>735883</v>
          </cell>
          <cell r="AE3156">
            <v>0</v>
          </cell>
          <cell r="AF3156">
            <v>735883</v>
          </cell>
          <cell r="AG3156">
            <v>735883</v>
          </cell>
          <cell r="AH3156">
            <v>0</v>
          </cell>
          <cell r="AI3156">
            <v>0</v>
          </cell>
        </row>
        <row r="3157">
          <cell r="A3157">
            <v>406011002</v>
          </cell>
          <cell r="C3157">
            <v>100577209</v>
          </cell>
          <cell r="D3157">
            <v>49543712</v>
          </cell>
          <cell r="E3157">
            <v>166141846</v>
          </cell>
          <cell r="F3157">
            <v>28452072</v>
          </cell>
          <cell r="G3157">
            <v>28609678</v>
          </cell>
          <cell r="H3157">
            <v>70433457</v>
          </cell>
          <cell r="I3157">
            <v>48927741</v>
          </cell>
          <cell r="J3157">
            <v>28711950</v>
          </cell>
          <cell r="K3157">
            <v>28211950</v>
          </cell>
          <cell r="L3157">
            <v>28261950</v>
          </cell>
          <cell r="M3157">
            <v>28211950</v>
          </cell>
          <cell r="N3157">
            <v>110510103</v>
          </cell>
          <cell r="O3157">
            <v>31985348</v>
          </cell>
          <cell r="P3157">
            <v>31758362</v>
          </cell>
          <cell r="Q3157">
            <v>296361741</v>
          </cell>
          <cell r="R3157">
            <v>48596950</v>
          </cell>
          <cell r="S3157">
            <v>29461950</v>
          </cell>
          <cell r="T3157">
            <v>12375889</v>
          </cell>
          <cell r="U3157">
            <v>0</v>
          </cell>
          <cell r="V3157">
            <v>22307596</v>
          </cell>
          <cell r="W3157">
            <v>38520662</v>
          </cell>
          <cell r="X3157">
            <v>52658581</v>
          </cell>
          <cell r="Y3157">
            <v>31631805</v>
          </cell>
          <cell r="Z3157">
            <v>74511950</v>
          </cell>
          <cell r="AA3157">
            <v>28211950</v>
          </cell>
          <cell r="AB3157">
            <v>35995678</v>
          </cell>
          <cell r="AC3157">
            <v>33211950</v>
          </cell>
          <cell r="AD3157">
            <v>32301040</v>
          </cell>
          <cell r="AE3157">
            <v>4706370</v>
          </cell>
          <cell r="AF3157">
            <v>32696950</v>
          </cell>
          <cell r="AG3157">
            <v>29211950</v>
          </cell>
          <cell r="AH3157">
            <v>23800000</v>
          </cell>
          <cell r="AI3157">
            <v>0</v>
          </cell>
        </row>
        <row r="3158">
          <cell r="A3158">
            <v>406011003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38000000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</row>
        <row r="3159">
          <cell r="A3159">
            <v>406011004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</row>
        <row r="3160">
          <cell r="A3160">
            <v>406011100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37200000</v>
          </cell>
          <cell r="I3160">
            <v>2621636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33000000</v>
          </cell>
          <cell r="U3160">
            <v>0</v>
          </cell>
          <cell r="V3160">
            <v>0</v>
          </cell>
          <cell r="W3160">
            <v>111033334</v>
          </cell>
          <cell r="X3160">
            <v>25660000</v>
          </cell>
          <cell r="Y3160">
            <v>0</v>
          </cell>
          <cell r="Z3160">
            <v>57000000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</row>
        <row r="3161">
          <cell r="A3161">
            <v>406011101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</row>
        <row r="3162">
          <cell r="A3162">
            <v>406011102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37200000</v>
          </cell>
          <cell r="I3162">
            <v>2621636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33000000</v>
          </cell>
          <cell r="U3162">
            <v>0</v>
          </cell>
          <cell r="V3162">
            <v>0</v>
          </cell>
          <cell r="W3162">
            <v>111033334</v>
          </cell>
          <cell r="X3162">
            <v>25660000</v>
          </cell>
          <cell r="Y3162">
            <v>0</v>
          </cell>
          <cell r="Z3162">
            <v>57000000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</row>
        <row r="3163">
          <cell r="A3163">
            <v>406011103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</row>
        <row r="3164">
          <cell r="A3164">
            <v>406011104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</row>
        <row r="3165">
          <cell r="A3165">
            <v>406011200</v>
          </cell>
          <cell r="C3165">
            <v>388806626</v>
          </cell>
          <cell r="D3165">
            <v>469278812</v>
          </cell>
          <cell r="E3165">
            <v>111300000</v>
          </cell>
          <cell r="F3165">
            <v>420700</v>
          </cell>
          <cell r="G3165">
            <v>24975000</v>
          </cell>
          <cell r="H3165">
            <v>76320546</v>
          </cell>
          <cell r="I3165">
            <v>17808185</v>
          </cell>
          <cell r="J3165">
            <v>0</v>
          </cell>
          <cell r="K3165">
            <v>6450</v>
          </cell>
          <cell r="L3165">
            <v>1357447</v>
          </cell>
          <cell r="M3165">
            <v>0</v>
          </cell>
          <cell r="N3165">
            <v>58186988</v>
          </cell>
          <cell r="O3165">
            <v>56127212</v>
          </cell>
          <cell r="P3165">
            <v>3343839</v>
          </cell>
          <cell r="Q3165">
            <v>103884081</v>
          </cell>
          <cell r="R3165">
            <v>126345140</v>
          </cell>
          <cell r="S3165">
            <v>3000000</v>
          </cell>
          <cell r="T3165">
            <v>150100000</v>
          </cell>
          <cell r="U3165">
            <v>0</v>
          </cell>
          <cell r="V3165">
            <v>108421812</v>
          </cell>
          <cell r="W3165">
            <v>88348890</v>
          </cell>
          <cell r="X3165">
            <v>36790223</v>
          </cell>
          <cell r="Y3165">
            <v>0</v>
          </cell>
          <cell r="Z3165">
            <v>7310000</v>
          </cell>
          <cell r="AA3165">
            <v>300000</v>
          </cell>
          <cell r="AB3165">
            <v>55949518</v>
          </cell>
          <cell r="AC3165">
            <v>2000000</v>
          </cell>
          <cell r="AD3165">
            <v>17620000</v>
          </cell>
          <cell r="AE3165">
            <v>0</v>
          </cell>
          <cell r="AF3165">
            <v>44541943</v>
          </cell>
          <cell r="AG3165">
            <v>8419455</v>
          </cell>
          <cell r="AH3165">
            <v>9950000</v>
          </cell>
          <cell r="AI3165">
            <v>0</v>
          </cell>
        </row>
        <row r="3166">
          <cell r="A3166">
            <v>406011201</v>
          </cell>
          <cell r="C3166">
            <v>0</v>
          </cell>
          <cell r="D3166">
            <v>0</v>
          </cell>
          <cell r="E3166">
            <v>100000000</v>
          </cell>
          <cell r="F3166">
            <v>2804</v>
          </cell>
          <cell r="G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6450</v>
          </cell>
          <cell r="L3166">
            <v>0</v>
          </cell>
          <cell r="M3166">
            <v>0</v>
          </cell>
          <cell r="N3166">
            <v>0</v>
          </cell>
          <cell r="O3166">
            <v>559699</v>
          </cell>
          <cell r="P3166">
            <v>118114</v>
          </cell>
          <cell r="Q3166">
            <v>103884081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623655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</row>
        <row r="3167">
          <cell r="A3167">
            <v>406011202</v>
          </cell>
          <cell r="C3167">
            <v>388806626</v>
          </cell>
          <cell r="D3167">
            <v>469278812</v>
          </cell>
          <cell r="E3167">
            <v>11300000</v>
          </cell>
          <cell r="F3167">
            <v>417896</v>
          </cell>
          <cell r="G3167">
            <v>24975000</v>
          </cell>
          <cell r="H3167">
            <v>76320546</v>
          </cell>
          <cell r="I3167">
            <v>17808185</v>
          </cell>
          <cell r="J3167">
            <v>0</v>
          </cell>
          <cell r="K3167">
            <v>0</v>
          </cell>
          <cell r="L3167">
            <v>1357447</v>
          </cell>
          <cell r="M3167">
            <v>0</v>
          </cell>
          <cell r="N3167">
            <v>58186988</v>
          </cell>
          <cell r="O3167">
            <v>55567513</v>
          </cell>
          <cell r="P3167">
            <v>3225725</v>
          </cell>
          <cell r="Q3167">
            <v>0</v>
          </cell>
          <cell r="R3167">
            <v>126345140</v>
          </cell>
          <cell r="S3167">
            <v>3000000</v>
          </cell>
          <cell r="T3167">
            <v>150100000</v>
          </cell>
          <cell r="U3167">
            <v>0</v>
          </cell>
          <cell r="V3167">
            <v>108421812</v>
          </cell>
          <cell r="W3167">
            <v>88348890</v>
          </cell>
          <cell r="X3167">
            <v>36790223</v>
          </cell>
          <cell r="Y3167">
            <v>0</v>
          </cell>
          <cell r="Z3167">
            <v>7310000</v>
          </cell>
          <cell r="AA3167">
            <v>300000</v>
          </cell>
          <cell r="AB3167">
            <v>55325863</v>
          </cell>
          <cell r="AC3167">
            <v>2000000</v>
          </cell>
          <cell r="AD3167">
            <v>17620000</v>
          </cell>
          <cell r="AE3167">
            <v>0</v>
          </cell>
          <cell r="AF3167">
            <v>44541943</v>
          </cell>
          <cell r="AG3167">
            <v>8419455</v>
          </cell>
          <cell r="AH3167">
            <v>9950000</v>
          </cell>
          <cell r="AI3167">
            <v>0</v>
          </cell>
        </row>
        <row r="3168">
          <cell r="A3168">
            <v>406011203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</row>
        <row r="3169">
          <cell r="A3169">
            <v>406011204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</row>
        <row r="3170">
          <cell r="A3170">
            <v>406011300</v>
          </cell>
          <cell r="C3170">
            <v>50944</v>
          </cell>
          <cell r="D3170">
            <v>100000000</v>
          </cell>
          <cell r="E3170">
            <v>0</v>
          </cell>
          <cell r="F3170">
            <v>1301476</v>
          </cell>
          <cell r="G3170">
            <v>259482932</v>
          </cell>
          <cell r="H3170">
            <v>293445382</v>
          </cell>
          <cell r="I3170">
            <v>0</v>
          </cell>
          <cell r="J3170">
            <v>3100000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43217</v>
          </cell>
          <cell r="P3170">
            <v>0</v>
          </cell>
          <cell r="Q3170">
            <v>100000000</v>
          </cell>
          <cell r="R3170">
            <v>22261928</v>
          </cell>
          <cell r="S3170">
            <v>28752109</v>
          </cell>
          <cell r="T3170">
            <v>7700000</v>
          </cell>
          <cell r="U3170">
            <v>68788500</v>
          </cell>
          <cell r="V3170">
            <v>1630200</v>
          </cell>
          <cell r="W3170">
            <v>4725778</v>
          </cell>
          <cell r="X3170">
            <v>13378122</v>
          </cell>
          <cell r="Y3170">
            <v>5031600</v>
          </cell>
          <cell r="Z3170">
            <v>0</v>
          </cell>
          <cell r="AA3170">
            <v>0</v>
          </cell>
          <cell r="AB3170">
            <v>172816</v>
          </cell>
          <cell r="AC3170">
            <v>98500000</v>
          </cell>
          <cell r="AD3170">
            <v>100503640</v>
          </cell>
          <cell r="AE3170">
            <v>5193070</v>
          </cell>
          <cell r="AF3170">
            <v>5478400</v>
          </cell>
          <cell r="AG3170">
            <v>4051080</v>
          </cell>
          <cell r="AH3170">
            <v>5250000</v>
          </cell>
          <cell r="AI3170">
            <v>0</v>
          </cell>
        </row>
        <row r="3171">
          <cell r="A3171">
            <v>406011301</v>
          </cell>
          <cell r="C3171">
            <v>0</v>
          </cell>
          <cell r="D3171">
            <v>0</v>
          </cell>
          <cell r="E3171">
            <v>0</v>
          </cell>
          <cell r="F3171">
            <v>88298</v>
          </cell>
          <cell r="G3171">
            <v>452399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43217</v>
          </cell>
          <cell r="P3171">
            <v>0</v>
          </cell>
          <cell r="Q3171">
            <v>100000000</v>
          </cell>
          <cell r="R3171">
            <v>0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172816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</row>
        <row r="3172">
          <cell r="A3172">
            <v>406011302</v>
          </cell>
          <cell r="C3172">
            <v>50944</v>
          </cell>
          <cell r="D3172">
            <v>100000000</v>
          </cell>
          <cell r="E3172">
            <v>0</v>
          </cell>
          <cell r="F3172">
            <v>1213178</v>
          </cell>
          <cell r="G3172">
            <v>259030533</v>
          </cell>
          <cell r="H3172">
            <v>293445382</v>
          </cell>
          <cell r="I3172">
            <v>0</v>
          </cell>
          <cell r="J3172">
            <v>3100000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7699128</v>
          </cell>
          <cell r="S3172">
            <v>28752109</v>
          </cell>
          <cell r="T3172">
            <v>7700000</v>
          </cell>
          <cell r="U3172">
            <v>0</v>
          </cell>
          <cell r="V3172">
            <v>1630200</v>
          </cell>
          <cell r="W3172">
            <v>4725778</v>
          </cell>
          <cell r="X3172">
            <v>13378122</v>
          </cell>
          <cell r="Y3172">
            <v>5031600</v>
          </cell>
          <cell r="Z3172">
            <v>0</v>
          </cell>
          <cell r="AA3172">
            <v>0</v>
          </cell>
          <cell r="AB3172">
            <v>0</v>
          </cell>
          <cell r="AC3172">
            <v>98500000</v>
          </cell>
          <cell r="AD3172">
            <v>503640</v>
          </cell>
          <cell r="AE3172">
            <v>5193070</v>
          </cell>
          <cell r="AF3172">
            <v>5478400</v>
          </cell>
          <cell r="AG3172">
            <v>4051080</v>
          </cell>
          <cell r="AH3172">
            <v>5250000</v>
          </cell>
          <cell r="AI3172">
            <v>0</v>
          </cell>
        </row>
        <row r="3173">
          <cell r="A3173">
            <v>406011303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14562800</v>
          </cell>
          <cell r="S3173">
            <v>0</v>
          </cell>
          <cell r="T3173">
            <v>0</v>
          </cell>
          <cell r="U3173">
            <v>68788500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100000000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</row>
        <row r="3174">
          <cell r="A3174">
            <v>406011304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</row>
        <row r="3175">
          <cell r="A3175">
            <v>406012000</v>
          </cell>
          <cell r="C3175">
            <v>7921390</v>
          </cell>
          <cell r="D3175">
            <v>55230737</v>
          </cell>
          <cell r="E3175">
            <v>64408119</v>
          </cell>
          <cell r="F3175">
            <v>6694663</v>
          </cell>
          <cell r="G3175">
            <v>734083739</v>
          </cell>
          <cell r="H3175">
            <v>230172008</v>
          </cell>
          <cell r="I3175">
            <v>1820000</v>
          </cell>
          <cell r="J3175">
            <v>0</v>
          </cell>
          <cell r="K3175">
            <v>55356086</v>
          </cell>
          <cell r="L3175">
            <v>80000000</v>
          </cell>
          <cell r="M3175">
            <v>0</v>
          </cell>
          <cell r="N3175">
            <v>645059320</v>
          </cell>
          <cell r="O3175">
            <v>3955263</v>
          </cell>
          <cell r="P3175">
            <v>0</v>
          </cell>
          <cell r="Q3175">
            <v>0</v>
          </cell>
          <cell r="R3175">
            <v>296582574</v>
          </cell>
          <cell r="S3175">
            <v>0</v>
          </cell>
          <cell r="T3175">
            <v>186874859</v>
          </cell>
          <cell r="U3175">
            <v>0</v>
          </cell>
          <cell r="V3175">
            <v>98035941</v>
          </cell>
          <cell r="W3175">
            <v>1301078</v>
          </cell>
          <cell r="X3175">
            <v>193225377</v>
          </cell>
          <cell r="Y3175">
            <v>524673</v>
          </cell>
          <cell r="Z3175">
            <v>118774334</v>
          </cell>
          <cell r="AA3175">
            <v>0</v>
          </cell>
          <cell r="AB3175">
            <v>595655630</v>
          </cell>
          <cell r="AC3175">
            <v>0</v>
          </cell>
          <cell r="AD3175">
            <v>250000000</v>
          </cell>
          <cell r="AE3175">
            <v>39800175</v>
          </cell>
          <cell r="AF3175">
            <v>300579912</v>
          </cell>
          <cell r="AG3175">
            <v>285963636</v>
          </cell>
          <cell r="AH3175">
            <v>413728715</v>
          </cell>
          <cell r="AI3175">
            <v>0</v>
          </cell>
        </row>
        <row r="3176">
          <cell r="A3176">
            <v>406012001</v>
          </cell>
          <cell r="C3176">
            <v>0</v>
          </cell>
          <cell r="D3176">
            <v>0</v>
          </cell>
          <cell r="E3176">
            <v>0</v>
          </cell>
          <cell r="F3176">
            <v>262686</v>
          </cell>
          <cell r="G3176">
            <v>0</v>
          </cell>
          <cell r="H3176">
            <v>0</v>
          </cell>
          <cell r="I3176">
            <v>1820000</v>
          </cell>
          <cell r="J3176">
            <v>0</v>
          </cell>
          <cell r="K3176">
            <v>1117311</v>
          </cell>
          <cell r="L3176">
            <v>0</v>
          </cell>
          <cell r="M3176">
            <v>0</v>
          </cell>
          <cell r="N3176">
            <v>645059320</v>
          </cell>
          <cell r="O3176">
            <v>29780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3407844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</row>
        <row r="3177">
          <cell r="A3177">
            <v>406012002</v>
          </cell>
          <cell r="C3177">
            <v>7921390</v>
          </cell>
          <cell r="D3177">
            <v>55230737</v>
          </cell>
          <cell r="E3177">
            <v>64408119</v>
          </cell>
          <cell r="F3177">
            <v>6431977</v>
          </cell>
          <cell r="G3177">
            <v>734083739</v>
          </cell>
          <cell r="H3177">
            <v>230172008</v>
          </cell>
          <cell r="I3177">
            <v>0</v>
          </cell>
          <cell r="J3177">
            <v>0</v>
          </cell>
          <cell r="K3177">
            <v>54238775</v>
          </cell>
          <cell r="L3177">
            <v>80000000</v>
          </cell>
          <cell r="M3177">
            <v>0</v>
          </cell>
          <cell r="N3177">
            <v>0</v>
          </cell>
          <cell r="O3177">
            <v>3925483</v>
          </cell>
          <cell r="P3177">
            <v>0</v>
          </cell>
          <cell r="Q3177">
            <v>0</v>
          </cell>
          <cell r="R3177">
            <v>296582574</v>
          </cell>
          <cell r="S3177">
            <v>0</v>
          </cell>
          <cell r="T3177">
            <v>186874859</v>
          </cell>
          <cell r="U3177">
            <v>0</v>
          </cell>
          <cell r="V3177">
            <v>98035941</v>
          </cell>
          <cell r="W3177">
            <v>1301078</v>
          </cell>
          <cell r="X3177">
            <v>193225377</v>
          </cell>
          <cell r="Y3177">
            <v>524673</v>
          </cell>
          <cell r="Z3177">
            <v>118774334</v>
          </cell>
          <cell r="AA3177">
            <v>0</v>
          </cell>
          <cell r="AB3177">
            <v>592247786</v>
          </cell>
          <cell r="AC3177">
            <v>0</v>
          </cell>
          <cell r="AD3177">
            <v>250000000</v>
          </cell>
          <cell r="AE3177">
            <v>39800175</v>
          </cell>
          <cell r="AF3177">
            <v>300579912</v>
          </cell>
          <cell r="AG3177">
            <v>285963636</v>
          </cell>
          <cell r="AH3177">
            <v>413728715</v>
          </cell>
          <cell r="AI3177">
            <v>0</v>
          </cell>
        </row>
        <row r="3178">
          <cell r="A3178">
            <v>406012003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</row>
        <row r="3179">
          <cell r="A3179">
            <v>406012004</v>
          </cell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</row>
        <row r="3180">
          <cell r="A3180">
            <v>407000000</v>
          </cell>
          <cell r="C3180">
            <v>107815130</v>
          </cell>
          <cell r="D3180">
            <v>234949544</v>
          </cell>
          <cell r="E3180">
            <v>73083647</v>
          </cell>
          <cell r="F3180">
            <v>67827274</v>
          </cell>
          <cell r="G3180">
            <v>380283698</v>
          </cell>
          <cell r="H3180">
            <v>750261005</v>
          </cell>
          <cell r="I3180">
            <v>427223935</v>
          </cell>
          <cell r="J3180">
            <v>24199436</v>
          </cell>
          <cell r="K3180">
            <v>26687682</v>
          </cell>
          <cell r="L3180">
            <v>62000000</v>
          </cell>
          <cell r="M3180">
            <v>6369771</v>
          </cell>
          <cell r="N3180">
            <v>337788624</v>
          </cell>
          <cell r="O3180">
            <v>68981818</v>
          </cell>
          <cell r="P3180">
            <v>128929886</v>
          </cell>
          <cell r="Q3180">
            <v>168999718</v>
          </cell>
          <cell r="R3180">
            <v>321742521</v>
          </cell>
          <cell r="S3180">
            <v>45065325</v>
          </cell>
          <cell r="T3180">
            <v>307227107</v>
          </cell>
          <cell r="U3180">
            <v>0</v>
          </cell>
          <cell r="V3180">
            <v>198219423</v>
          </cell>
          <cell r="W3180">
            <v>394511197</v>
          </cell>
          <cell r="X3180">
            <v>242380062</v>
          </cell>
          <cell r="Y3180">
            <v>37576324</v>
          </cell>
          <cell r="Z3180">
            <v>64404667</v>
          </cell>
          <cell r="AA3180">
            <v>80257442</v>
          </cell>
          <cell r="AB3180">
            <v>535355086</v>
          </cell>
          <cell r="AC3180">
            <v>27816528</v>
          </cell>
          <cell r="AD3180">
            <v>736630685</v>
          </cell>
          <cell r="AE3180">
            <v>5360621425</v>
          </cell>
          <cell r="AF3180">
            <v>300924527</v>
          </cell>
          <cell r="AG3180">
            <v>331202795</v>
          </cell>
          <cell r="AH3180">
            <v>462805913</v>
          </cell>
          <cell r="AI3180">
            <v>0</v>
          </cell>
        </row>
        <row r="3181">
          <cell r="A3181">
            <v>407010000</v>
          </cell>
          <cell r="C3181">
            <v>107815130</v>
          </cell>
          <cell r="D3181">
            <v>234949544</v>
          </cell>
          <cell r="E3181">
            <v>73083647</v>
          </cell>
          <cell r="F3181">
            <v>67827274</v>
          </cell>
          <cell r="G3181">
            <v>380283698</v>
          </cell>
          <cell r="H3181">
            <v>750261005</v>
          </cell>
          <cell r="I3181">
            <v>427223935</v>
          </cell>
          <cell r="J3181">
            <v>24199436</v>
          </cell>
          <cell r="K3181">
            <v>26687682</v>
          </cell>
          <cell r="L3181">
            <v>62000000</v>
          </cell>
          <cell r="M3181">
            <v>6369771</v>
          </cell>
          <cell r="N3181">
            <v>337788624</v>
          </cell>
          <cell r="O3181">
            <v>68981818</v>
          </cell>
          <cell r="P3181">
            <v>128929886</v>
          </cell>
          <cell r="Q3181">
            <v>168999718</v>
          </cell>
          <cell r="R3181">
            <v>321742521</v>
          </cell>
          <cell r="S3181">
            <v>45065325</v>
          </cell>
          <cell r="T3181">
            <v>307227107</v>
          </cell>
          <cell r="U3181">
            <v>0</v>
          </cell>
          <cell r="V3181">
            <v>198219423</v>
          </cell>
          <cell r="W3181">
            <v>394511197</v>
          </cell>
          <cell r="X3181">
            <v>242380062</v>
          </cell>
          <cell r="Y3181">
            <v>37576324</v>
          </cell>
          <cell r="Z3181">
            <v>64404667</v>
          </cell>
          <cell r="AA3181">
            <v>80257442</v>
          </cell>
          <cell r="AB3181">
            <v>535355086</v>
          </cell>
          <cell r="AC3181">
            <v>27816528</v>
          </cell>
          <cell r="AD3181">
            <v>736630685</v>
          </cell>
          <cell r="AE3181">
            <v>5360621425</v>
          </cell>
          <cell r="AF3181">
            <v>300924527</v>
          </cell>
          <cell r="AG3181">
            <v>331202795</v>
          </cell>
          <cell r="AH3181">
            <v>462805913</v>
          </cell>
          <cell r="AI3181">
            <v>0</v>
          </cell>
        </row>
        <row r="3182">
          <cell r="A3182">
            <v>407010100</v>
          </cell>
          <cell r="C3182">
            <v>0</v>
          </cell>
          <cell r="D3182">
            <v>9090909</v>
          </cell>
          <cell r="E3182">
            <v>0</v>
          </cell>
          <cell r="F3182">
            <v>0</v>
          </cell>
          <cell r="G3182">
            <v>166468063</v>
          </cell>
          <cell r="H3182">
            <v>0</v>
          </cell>
          <cell r="I3182">
            <v>30942422</v>
          </cell>
          <cell r="J3182">
            <v>4071332</v>
          </cell>
          <cell r="K3182">
            <v>0</v>
          </cell>
          <cell r="L3182">
            <v>0</v>
          </cell>
          <cell r="M3182">
            <v>0</v>
          </cell>
          <cell r="N3182">
            <v>2573550</v>
          </cell>
          <cell r="O3182">
            <v>19345454</v>
          </cell>
          <cell r="P3182">
            <v>0</v>
          </cell>
          <cell r="Q3182">
            <v>2249016</v>
          </cell>
          <cell r="R3182">
            <v>227173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7100000</v>
          </cell>
          <cell r="Y3182">
            <v>0</v>
          </cell>
          <cell r="Z3182">
            <v>15480527</v>
          </cell>
          <cell r="AA3182">
            <v>0</v>
          </cell>
          <cell r="AB3182">
            <v>750000</v>
          </cell>
          <cell r="AC3182">
            <v>0</v>
          </cell>
          <cell r="AD3182">
            <v>0</v>
          </cell>
          <cell r="AE3182">
            <v>3725357884</v>
          </cell>
          <cell r="AF3182">
            <v>15240545</v>
          </cell>
          <cell r="AG3182">
            <v>0</v>
          </cell>
          <cell r="AH3182">
            <v>0</v>
          </cell>
          <cell r="AI3182">
            <v>0</v>
          </cell>
        </row>
        <row r="3183">
          <cell r="A3183">
            <v>407010101</v>
          </cell>
          <cell r="C3183">
            <v>0</v>
          </cell>
          <cell r="D3183">
            <v>9090909</v>
          </cell>
          <cell r="E3183">
            <v>0</v>
          </cell>
          <cell r="F3183">
            <v>0</v>
          </cell>
          <cell r="G3183">
            <v>166468063</v>
          </cell>
          <cell r="H3183">
            <v>0</v>
          </cell>
          <cell r="I3183">
            <v>30942422</v>
          </cell>
          <cell r="J3183">
            <v>4071332</v>
          </cell>
          <cell r="K3183">
            <v>0</v>
          </cell>
          <cell r="L3183">
            <v>0</v>
          </cell>
          <cell r="M3183">
            <v>0</v>
          </cell>
          <cell r="N3183">
            <v>2573550</v>
          </cell>
          <cell r="O3183">
            <v>19345454</v>
          </cell>
          <cell r="P3183">
            <v>0</v>
          </cell>
          <cell r="Q3183">
            <v>2249016</v>
          </cell>
          <cell r="R3183">
            <v>227173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7100000</v>
          </cell>
          <cell r="Y3183">
            <v>0</v>
          </cell>
          <cell r="Z3183">
            <v>15480527</v>
          </cell>
          <cell r="AA3183">
            <v>0</v>
          </cell>
          <cell r="AB3183">
            <v>750000</v>
          </cell>
          <cell r="AC3183">
            <v>0</v>
          </cell>
          <cell r="AD3183">
            <v>0</v>
          </cell>
          <cell r="AE3183">
            <v>3725357884</v>
          </cell>
          <cell r="AF3183">
            <v>15240545</v>
          </cell>
          <cell r="AG3183">
            <v>0</v>
          </cell>
          <cell r="AH3183">
            <v>0</v>
          </cell>
          <cell r="AI3183">
            <v>0</v>
          </cell>
        </row>
        <row r="3184">
          <cell r="A3184">
            <v>407010200</v>
          </cell>
          <cell r="C3184">
            <v>0</v>
          </cell>
          <cell r="D3184">
            <v>0</v>
          </cell>
          <cell r="E3184">
            <v>0</v>
          </cell>
          <cell r="F3184">
            <v>6397273</v>
          </cell>
          <cell r="G3184">
            <v>643500</v>
          </cell>
          <cell r="H3184">
            <v>1000000</v>
          </cell>
          <cell r="I3184">
            <v>5760343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5308760</v>
          </cell>
          <cell r="O3184">
            <v>0</v>
          </cell>
          <cell r="P3184">
            <v>1309091</v>
          </cell>
          <cell r="Q3184">
            <v>153760688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98057138</v>
          </cell>
          <cell r="W3184">
            <v>0</v>
          </cell>
          <cell r="X3184">
            <v>280000</v>
          </cell>
          <cell r="Y3184">
            <v>0</v>
          </cell>
          <cell r="Z3184">
            <v>0</v>
          </cell>
          <cell r="AA3184">
            <v>0</v>
          </cell>
          <cell r="AB3184">
            <v>123353500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10561320</v>
          </cell>
          <cell r="AH3184">
            <v>0</v>
          </cell>
          <cell r="AI3184">
            <v>0</v>
          </cell>
        </row>
        <row r="3185">
          <cell r="A3185">
            <v>407010201</v>
          </cell>
          <cell r="C3185">
            <v>0</v>
          </cell>
          <cell r="D3185">
            <v>0</v>
          </cell>
          <cell r="E3185">
            <v>0</v>
          </cell>
          <cell r="F3185">
            <v>6397273</v>
          </cell>
          <cell r="G3185">
            <v>643500</v>
          </cell>
          <cell r="H3185">
            <v>1000000</v>
          </cell>
          <cell r="I3185">
            <v>5760343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5308760</v>
          </cell>
          <cell r="O3185">
            <v>0</v>
          </cell>
          <cell r="P3185">
            <v>1309091</v>
          </cell>
          <cell r="Q3185">
            <v>153760688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98057138</v>
          </cell>
          <cell r="W3185">
            <v>0</v>
          </cell>
          <cell r="X3185">
            <v>280000</v>
          </cell>
          <cell r="Y3185">
            <v>0</v>
          </cell>
          <cell r="Z3185">
            <v>0</v>
          </cell>
          <cell r="AA3185">
            <v>0</v>
          </cell>
          <cell r="AB3185">
            <v>123353500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10561320</v>
          </cell>
          <cell r="AH3185">
            <v>0</v>
          </cell>
          <cell r="AI3185">
            <v>0</v>
          </cell>
        </row>
        <row r="3186">
          <cell r="A3186">
            <v>407010300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98182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2000000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</row>
        <row r="3187">
          <cell r="A3187">
            <v>407010301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98182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2000000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</row>
        <row r="3188">
          <cell r="A3188">
            <v>407010400</v>
          </cell>
          <cell r="C3188">
            <v>103470000</v>
          </cell>
          <cell r="D3188">
            <v>181177307</v>
          </cell>
          <cell r="E3188">
            <v>26863647</v>
          </cell>
          <cell r="F3188">
            <v>61430001</v>
          </cell>
          <cell r="G3188">
            <v>31917588</v>
          </cell>
          <cell r="H3188">
            <v>731569859</v>
          </cell>
          <cell r="I3188">
            <v>372577682</v>
          </cell>
          <cell r="J3188">
            <v>19528104</v>
          </cell>
          <cell r="K3188">
            <v>26687682</v>
          </cell>
          <cell r="L3188">
            <v>62000000</v>
          </cell>
          <cell r="M3188">
            <v>6369771</v>
          </cell>
          <cell r="N3188">
            <v>323906314</v>
          </cell>
          <cell r="O3188">
            <v>49636364</v>
          </cell>
          <cell r="P3188">
            <v>127620795</v>
          </cell>
          <cell r="Q3188">
            <v>12990014</v>
          </cell>
          <cell r="R3188">
            <v>263836135</v>
          </cell>
          <cell r="S3188">
            <v>45065325</v>
          </cell>
          <cell r="T3188">
            <v>277128925</v>
          </cell>
          <cell r="U3188">
            <v>0</v>
          </cell>
          <cell r="V3188">
            <v>98892285</v>
          </cell>
          <cell r="W3188">
            <v>394329379</v>
          </cell>
          <cell r="X3188">
            <v>235000062</v>
          </cell>
          <cell r="Y3188">
            <v>37576324</v>
          </cell>
          <cell r="Z3188">
            <v>48924140</v>
          </cell>
          <cell r="AA3188">
            <v>78257442</v>
          </cell>
          <cell r="AB3188">
            <v>403375222</v>
          </cell>
          <cell r="AC3188">
            <v>8271073</v>
          </cell>
          <cell r="AD3188">
            <v>336899482</v>
          </cell>
          <cell r="AE3188">
            <v>1562790376</v>
          </cell>
          <cell r="AF3188">
            <v>137806182</v>
          </cell>
          <cell r="AG3188">
            <v>320641475</v>
          </cell>
          <cell r="AH3188">
            <v>462805913</v>
          </cell>
          <cell r="AI3188">
            <v>0</v>
          </cell>
        </row>
        <row r="3189">
          <cell r="A3189">
            <v>407010401</v>
          </cell>
          <cell r="C3189">
            <v>103470000</v>
          </cell>
          <cell r="D3189">
            <v>181177307</v>
          </cell>
          <cell r="E3189">
            <v>26863647</v>
          </cell>
          <cell r="F3189">
            <v>61430001</v>
          </cell>
          <cell r="G3189">
            <v>31917588</v>
          </cell>
          <cell r="H3189">
            <v>731569859</v>
          </cell>
          <cell r="I3189">
            <v>372577682</v>
          </cell>
          <cell r="J3189">
            <v>19528104</v>
          </cell>
          <cell r="K3189">
            <v>26687682</v>
          </cell>
          <cell r="L3189">
            <v>62000000</v>
          </cell>
          <cell r="M3189">
            <v>6369771</v>
          </cell>
          <cell r="N3189">
            <v>323906314</v>
          </cell>
          <cell r="O3189">
            <v>49636364</v>
          </cell>
          <cell r="P3189">
            <v>127620795</v>
          </cell>
          <cell r="Q3189">
            <v>12990014</v>
          </cell>
          <cell r="R3189">
            <v>263836135</v>
          </cell>
          <cell r="S3189">
            <v>45065325</v>
          </cell>
          <cell r="T3189">
            <v>277128925</v>
          </cell>
          <cell r="U3189">
            <v>0</v>
          </cell>
          <cell r="V3189">
            <v>98892285</v>
          </cell>
          <cell r="W3189">
            <v>394329379</v>
          </cell>
          <cell r="X3189">
            <v>235000062</v>
          </cell>
          <cell r="Y3189">
            <v>37576324</v>
          </cell>
          <cell r="Z3189">
            <v>48924140</v>
          </cell>
          <cell r="AA3189">
            <v>78257442</v>
          </cell>
          <cell r="AB3189">
            <v>403375222</v>
          </cell>
          <cell r="AC3189">
            <v>8271073</v>
          </cell>
          <cell r="AD3189">
            <v>336899482</v>
          </cell>
          <cell r="AE3189">
            <v>1562790376</v>
          </cell>
          <cell r="AF3189">
            <v>137806182</v>
          </cell>
          <cell r="AG3189">
            <v>320641475</v>
          </cell>
          <cell r="AH3189">
            <v>462805913</v>
          </cell>
          <cell r="AI3189">
            <v>0</v>
          </cell>
        </row>
        <row r="3190">
          <cell r="A3190">
            <v>407010500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</row>
        <row r="3191">
          <cell r="A3191">
            <v>407010501</v>
          </cell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</row>
        <row r="3192">
          <cell r="A3192">
            <v>407010600</v>
          </cell>
          <cell r="C3192">
            <v>0</v>
          </cell>
          <cell r="D3192">
            <v>6580000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43000000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600000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</row>
        <row r="3193">
          <cell r="A3193">
            <v>407010601</v>
          </cell>
          <cell r="C3193">
            <v>0</v>
          </cell>
          <cell r="D3193">
            <v>6580000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43000000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600000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</row>
        <row r="3194">
          <cell r="A3194">
            <v>407010700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900000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</row>
        <row r="3195">
          <cell r="A3195">
            <v>407010701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900000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</row>
        <row r="3196">
          <cell r="A3196">
            <v>407010800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</row>
        <row r="3197">
          <cell r="A3197">
            <v>407010801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</row>
        <row r="3198">
          <cell r="A3198">
            <v>407010900</v>
          </cell>
          <cell r="C3198">
            <v>3500000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  <cell r="I3198">
            <v>17943488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14679213</v>
          </cell>
          <cell r="S3198">
            <v>0</v>
          </cell>
          <cell r="T3198">
            <v>0</v>
          </cell>
          <cell r="U3198">
            <v>0</v>
          </cell>
          <cell r="V3198">
            <v>1000000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7276364</v>
          </cell>
          <cell r="AC3198">
            <v>0</v>
          </cell>
          <cell r="AD3198">
            <v>272727</v>
          </cell>
          <cell r="AE3198">
            <v>0</v>
          </cell>
          <cell r="AF3198">
            <v>147677800</v>
          </cell>
          <cell r="AG3198">
            <v>0</v>
          </cell>
          <cell r="AH3198">
            <v>0</v>
          </cell>
          <cell r="AI3198">
            <v>0</v>
          </cell>
        </row>
        <row r="3199">
          <cell r="A3199">
            <v>407010901</v>
          </cell>
          <cell r="C3199">
            <v>3500000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  <cell r="I3199">
            <v>17943488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14679213</v>
          </cell>
          <cell r="S3199">
            <v>0</v>
          </cell>
          <cell r="T3199">
            <v>0</v>
          </cell>
          <cell r="U3199">
            <v>0</v>
          </cell>
          <cell r="V3199">
            <v>1000000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7276364</v>
          </cell>
          <cell r="AC3199">
            <v>0</v>
          </cell>
          <cell r="AD3199">
            <v>272727</v>
          </cell>
          <cell r="AE3199">
            <v>0</v>
          </cell>
          <cell r="AF3199">
            <v>147677800</v>
          </cell>
          <cell r="AG3199">
            <v>0</v>
          </cell>
          <cell r="AH3199">
            <v>0</v>
          </cell>
          <cell r="AI3199">
            <v>0</v>
          </cell>
        </row>
        <row r="3200">
          <cell r="A3200">
            <v>407011000</v>
          </cell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270000</v>
          </cell>
          <cell r="W3200">
            <v>181818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1000800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</row>
        <row r="3201">
          <cell r="A3201">
            <v>407011001</v>
          </cell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270000</v>
          </cell>
          <cell r="W3201">
            <v>181818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1000800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</row>
        <row r="3202">
          <cell r="A3202">
            <v>407011100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</row>
        <row r="3203">
          <cell r="A3203">
            <v>407011101</v>
          </cell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</row>
        <row r="3204">
          <cell r="A3204">
            <v>407011200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71472365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</row>
        <row r="3205">
          <cell r="A3205">
            <v>407011201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71472365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</row>
        <row r="3206">
          <cell r="A3206">
            <v>407011300</v>
          </cell>
          <cell r="C3206">
            <v>845130</v>
          </cell>
          <cell r="D3206">
            <v>38101328</v>
          </cell>
          <cell r="E3206">
            <v>46220000</v>
          </cell>
          <cell r="F3206">
            <v>0</v>
          </cell>
          <cell r="G3206">
            <v>180354547</v>
          </cell>
          <cell r="H3206">
            <v>17691146</v>
          </cell>
          <cell r="I3206">
            <v>0</v>
          </cell>
          <cell r="J3206">
            <v>600000</v>
          </cell>
          <cell r="K3206">
            <v>0</v>
          </cell>
          <cell r="L3206">
            <v>0</v>
          </cell>
          <cell r="M3206">
            <v>0</v>
          </cell>
          <cell r="N3206">
            <v>6000000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30000000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19545455</v>
          </cell>
          <cell r="AD3206">
            <v>399458476</v>
          </cell>
          <cell r="AE3206">
            <v>0</v>
          </cell>
          <cell r="AF3206">
            <v>200000</v>
          </cell>
          <cell r="AG3206">
            <v>0</v>
          </cell>
          <cell r="AH3206">
            <v>0</v>
          </cell>
          <cell r="AI3206">
            <v>0</v>
          </cell>
        </row>
        <row r="3207">
          <cell r="A3207">
            <v>407011301</v>
          </cell>
          <cell r="C3207">
            <v>845130</v>
          </cell>
          <cell r="D3207">
            <v>38101328</v>
          </cell>
          <cell r="E3207">
            <v>46220000</v>
          </cell>
          <cell r="F3207">
            <v>0</v>
          </cell>
          <cell r="G3207">
            <v>180354547</v>
          </cell>
          <cell r="H3207">
            <v>17691146</v>
          </cell>
          <cell r="I3207">
            <v>0</v>
          </cell>
          <cell r="J3207">
            <v>600000</v>
          </cell>
          <cell r="K3207">
            <v>0</v>
          </cell>
          <cell r="L3207">
            <v>0</v>
          </cell>
          <cell r="M3207">
            <v>0</v>
          </cell>
          <cell r="N3207">
            <v>6000000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30000000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19545455</v>
          </cell>
          <cell r="AD3207">
            <v>399458476</v>
          </cell>
          <cell r="AE3207">
            <v>0</v>
          </cell>
          <cell r="AF3207">
            <v>200000</v>
          </cell>
          <cell r="AG3207">
            <v>0</v>
          </cell>
          <cell r="AH3207">
            <v>0</v>
          </cell>
          <cell r="AI3207">
            <v>0</v>
          </cell>
        </row>
        <row r="3208">
          <cell r="A3208">
            <v>407012000</v>
          </cell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</row>
        <row r="3209">
          <cell r="A3209">
            <v>407012001</v>
          </cell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</row>
        <row r="3210">
          <cell r="A3210">
            <v>408000000</v>
          </cell>
          <cell r="C3210">
            <v>0</v>
          </cell>
          <cell r="D3210">
            <v>345630780</v>
          </cell>
          <cell r="E3210">
            <v>520651508</v>
          </cell>
          <cell r="F3210">
            <v>238859712</v>
          </cell>
          <cell r="G3210">
            <v>0</v>
          </cell>
          <cell r="H3210">
            <v>250283479</v>
          </cell>
          <cell r="I3210">
            <v>459046884</v>
          </cell>
          <cell r="J3210">
            <v>0</v>
          </cell>
          <cell r="K3210">
            <v>0</v>
          </cell>
          <cell r="L3210">
            <v>7959853</v>
          </cell>
          <cell r="M3210">
            <v>38560954</v>
          </cell>
          <cell r="N3210">
            <v>239573587</v>
          </cell>
          <cell r="O3210">
            <v>195562484</v>
          </cell>
          <cell r="P3210">
            <v>0</v>
          </cell>
          <cell r="Q3210">
            <v>0</v>
          </cell>
          <cell r="R3210">
            <v>32535234</v>
          </cell>
          <cell r="S3210">
            <v>0</v>
          </cell>
          <cell r="T3210">
            <v>0</v>
          </cell>
          <cell r="U3210">
            <v>0</v>
          </cell>
          <cell r="V3210">
            <v>292523340</v>
          </cell>
          <cell r="W3210">
            <v>789954178</v>
          </cell>
          <cell r="X3210">
            <v>6803747</v>
          </cell>
          <cell r="Y3210">
            <v>28249115</v>
          </cell>
          <cell r="Z3210">
            <v>375000000</v>
          </cell>
          <cell r="AA3210">
            <v>11397420</v>
          </cell>
          <cell r="AB3210">
            <v>173409102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</row>
        <row r="3211">
          <cell r="A3211">
            <v>408010000</v>
          </cell>
          <cell r="C3211">
            <v>0</v>
          </cell>
          <cell r="D3211">
            <v>345630780</v>
          </cell>
          <cell r="E3211">
            <v>520651508</v>
          </cell>
          <cell r="F3211">
            <v>160259430</v>
          </cell>
          <cell r="G3211">
            <v>0</v>
          </cell>
          <cell r="H3211">
            <v>250283479</v>
          </cell>
          <cell r="I3211">
            <v>459046884</v>
          </cell>
          <cell r="J3211">
            <v>0</v>
          </cell>
          <cell r="K3211">
            <v>0</v>
          </cell>
          <cell r="L3211">
            <v>7959853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32535234</v>
          </cell>
          <cell r="S3211">
            <v>0</v>
          </cell>
          <cell r="T3211">
            <v>0</v>
          </cell>
          <cell r="U3211">
            <v>0</v>
          </cell>
          <cell r="V3211">
            <v>292523340</v>
          </cell>
          <cell r="W3211">
            <v>369291680</v>
          </cell>
          <cell r="X3211">
            <v>6803747</v>
          </cell>
          <cell r="Y3211">
            <v>0</v>
          </cell>
          <cell r="Z3211">
            <v>0</v>
          </cell>
          <cell r="AA3211">
            <v>11397420</v>
          </cell>
          <cell r="AB3211">
            <v>173409102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</row>
        <row r="3212">
          <cell r="A3212">
            <v>408010100</v>
          </cell>
          <cell r="C3212">
            <v>0</v>
          </cell>
          <cell r="D3212">
            <v>8279156</v>
          </cell>
          <cell r="E3212">
            <v>166039495</v>
          </cell>
          <cell r="F3212">
            <v>160259430</v>
          </cell>
          <cell r="G3212">
            <v>0</v>
          </cell>
          <cell r="H3212">
            <v>44193645</v>
          </cell>
          <cell r="I3212">
            <v>227273</v>
          </cell>
          <cell r="J3212">
            <v>0</v>
          </cell>
          <cell r="K3212">
            <v>0</v>
          </cell>
          <cell r="L3212">
            <v>7959853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265640</v>
          </cell>
          <cell r="S3212">
            <v>0</v>
          </cell>
          <cell r="T3212">
            <v>0</v>
          </cell>
          <cell r="U3212">
            <v>0</v>
          </cell>
          <cell r="V3212">
            <v>29607687</v>
          </cell>
          <cell r="W3212">
            <v>0</v>
          </cell>
          <cell r="X3212">
            <v>15400</v>
          </cell>
          <cell r="Y3212">
            <v>0</v>
          </cell>
          <cell r="Z3212">
            <v>0</v>
          </cell>
          <cell r="AA3212">
            <v>11397420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</row>
        <row r="3213">
          <cell r="A3213">
            <v>408010101</v>
          </cell>
          <cell r="C3213">
            <v>0</v>
          </cell>
          <cell r="D3213">
            <v>8279156</v>
          </cell>
          <cell r="E3213">
            <v>166039495</v>
          </cell>
          <cell r="F3213">
            <v>160259430</v>
          </cell>
          <cell r="G3213">
            <v>0</v>
          </cell>
          <cell r="H3213">
            <v>44193645</v>
          </cell>
          <cell r="I3213">
            <v>227273</v>
          </cell>
          <cell r="J3213">
            <v>0</v>
          </cell>
          <cell r="K3213">
            <v>0</v>
          </cell>
          <cell r="L3213">
            <v>7959853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265640</v>
          </cell>
          <cell r="S3213">
            <v>0</v>
          </cell>
          <cell r="T3213">
            <v>0</v>
          </cell>
          <cell r="U3213">
            <v>0</v>
          </cell>
          <cell r="V3213">
            <v>29607687</v>
          </cell>
          <cell r="W3213">
            <v>0</v>
          </cell>
          <cell r="X3213">
            <v>15400</v>
          </cell>
          <cell r="Y3213">
            <v>0</v>
          </cell>
          <cell r="Z3213">
            <v>0</v>
          </cell>
          <cell r="AA3213">
            <v>11397420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</row>
        <row r="3214">
          <cell r="A3214">
            <v>408010200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61257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</row>
        <row r="3215">
          <cell r="A3215">
            <v>408010201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61257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</row>
        <row r="3216">
          <cell r="A3216">
            <v>408010300</v>
          </cell>
          <cell r="C3216">
            <v>0</v>
          </cell>
          <cell r="D3216">
            <v>0</v>
          </cell>
          <cell r="E3216">
            <v>51388889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</row>
        <row r="3217">
          <cell r="A3217">
            <v>408010301</v>
          </cell>
          <cell r="C3217">
            <v>0</v>
          </cell>
          <cell r="D3217">
            <v>0</v>
          </cell>
          <cell r="E3217">
            <v>51388889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</row>
        <row r="3218">
          <cell r="A3218">
            <v>408010400</v>
          </cell>
          <cell r="C3218">
            <v>0</v>
          </cell>
          <cell r="D3218">
            <v>337351624</v>
          </cell>
          <cell r="E3218">
            <v>178380188</v>
          </cell>
          <cell r="F3218">
            <v>0</v>
          </cell>
          <cell r="G3218">
            <v>0</v>
          </cell>
          <cell r="H3218">
            <v>52168993</v>
          </cell>
          <cell r="I3218">
            <v>289942977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32269594</v>
          </cell>
          <cell r="S3218">
            <v>0</v>
          </cell>
          <cell r="T3218">
            <v>0</v>
          </cell>
          <cell r="U3218">
            <v>0</v>
          </cell>
          <cell r="V3218">
            <v>195823477</v>
          </cell>
          <cell r="W3218">
            <v>369291680</v>
          </cell>
          <cell r="X3218">
            <v>6788347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</row>
        <row r="3219">
          <cell r="A3219">
            <v>408010401</v>
          </cell>
          <cell r="C3219">
            <v>0</v>
          </cell>
          <cell r="D3219">
            <v>337351624</v>
          </cell>
          <cell r="E3219">
            <v>178380188</v>
          </cell>
          <cell r="F3219">
            <v>0</v>
          </cell>
          <cell r="G3219">
            <v>0</v>
          </cell>
          <cell r="H3219">
            <v>52168993</v>
          </cell>
          <cell r="I3219">
            <v>289942977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32269594</v>
          </cell>
          <cell r="S3219">
            <v>0</v>
          </cell>
          <cell r="T3219">
            <v>0</v>
          </cell>
          <cell r="U3219">
            <v>0</v>
          </cell>
          <cell r="V3219">
            <v>195823477</v>
          </cell>
          <cell r="W3219">
            <v>369291680</v>
          </cell>
          <cell r="X3219">
            <v>6788347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</row>
        <row r="3220">
          <cell r="A3220">
            <v>408010500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</row>
        <row r="3221">
          <cell r="A3221">
            <v>408010501</v>
          </cell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</row>
        <row r="3222">
          <cell r="A3222">
            <v>408010600</v>
          </cell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G3222">
            <v>0</v>
          </cell>
          <cell r="H3222">
            <v>296040</v>
          </cell>
          <cell r="I3222">
            <v>21576080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111019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</row>
        <row r="3223">
          <cell r="A3223">
            <v>408010601</v>
          </cell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296040</v>
          </cell>
          <cell r="I3223">
            <v>21576080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111019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</row>
        <row r="3224">
          <cell r="A3224">
            <v>408010700</v>
          </cell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G3224">
            <v>0</v>
          </cell>
          <cell r="H3224">
            <v>8712268</v>
          </cell>
          <cell r="I3224">
            <v>190909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119136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</row>
        <row r="3225">
          <cell r="A3225">
            <v>408010701</v>
          </cell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8712268</v>
          </cell>
          <cell r="I3225">
            <v>190909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119136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</row>
        <row r="3226">
          <cell r="A3226">
            <v>408010800</v>
          </cell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</row>
        <row r="3227">
          <cell r="A3227">
            <v>408010801</v>
          </cell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</row>
        <row r="3228">
          <cell r="A3228">
            <v>408010900</v>
          </cell>
          <cell r="C3228">
            <v>0</v>
          </cell>
          <cell r="D3228">
            <v>0</v>
          </cell>
          <cell r="E3228">
            <v>1005270</v>
          </cell>
          <cell r="F3228">
            <v>0</v>
          </cell>
          <cell r="G3228">
            <v>0</v>
          </cell>
          <cell r="H3228">
            <v>0</v>
          </cell>
          <cell r="I3228">
            <v>133134102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7011770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</row>
        <row r="3229">
          <cell r="A3229">
            <v>408010901</v>
          </cell>
          <cell r="C3229">
            <v>0</v>
          </cell>
          <cell r="D3229">
            <v>0</v>
          </cell>
          <cell r="E3229">
            <v>1005270</v>
          </cell>
          <cell r="F3229">
            <v>0</v>
          </cell>
          <cell r="G3229">
            <v>0</v>
          </cell>
          <cell r="H3229">
            <v>0</v>
          </cell>
          <cell r="I3229">
            <v>133134102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7011770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</row>
        <row r="3230">
          <cell r="A3230">
            <v>408011000</v>
          </cell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G3230">
            <v>0</v>
          </cell>
          <cell r="H3230">
            <v>62519446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5214540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</row>
        <row r="3231">
          <cell r="A3231">
            <v>408011001</v>
          </cell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62519446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5214540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</row>
        <row r="3232">
          <cell r="A3232">
            <v>408011100</v>
          </cell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</row>
        <row r="3233">
          <cell r="A3233">
            <v>408011101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</row>
        <row r="3234">
          <cell r="A3234">
            <v>408011200</v>
          </cell>
          <cell r="C3234">
            <v>0</v>
          </cell>
          <cell r="D3234">
            <v>0</v>
          </cell>
          <cell r="E3234">
            <v>123837666</v>
          </cell>
          <cell r="F3234">
            <v>0</v>
          </cell>
          <cell r="G3234">
            <v>0</v>
          </cell>
          <cell r="H3234">
            <v>82331830</v>
          </cell>
          <cell r="I3234">
            <v>715543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54635711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</row>
        <row r="3235">
          <cell r="A3235">
            <v>408011201</v>
          </cell>
          <cell r="C3235">
            <v>0</v>
          </cell>
          <cell r="D3235">
            <v>0</v>
          </cell>
          <cell r="E3235">
            <v>123837666</v>
          </cell>
          <cell r="F3235">
            <v>0</v>
          </cell>
          <cell r="G3235">
            <v>0</v>
          </cell>
          <cell r="H3235">
            <v>82331830</v>
          </cell>
          <cell r="I3235">
            <v>715543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54635711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</row>
        <row r="3236">
          <cell r="A3236">
            <v>408011300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</row>
        <row r="3237">
          <cell r="A3237">
            <v>408011301</v>
          </cell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</row>
        <row r="3238">
          <cell r="A3238">
            <v>408012000</v>
          </cell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  <cell r="I3238">
            <v>13260000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173409102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</row>
        <row r="3239">
          <cell r="A3239">
            <v>408012001</v>
          </cell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</row>
        <row r="3240">
          <cell r="A3240">
            <v>408012002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</row>
        <row r="3241">
          <cell r="A3241">
            <v>408012003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  <cell r="I3241">
            <v>13260000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173409102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</row>
        <row r="3242">
          <cell r="A3242">
            <v>408012004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</row>
        <row r="3243">
          <cell r="A3243">
            <v>408012005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</row>
        <row r="3244">
          <cell r="A3244">
            <v>408012006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</row>
        <row r="3245">
          <cell r="A3245">
            <v>408012007</v>
          </cell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</row>
        <row r="3246">
          <cell r="A3246">
            <v>408012008</v>
          </cell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</row>
        <row r="3247">
          <cell r="A3247">
            <v>408012009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</row>
        <row r="3248">
          <cell r="A3248">
            <v>408020000</v>
          </cell>
          <cell r="C3248">
            <v>0</v>
          </cell>
          <cell r="D3248">
            <v>0</v>
          </cell>
          <cell r="E3248">
            <v>0</v>
          </cell>
          <cell r="F3248">
            <v>78600282</v>
          </cell>
          <cell r="G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38560954</v>
          </cell>
          <cell r="N3248">
            <v>239573587</v>
          </cell>
          <cell r="O3248">
            <v>195562484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420662498</v>
          </cell>
          <cell r="X3248">
            <v>0</v>
          </cell>
          <cell r="Y3248">
            <v>28249115</v>
          </cell>
          <cell r="Z3248">
            <v>375000000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</row>
        <row r="3249">
          <cell r="A3249">
            <v>408020100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420662498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</row>
        <row r="3250">
          <cell r="A3250">
            <v>408020101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420662498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</row>
        <row r="3251">
          <cell r="A3251">
            <v>408020200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</row>
        <row r="3252">
          <cell r="A3252">
            <v>408020201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</row>
        <row r="3253">
          <cell r="A3253">
            <v>408020300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</row>
        <row r="3254">
          <cell r="A3254">
            <v>408020301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</row>
        <row r="3255">
          <cell r="A3255">
            <v>408020400</v>
          </cell>
          <cell r="C3255">
            <v>0</v>
          </cell>
          <cell r="D3255">
            <v>0</v>
          </cell>
          <cell r="E3255">
            <v>0</v>
          </cell>
          <cell r="F3255">
            <v>78600282</v>
          </cell>
          <cell r="G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38560954</v>
          </cell>
          <cell r="N3255">
            <v>239573587</v>
          </cell>
          <cell r="O3255">
            <v>195562484</v>
          </cell>
          <cell r="P3255">
            <v>0</v>
          </cell>
          <cell r="Q3255">
            <v>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28249115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</row>
        <row r="3256">
          <cell r="A3256">
            <v>408020401</v>
          </cell>
          <cell r="C3256">
            <v>0</v>
          </cell>
          <cell r="D3256">
            <v>0</v>
          </cell>
          <cell r="E3256">
            <v>0</v>
          </cell>
          <cell r="F3256">
            <v>78600282</v>
          </cell>
          <cell r="G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38560954</v>
          </cell>
          <cell r="N3256">
            <v>239573587</v>
          </cell>
          <cell r="O3256">
            <v>195562484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28249115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</row>
        <row r="3257">
          <cell r="A3257">
            <v>408020500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</row>
        <row r="3258">
          <cell r="A3258">
            <v>408020501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</row>
        <row r="3259">
          <cell r="A3259">
            <v>408020600</v>
          </cell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375000000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</row>
        <row r="3260">
          <cell r="A3260">
            <v>408020601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375000000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</row>
        <row r="3261">
          <cell r="A3261">
            <v>408020700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</row>
        <row r="3262">
          <cell r="A3262">
            <v>408020701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</row>
        <row r="3263">
          <cell r="A3263">
            <v>408020800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</row>
        <row r="3264">
          <cell r="A3264">
            <v>408020801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</row>
        <row r="3265">
          <cell r="A3265">
            <v>408020900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</row>
        <row r="3266">
          <cell r="A3266">
            <v>408020901</v>
          </cell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</row>
        <row r="3267">
          <cell r="A3267">
            <v>408021000</v>
          </cell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</row>
        <row r="3268">
          <cell r="A3268">
            <v>408021001</v>
          </cell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</row>
        <row r="3269">
          <cell r="A3269">
            <v>408021100</v>
          </cell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</row>
        <row r="3270">
          <cell r="A3270">
            <v>408021101</v>
          </cell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</row>
        <row r="3271">
          <cell r="A3271">
            <v>408021200</v>
          </cell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</row>
        <row r="3272">
          <cell r="A3272">
            <v>408021201</v>
          </cell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</row>
        <row r="3273">
          <cell r="A3273">
            <v>408021300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</row>
        <row r="3274">
          <cell r="A3274">
            <v>408021301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</row>
        <row r="3275">
          <cell r="A3275">
            <v>408022000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</row>
        <row r="3276">
          <cell r="A3276">
            <v>408022001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</row>
        <row r="3277">
          <cell r="A3277">
            <v>408022002</v>
          </cell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</row>
        <row r="3278">
          <cell r="A3278">
            <v>408022003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</row>
        <row r="3279">
          <cell r="A3279">
            <v>408022004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</row>
        <row r="3280">
          <cell r="A3280">
            <v>408022005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</row>
        <row r="3281">
          <cell r="A3281">
            <v>408022006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</row>
        <row r="3282">
          <cell r="A3282">
            <v>408022007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</row>
        <row r="3283">
          <cell r="A3283">
            <v>408022008</v>
          </cell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</row>
        <row r="3284">
          <cell r="A3284">
            <v>408022009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</row>
        <row r="3285">
          <cell r="A3285">
            <v>409000000</v>
          </cell>
          <cell r="C3285">
            <v>2725348145</v>
          </cell>
          <cell r="D3285">
            <v>1938177947</v>
          </cell>
          <cell r="E3285">
            <v>1903878854</v>
          </cell>
          <cell r="F3285">
            <v>1020463276</v>
          </cell>
          <cell r="G3285">
            <v>6420941717</v>
          </cell>
          <cell r="H3285">
            <v>4690968415</v>
          </cell>
          <cell r="I3285">
            <v>2395898286</v>
          </cell>
          <cell r="J3285">
            <v>0</v>
          </cell>
          <cell r="K3285">
            <v>283778512</v>
          </cell>
          <cell r="L3285">
            <v>183257971</v>
          </cell>
          <cell r="M3285">
            <v>216536528</v>
          </cell>
          <cell r="N3285">
            <v>27624447394</v>
          </cell>
          <cell r="O3285">
            <v>1489840593</v>
          </cell>
          <cell r="P3285">
            <v>0</v>
          </cell>
          <cell r="Q3285">
            <v>1546294443</v>
          </cell>
          <cell r="R3285">
            <v>0</v>
          </cell>
          <cell r="S3285">
            <v>0</v>
          </cell>
          <cell r="T3285">
            <v>8382776320</v>
          </cell>
          <cell r="U3285">
            <v>0</v>
          </cell>
          <cell r="V3285">
            <v>15936872941</v>
          </cell>
          <cell r="W3285">
            <v>0</v>
          </cell>
          <cell r="X3285">
            <v>279664835</v>
          </cell>
          <cell r="Y3285">
            <v>284805250</v>
          </cell>
          <cell r="Z3285">
            <v>119828976</v>
          </cell>
          <cell r="AA3285">
            <v>70446575</v>
          </cell>
          <cell r="AB3285">
            <v>2491817004</v>
          </cell>
          <cell r="AC3285">
            <v>55361155</v>
          </cell>
          <cell r="AD3285">
            <v>673237196</v>
          </cell>
          <cell r="AE3285">
            <v>25630545039</v>
          </cell>
          <cell r="AF3285">
            <v>806161054</v>
          </cell>
          <cell r="AG3285">
            <v>0</v>
          </cell>
          <cell r="AH3285">
            <v>3176205944</v>
          </cell>
          <cell r="AI3285">
            <v>6166997401</v>
          </cell>
        </row>
        <row r="3286">
          <cell r="A3286">
            <v>409010000</v>
          </cell>
          <cell r="C3286">
            <v>2725348145</v>
          </cell>
          <cell r="D3286">
            <v>861525272</v>
          </cell>
          <cell r="E3286">
            <v>1903878854</v>
          </cell>
          <cell r="F3286">
            <v>1020463276</v>
          </cell>
          <cell r="G3286">
            <v>6420941717</v>
          </cell>
          <cell r="H3286">
            <v>4690968415</v>
          </cell>
          <cell r="I3286">
            <v>2395898286</v>
          </cell>
          <cell r="J3286">
            <v>0</v>
          </cell>
          <cell r="K3286">
            <v>283778512</v>
          </cell>
          <cell r="L3286">
            <v>183257971</v>
          </cell>
          <cell r="M3286">
            <v>216536528</v>
          </cell>
          <cell r="N3286">
            <v>27555216377</v>
          </cell>
          <cell r="O3286">
            <v>1489840593</v>
          </cell>
          <cell r="P3286">
            <v>0</v>
          </cell>
          <cell r="Q3286">
            <v>1546294443</v>
          </cell>
          <cell r="R3286">
            <v>0</v>
          </cell>
          <cell r="S3286">
            <v>0</v>
          </cell>
          <cell r="T3286">
            <v>8151656690</v>
          </cell>
          <cell r="U3286">
            <v>0</v>
          </cell>
          <cell r="V3286">
            <v>15936872941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70446575</v>
          </cell>
          <cell r="AB3286">
            <v>1251046842</v>
          </cell>
          <cell r="AC3286">
            <v>0</v>
          </cell>
          <cell r="AD3286">
            <v>0</v>
          </cell>
          <cell r="AE3286">
            <v>11559870593</v>
          </cell>
          <cell r="AF3286">
            <v>254096909</v>
          </cell>
          <cell r="AG3286">
            <v>0</v>
          </cell>
          <cell r="AH3286">
            <v>0</v>
          </cell>
          <cell r="AI3286">
            <v>6166997401</v>
          </cell>
        </row>
        <row r="3287">
          <cell r="A3287">
            <v>409010100</v>
          </cell>
          <cell r="C3287">
            <v>955649753</v>
          </cell>
          <cell r="D3287">
            <v>1886249</v>
          </cell>
          <cell r="E3287">
            <v>1156127436</v>
          </cell>
          <cell r="F3287">
            <v>672611878</v>
          </cell>
          <cell r="G3287">
            <v>155798568</v>
          </cell>
          <cell r="H3287">
            <v>4055360881</v>
          </cell>
          <cell r="I3287">
            <v>1747423598</v>
          </cell>
          <cell r="J3287">
            <v>0</v>
          </cell>
          <cell r="K3287">
            <v>0</v>
          </cell>
          <cell r="L3287">
            <v>67017052</v>
          </cell>
          <cell r="M3287">
            <v>3547636</v>
          </cell>
          <cell r="N3287">
            <v>1725250368</v>
          </cell>
          <cell r="O3287">
            <v>917743372</v>
          </cell>
          <cell r="P3287">
            <v>0</v>
          </cell>
          <cell r="Q3287">
            <v>1102327525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822839505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32771587</v>
          </cell>
          <cell r="AB3287">
            <v>65491405</v>
          </cell>
          <cell r="AC3287">
            <v>0</v>
          </cell>
          <cell r="AD3287">
            <v>0</v>
          </cell>
          <cell r="AE3287">
            <v>7310534395</v>
          </cell>
          <cell r="AF3287">
            <v>0</v>
          </cell>
          <cell r="AG3287">
            <v>0</v>
          </cell>
          <cell r="AH3287">
            <v>0</v>
          </cell>
          <cell r="AI3287">
            <v>988072</v>
          </cell>
        </row>
        <row r="3288">
          <cell r="A3288">
            <v>409010101</v>
          </cell>
          <cell r="C3288">
            <v>955649753</v>
          </cell>
          <cell r="D3288">
            <v>1886249</v>
          </cell>
          <cell r="E3288">
            <v>1156127436</v>
          </cell>
          <cell r="F3288">
            <v>672611878</v>
          </cell>
          <cell r="G3288">
            <v>155798568</v>
          </cell>
          <cell r="H3288">
            <v>4055360881</v>
          </cell>
          <cell r="I3288">
            <v>1747423598</v>
          </cell>
          <cell r="J3288">
            <v>0</v>
          </cell>
          <cell r="K3288">
            <v>0</v>
          </cell>
          <cell r="L3288">
            <v>67017052</v>
          </cell>
          <cell r="M3288">
            <v>3547636</v>
          </cell>
          <cell r="N3288">
            <v>1725250368</v>
          </cell>
          <cell r="O3288">
            <v>917743372</v>
          </cell>
          <cell r="P3288">
            <v>0</v>
          </cell>
          <cell r="Q3288">
            <v>1102327525</v>
          </cell>
          <cell r="R3288">
            <v>0</v>
          </cell>
          <cell r="S3288">
            <v>0</v>
          </cell>
          <cell r="T3288">
            <v>0</v>
          </cell>
          <cell r="U3288">
            <v>0</v>
          </cell>
          <cell r="V3288">
            <v>822839505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32771587</v>
          </cell>
          <cell r="AB3288">
            <v>65491405</v>
          </cell>
          <cell r="AC3288">
            <v>0</v>
          </cell>
          <cell r="AD3288">
            <v>0</v>
          </cell>
          <cell r="AE3288">
            <v>7310534395</v>
          </cell>
          <cell r="AF3288">
            <v>0</v>
          </cell>
          <cell r="AG3288">
            <v>0</v>
          </cell>
          <cell r="AH3288">
            <v>0</v>
          </cell>
          <cell r="AI3288">
            <v>988072</v>
          </cell>
        </row>
        <row r="3289">
          <cell r="A3289">
            <v>409010200</v>
          </cell>
          <cell r="C3289">
            <v>337720257</v>
          </cell>
          <cell r="D3289">
            <v>0</v>
          </cell>
          <cell r="E3289">
            <v>36260688</v>
          </cell>
          <cell r="F3289">
            <v>116714482</v>
          </cell>
          <cell r="G3289">
            <v>28830450</v>
          </cell>
          <cell r="H3289">
            <v>0</v>
          </cell>
          <cell r="I3289">
            <v>12374949</v>
          </cell>
          <cell r="J3289">
            <v>0</v>
          </cell>
          <cell r="K3289">
            <v>0</v>
          </cell>
          <cell r="L3289">
            <v>0</v>
          </cell>
          <cell r="M3289">
            <v>27328797</v>
          </cell>
          <cell r="N3289">
            <v>202693837</v>
          </cell>
          <cell r="O3289">
            <v>70878329</v>
          </cell>
          <cell r="P3289">
            <v>0</v>
          </cell>
          <cell r="Q3289">
            <v>332466918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721006451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10153615</v>
          </cell>
          <cell r="AB3289">
            <v>0</v>
          </cell>
          <cell r="AC3289">
            <v>0</v>
          </cell>
          <cell r="AD3289">
            <v>0</v>
          </cell>
          <cell r="AE3289">
            <v>1555215641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</row>
        <row r="3290">
          <cell r="A3290">
            <v>409010201</v>
          </cell>
          <cell r="C3290">
            <v>337720257</v>
          </cell>
          <cell r="D3290">
            <v>0</v>
          </cell>
          <cell r="E3290">
            <v>36260688</v>
          </cell>
          <cell r="F3290">
            <v>116714482</v>
          </cell>
          <cell r="G3290">
            <v>28830450</v>
          </cell>
          <cell r="H3290">
            <v>0</v>
          </cell>
          <cell r="I3290">
            <v>12374949</v>
          </cell>
          <cell r="J3290">
            <v>0</v>
          </cell>
          <cell r="K3290">
            <v>0</v>
          </cell>
          <cell r="L3290">
            <v>0</v>
          </cell>
          <cell r="M3290">
            <v>27328797</v>
          </cell>
          <cell r="N3290">
            <v>202693837</v>
          </cell>
          <cell r="O3290">
            <v>70878329</v>
          </cell>
          <cell r="P3290">
            <v>0</v>
          </cell>
          <cell r="Q3290">
            <v>332466918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721006451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10153615</v>
          </cell>
          <cell r="AB3290">
            <v>0</v>
          </cell>
          <cell r="AC3290">
            <v>0</v>
          </cell>
          <cell r="AD3290">
            <v>0</v>
          </cell>
          <cell r="AE3290">
            <v>1555215641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</row>
        <row r="3291">
          <cell r="A3291">
            <v>409010300</v>
          </cell>
          <cell r="C3291">
            <v>0</v>
          </cell>
          <cell r="D3291">
            <v>0</v>
          </cell>
          <cell r="E3291">
            <v>0</v>
          </cell>
          <cell r="F3291">
            <v>89059</v>
          </cell>
          <cell r="G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21721471</v>
          </cell>
          <cell r="O3291">
            <v>26753818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69735848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538300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</row>
        <row r="3292">
          <cell r="A3292">
            <v>409010301</v>
          </cell>
          <cell r="C3292">
            <v>0</v>
          </cell>
          <cell r="D3292">
            <v>0</v>
          </cell>
          <cell r="E3292">
            <v>0</v>
          </cell>
          <cell r="F3292">
            <v>89059</v>
          </cell>
          <cell r="G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21721471</v>
          </cell>
          <cell r="O3292">
            <v>26753818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69735848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538300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</row>
        <row r="3293">
          <cell r="A3293">
            <v>409010400</v>
          </cell>
          <cell r="C3293">
            <v>0</v>
          </cell>
          <cell r="D3293">
            <v>20001</v>
          </cell>
          <cell r="E3293">
            <v>206667152</v>
          </cell>
          <cell r="F3293">
            <v>0</v>
          </cell>
          <cell r="G3293">
            <v>110000000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97973477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111500000</v>
          </cell>
          <cell r="R3293">
            <v>0</v>
          </cell>
          <cell r="S3293">
            <v>0</v>
          </cell>
          <cell r="T3293">
            <v>0</v>
          </cell>
          <cell r="U3293">
            <v>0</v>
          </cell>
          <cell r="V3293">
            <v>12167277723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</row>
        <row r="3294">
          <cell r="A3294">
            <v>409010401</v>
          </cell>
          <cell r="C3294">
            <v>0</v>
          </cell>
          <cell r="D3294">
            <v>20001</v>
          </cell>
          <cell r="E3294">
            <v>206667152</v>
          </cell>
          <cell r="F3294">
            <v>0</v>
          </cell>
          <cell r="G3294">
            <v>110000000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97973477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111500000</v>
          </cell>
          <cell r="R3294">
            <v>0</v>
          </cell>
          <cell r="S3294">
            <v>0</v>
          </cell>
          <cell r="T3294">
            <v>0</v>
          </cell>
          <cell r="U3294">
            <v>0</v>
          </cell>
          <cell r="V3294">
            <v>12167277723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</row>
        <row r="3295">
          <cell r="A3295">
            <v>409010500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</row>
        <row r="3296">
          <cell r="A3296">
            <v>409010501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</row>
        <row r="3297">
          <cell r="A3297">
            <v>409010600</v>
          </cell>
          <cell r="C3297">
            <v>28620620</v>
          </cell>
          <cell r="D3297">
            <v>0</v>
          </cell>
          <cell r="E3297">
            <v>0</v>
          </cell>
          <cell r="F3297">
            <v>172460738</v>
          </cell>
          <cell r="G3297">
            <v>171367391</v>
          </cell>
          <cell r="H3297">
            <v>0</v>
          </cell>
          <cell r="I3297">
            <v>80154215</v>
          </cell>
          <cell r="J3297">
            <v>0</v>
          </cell>
          <cell r="K3297">
            <v>0</v>
          </cell>
          <cell r="L3297">
            <v>745500</v>
          </cell>
          <cell r="M3297">
            <v>82226344</v>
          </cell>
          <cell r="N3297">
            <v>208327362</v>
          </cell>
          <cell r="O3297">
            <v>178112662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361808861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25774981</v>
          </cell>
          <cell r="AB3297">
            <v>0</v>
          </cell>
          <cell r="AC3297">
            <v>0</v>
          </cell>
          <cell r="AD3297">
            <v>0</v>
          </cell>
          <cell r="AE3297">
            <v>118921583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</row>
        <row r="3298">
          <cell r="A3298">
            <v>409010601</v>
          </cell>
          <cell r="C3298">
            <v>28620620</v>
          </cell>
          <cell r="D3298">
            <v>0</v>
          </cell>
          <cell r="E3298">
            <v>0</v>
          </cell>
          <cell r="F3298">
            <v>172460738</v>
          </cell>
          <cell r="G3298">
            <v>171367391</v>
          </cell>
          <cell r="H3298">
            <v>0</v>
          </cell>
          <cell r="I3298">
            <v>80154215</v>
          </cell>
          <cell r="J3298">
            <v>0</v>
          </cell>
          <cell r="K3298">
            <v>0</v>
          </cell>
          <cell r="L3298">
            <v>745500</v>
          </cell>
          <cell r="M3298">
            <v>82226344</v>
          </cell>
          <cell r="N3298">
            <v>208327362</v>
          </cell>
          <cell r="O3298">
            <v>178112662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361808861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25774981</v>
          </cell>
          <cell r="AB3298">
            <v>0</v>
          </cell>
          <cell r="AC3298">
            <v>0</v>
          </cell>
          <cell r="AD3298">
            <v>0</v>
          </cell>
          <cell r="AE3298">
            <v>118921583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</row>
        <row r="3299">
          <cell r="A3299">
            <v>409010700</v>
          </cell>
          <cell r="C3299">
            <v>3648274</v>
          </cell>
          <cell r="D3299">
            <v>0</v>
          </cell>
          <cell r="E3299">
            <v>0</v>
          </cell>
          <cell r="F3299">
            <v>7108391</v>
          </cell>
          <cell r="G3299">
            <v>1654546</v>
          </cell>
          <cell r="H3299">
            <v>0</v>
          </cell>
          <cell r="I3299">
            <v>9442638</v>
          </cell>
          <cell r="J3299">
            <v>0</v>
          </cell>
          <cell r="K3299">
            <v>0</v>
          </cell>
          <cell r="L3299">
            <v>0</v>
          </cell>
          <cell r="M3299">
            <v>575120</v>
          </cell>
          <cell r="N3299">
            <v>8636293</v>
          </cell>
          <cell r="O3299">
            <v>4448430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6364746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1172182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</row>
        <row r="3300">
          <cell r="A3300">
            <v>409010701</v>
          </cell>
          <cell r="C3300">
            <v>3648274</v>
          </cell>
          <cell r="D3300">
            <v>0</v>
          </cell>
          <cell r="E3300">
            <v>0</v>
          </cell>
          <cell r="F3300">
            <v>7108391</v>
          </cell>
          <cell r="G3300">
            <v>1654546</v>
          </cell>
          <cell r="H3300">
            <v>0</v>
          </cell>
          <cell r="I3300">
            <v>9442638</v>
          </cell>
          <cell r="J3300">
            <v>0</v>
          </cell>
          <cell r="K3300">
            <v>0</v>
          </cell>
          <cell r="L3300">
            <v>0</v>
          </cell>
          <cell r="M3300">
            <v>575120</v>
          </cell>
          <cell r="N3300">
            <v>8636293</v>
          </cell>
          <cell r="O3300">
            <v>4448430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6364746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1172182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</row>
        <row r="3301">
          <cell r="A3301">
            <v>409010800</v>
          </cell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102858631</v>
          </cell>
          <cell r="N3301">
            <v>23521569111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0</v>
          </cell>
          <cell r="T3301">
            <v>7586307516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254096909</v>
          </cell>
          <cell r="AG3301">
            <v>0</v>
          </cell>
          <cell r="AH3301">
            <v>0</v>
          </cell>
          <cell r="AI3301">
            <v>6131028869</v>
          </cell>
        </row>
        <row r="3302">
          <cell r="A3302">
            <v>409010801</v>
          </cell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102858631</v>
          </cell>
          <cell r="N3302">
            <v>23521569111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  <cell r="T3302">
            <v>7586307516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254096909</v>
          </cell>
          <cell r="AG3302">
            <v>0</v>
          </cell>
          <cell r="AH3302">
            <v>0</v>
          </cell>
          <cell r="AI3302">
            <v>6131028869</v>
          </cell>
        </row>
        <row r="3303">
          <cell r="A3303">
            <v>409010900</v>
          </cell>
          <cell r="C3303">
            <v>52580732</v>
          </cell>
          <cell r="D3303">
            <v>0</v>
          </cell>
          <cell r="E3303">
            <v>0</v>
          </cell>
          <cell r="F3303">
            <v>0</v>
          </cell>
          <cell r="G3303">
            <v>176598649</v>
          </cell>
          <cell r="H3303">
            <v>0</v>
          </cell>
          <cell r="I3303">
            <v>457137524</v>
          </cell>
          <cell r="J3303">
            <v>0</v>
          </cell>
          <cell r="K3303">
            <v>0</v>
          </cell>
          <cell r="L3303">
            <v>3326400</v>
          </cell>
          <cell r="M3303">
            <v>0</v>
          </cell>
          <cell r="N3303">
            <v>29969536</v>
          </cell>
          <cell r="O3303">
            <v>119420176</v>
          </cell>
          <cell r="P3303">
            <v>0</v>
          </cell>
          <cell r="Q3303">
            <v>0</v>
          </cell>
          <cell r="R3303">
            <v>0</v>
          </cell>
          <cell r="S3303">
            <v>0</v>
          </cell>
          <cell r="T3303">
            <v>0</v>
          </cell>
          <cell r="U3303">
            <v>0</v>
          </cell>
          <cell r="V3303">
            <v>221367995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1122152160</v>
          </cell>
          <cell r="AF3303">
            <v>0</v>
          </cell>
          <cell r="AG3303">
            <v>0</v>
          </cell>
          <cell r="AH3303">
            <v>0</v>
          </cell>
          <cell r="AI3303">
            <v>1844000</v>
          </cell>
        </row>
        <row r="3304">
          <cell r="A3304">
            <v>409010901</v>
          </cell>
          <cell r="C3304">
            <v>52580732</v>
          </cell>
          <cell r="D3304">
            <v>0</v>
          </cell>
          <cell r="E3304">
            <v>0</v>
          </cell>
          <cell r="F3304">
            <v>0</v>
          </cell>
          <cell r="G3304">
            <v>176598649</v>
          </cell>
          <cell r="H3304">
            <v>0</v>
          </cell>
          <cell r="I3304">
            <v>457137524</v>
          </cell>
          <cell r="J3304">
            <v>0</v>
          </cell>
          <cell r="K3304">
            <v>0</v>
          </cell>
          <cell r="L3304">
            <v>3326400</v>
          </cell>
          <cell r="M3304">
            <v>0</v>
          </cell>
          <cell r="N3304">
            <v>29969536</v>
          </cell>
          <cell r="O3304">
            <v>119420176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221367995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1122152160</v>
          </cell>
          <cell r="AF3304">
            <v>0</v>
          </cell>
          <cell r="AG3304">
            <v>0</v>
          </cell>
          <cell r="AH3304">
            <v>0</v>
          </cell>
          <cell r="AI3304">
            <v>1844000</v>
          </cell>
        </row>
        <row r="3305">
          <cell r="A3305">
            <v>409011000</v>
          </cell>
          <cell r="C3305">
            <v>1012312419</v>
          </cell>
          <cell r="D3305">
            <v>0</v>
          </cell>
          <cell r="E3305">
            <v>174300000</v>
          </cell>
          <cell r="F3305">
            <v>138000</v>
          </cell>
          <cell r="G3305">
            <v>1850115</v>
          </cell>
          <cell r="H3305">
            <v>0</v>
          </cell>
          <cell r="I3305">
            <v>1263164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313711783</v>
          </cell>
          <cell r="O3305">
            <v>51350006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50728289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24825000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</row>
        <row r="3306">
          <cell r="A3306">
            <v>409011001</v>
          </cell>
          <cell r="C3306">
            <v>1012312419</v>
          </cell>
          <cell r="D3306">
            <v>0</v>
          </cell>
          <cell r="E3306">
            <v>174300000</v>
          </cell>
          <cell r="F3306">
            <v>138000</v>
          </cell>
          <cell r="G3306">
            <v>1850115</v>
          </cell>
          <cell r="H3306">
            <v>0</v>
          </cell>
          <cell r="I3306">
            <v>1263164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313711783</v>
          </cell>
          <cell r="O3306">
            <v>51350006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50728289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24825000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</row>
        <row r="3307">
          <cell r="A3307">
            <v>409011100</v>
          </cell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4614860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1957525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</row>
        <row r="3308">
          <cell r="A3308">
            <v>409011101</v>
          </cell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  <cell r="I3308">
            <v>4614860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1957525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</row>
        <row r="3309">
          <cell r="A3309">
            <v>409011200</v>
          </cell>
          <cell r="C3309">
            <v>230618966</v>
          </cell>
          <cell r="D3309">
            <v>520015359</v>
          </cell>
          <cell r="E3309">
            <v>0</v>
          </cell>
          <cell r="F3309">
            <v>9627036</v>
          </cell>
          <cell r="G3309">
            <v>0</v>
          </cell>
          <cell r="H3309">
            <v>0</v>
          </cell>
          <cell r="I3309">
            <v>37003611</v>
          </cell>
          <cell r="J3309">
            <v>0</v>
          </cell>
          <cell r="K3309">
            <v>0</v>
          </cell>
          <cell r="L3309">
            <v>14195542</v>
          </cell>
          <cell r="M3309">
            <v>0</v>
          </cell>
          <cell r="N3309">
            <v>386598220</v>
          </cell>
          <cell r="O3309">
            <v>113643090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273932059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35910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</row>
        <row r="3310">
          <cell r="A3310">
            <v>409011201</v>
          </cell>
          <cell r="C3310">
            <v>230618966</v>
          </cell>
          <cell r="D3310">
            <v>520015359</v>
          </cell>
          <cell r="E3310">
            <v>0</v>
          </cell>
          <cell r="F3310">
            <v>9627036</v>
          </cell>
          <cell r="G3310">
            <v>0</v>
          </cell>
          <cell r="H3310">
            <v>0</v>
          </cell>
          <cell r="I3310">
            <v>37003611</v>
          </cell>
          <cell r="J3310">
            <v>0</v>
          </cell>
          <cell r="K3310">
            <v>0</v>
          </cell>
          <cell r="L3310">
            <v>14195542</v>
          </cell>
          <cell r="M3310">
            <v>0</v>
          </cell>
          <cell r="N3310">
            <v>386598220</v>
          </cell>
          <cell r="O3310">
            <v>113643090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273932059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35910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</row>
        <row r="3311">
          <cell r="A3311">
            <v>409011300</v>
          </cell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G3311">
            <v>13933024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217779167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152012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</row>
        <row r="3312">
          <cell r="A3312">
            <v>409011301</v>
          </cell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G3312">
            <v>13933024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217779167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152012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</row>
        <row r="3313">
          <cell r="A3313">
            <v>409012000</v>
          </cell>
          <cell r="C3313">
            <v>104197124</v>
          </cell>
          <cell r="D3313">
            <v>339603663</v>
          </cell>
          <cell r="E3313">
            <v>330523578</v>
          </cell>
          <cell r="F3313">
            <v>41713692</v>
          </cell>
          <cell r="G3313">
            <v>5760908974</v>
          </cell>
          <cell r="H3313">
            <v>635607534</v>
          </cell>
          <cell r="I3313">
            <v>46483727</v>
          </cell>
          <cell r="J3313">
            <v>0</v>
          </cell>
          <cell r="K3313">
            <v>283778512</v>
          </cell>
          <cell r="L3313">
            <v>0</v>
          </cell>
          <cell r="M3313">
            <v>0</v>
          </cell>
          <cell r="N3313">
            <v>918959229</v>
          </cell>
          <cell r="O3313">
            <v>7490710</v>
          </cell>
          <cell r="P3313">
            <v>0</v>
          </cell>
          <cell r="Q3313">
            <v>0</v>
          </cell>
          <cell r="R3313">
            <v>0</v>
          </cell>
          <cell r="S3313">
            <v>0</v>
          </cell>
          <cell r="T3313">
            <v>565349174</v>
          </cell>
          <cell r="U3313">
            <v>0</v>
          </cell>
          <cell r="V3313">
            <v>1239701927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1185555437</v>
          </cell>
          <cell r="AC3313">
            <v>0</v>
          </cell>
          <cell r="AD3313">
            <v>0</v>
          </cell>
          <cell r="AE3313">
            <v>1428221814</v>
          </cell>
          <cell r="AF3313">
            <v>0</v>
          </cell>
          <cell r="AG3313">
            <v>0</v>
          </cell>
          <cell r="AH3313">
            <v>0</v>
          </cell>
          <cell r="AI3313">
            <v>33136460</v>
          </cell>
        </row>
        <row r="3314">
          <cell r="A3314">
            <v>409012001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0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33136460</v>
          </cell>
        </row>
        <row r="3315">
          <cell r="A3315">
            <v>409012002</v>
          </cell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23000000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</row>
        <row r="3316">
          <cell r="A3316">
            <v>409012003</v>
          </cell>
          <cell r="C3316">
            <v>104197124</v>
          </cell>
          <cell r="D3316">
            <v>339603663</v>
          </cell>
          <cell r="E3316">
            <v>330523578</v>
          </cell>
          <cell r="F3316">
            <v>41713692</v>
          </cell>
          <cell r="G3316">
            <v>5760908974</v>
          </cell>
          <cell r="H3316">
            <v>635607534</v>
          </cell>
          <cell r="I3316">
            <v>46483727</v>
          </cell>
          <cell r="J3316">
            <v>0</v>
          </cell>
          <cell r="K3316">
            <v>199365651</v>
          </cell>
          <cell r="L3316">
            <v>0</v>
          </cell>
          <cell r="M3316">
            <v>0</v>
          </cell>
          <cell r="N3316">
            <v>918959229</v>
          </cell>
          <cell r="O3316">
            <v>7490710</v>
          </cell>
          <cell r="P3316">
            <v>0</v>
          </cell>
          <cell r="Q3316">
            <v>0</v>
          </cell>
          <cell r="R3316">
            <v>0</v>
          </cell>
          <cell r="S3316">
            <v>0</v>
          </cell>
          <cell r="T3316">
            <v>542349174</v>
          </cell>
          <cell r="U3316">
            <v>0</v>
          </cell>
          <cell r="V3316">
            <v>1239701927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1185555437</v>
          </cell>
          <cell r="AC3316">
            <v>0</v>
          </cell>
          <cell r="AD3316">
            <v>0</v>
          </cell>
          <cell r="AE3316">
            <v>1428221814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</row>
        <row r="3317">
          <cell r="A3317">
            <v>409012004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R3317">
            <v>0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</row>
        <row r="3318">
          <cell r="A3318">
            <v>409012005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</row>
        <row r="3319">
          <cell r="A3319">
            <v>409012006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84412861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</row>
        <row r="3320">
          <cell r="A3320">
            <v>409012007</v>
          </cell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</row>
        <row r="3321">
          <cell r="A3321">
            <v>409012008</v>
          </cell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</row>
        <row r="3322">
          <cell r="A3322">
            <v>409012009</v>
          </cell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G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</row>
        <row r="3323">
          <cell r="A3323">
            <v>409020000</v>
          </cell>
          <cell r="C3323">
            <v>0</v>
          </cell>
          <cell r="D3323">
            <v>1076652675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69231017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231119630</v>
          </cell>
          <cell r="U3323">
            <v>0</v>
          </cell>
          <cell r="V3323">
            <v>0</v>
          </cell>
          <cell r="W3323">
            <v>0</v>
          </cell>
          <cell r="X3323">
            <v>279664835</v>
          </cell>
          <cell r="Y3323">
            <v>284805250</v>
          </cell>
          <cell r="Z3323">
            <v>119828976</v>
          </cell>
          <cell r="AA3323">
            <v>0</v>
          </cell>
          <cell r="AB3323">
            <v>1240770162</v>
          </cell>
          <cell r="AC3323">
            <v>55361155</v>
          </cell>
          <cell r="AD3323">
            <v>673237196</v>
          </cell>
          <cell r="AE3323">
            <v>14070674446</v>
          </cell>
          <cell r="AF3323">
            <v>552064145</v>
          </cell>
          <cell r="AG3323">
            <v>0</v>
          </cell>
          <cell r="AH3323">
            <v>3176205944</v>
          </cell>
          <cell r="AI3323">
            <v>0</v>
          </cell>
        </row>
        <row r="3324">
          <cell r="A3324">
            <v>409020100</v>
          </cell>
          <cell r="C3324">
            <v>0</v>
          </cell>
          <cell r="D3324">
            <v>22493309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284805250</v>
          </cell>
          <cell r="Z3324">
            <v>0</v>
          </cell>
          <cell r="AA3324">
            <v>0</v>
          </cell>
          <cell r="AB3324">
            <v>1077012158</v>
          </cell>
          <cell r="AC3324">
            <v>55361155</v>
          </cell>
          <cell r="AD3324">
            <v>15500000</v>
          </cell>
          <cell r="AE3324">
            <v>1467816273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</row>
        <row r="3325">
          <cell r="A3325">
            <v>409020101</v>
          </cell>
          <cell r="C3325">
            <v>0</v>
          </cell>
          <cell r="D3325">
            <v>22493309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284805250</v>
          </cell>
          <cell r="Z3325">
            <v>0</v>
          </cell>
          <cell r="AA3325">
            <v>0</v>
          </cell>
          <cell r="AB3325">
            <v>1077012158</v>
          </cell>
          <cell r="AC3325">
            <v>55361155</v>
          </cell>
          <cell r="AD3325">
            <v>15500000</v>
          </cell>
          <cell r="AE3325">
            <v>1467816273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</row>
        <row r="3326">
          <cell r="A3326">
            <v>409020200</v>
          </cell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85358004</v>
          </cell>
          <cell r="AC3326">
            <v>0</v>
          </cell>
          <cell r="AD3326">
            <v>0</v>
          </cell>
          <cell r="AE3326">
            <v>632961186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</row>
        <row r="3327">
          <cell r="A3327">
            <v>409020201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85358004</v>
          </cell>
          <cell r="AC3327">
            <v>0</v>
          </cell>
          <cell r="AD3327">
            <v>0</v>
          </cell>
          <cell r="AE3327">
            <v>632961186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</row>
        <row r="3328">
          <cell r="A3328">
            <v>409020300</v>
          </cell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  <cell r="T3328">
            <v>133793984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</row>
        <row r="3329">
          <cell r="A3329">
            <v>409020301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0</v>
          </cell>
          <cell r="T3329">
            <v>133793984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</row>
        <row r="3330">
          <cell r="A3330">
            <v>409020400</v>
          </cell>
          <cell r="C3330">
            <v>0</v>
          </cell>
          <cell r="D3330">
            <v>666570462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40857127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209331981</v>
          </cell>
          <cell r="Y3330">
            <v>0</v>
          </cell>
          <cell r="Z3330">
            <v>0</v>
          </cell>
          <cell r="AA3330">
            <v>0</v>
          </cell>
          <cell r="AB3330">
            <v>78400000</v>
          </cell>
          <cell r="AC3330">
            <v>0</v>
          </cell>
          <cell r="AD3330">
            <v>0</v>
          </cell>
          <cell r="AE3330">
            <v>0</v>
          </cell>
          <cell r="AF3330">
            <v>128314087</v>
          </cell>
          <cell r="AG3330">
            <v>0</v>
          </cell>
          <cell r="AH3330">
            <v>39500000</v>
          </cell>
          <cell r="AI3330">
            <v>0</v>
          </cell>
        </row>
        <row r="3331">
          <cell r="A3331">
            <v>409020401</v>
          </cell>
          <cell r="C3331">
            <v>0</v>
          </cell>
          <cell r="D3331">
            <v>666570462</v>
          </cell>
          <cell r="E3331">
            <v>0</v>
          </cell>
          <cell r="F3331">
            <v>0</v>
          </cell>
          <cell r="G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40857127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209331981</v>
          </cell>
          <cell r="Y3331">
            <v>0</v>
          </cell>
          <cell r="Z3331">
            <v>0</v>
          </cell>
          <cell r="AA3331">
            <v>0</v>
          </cell>
          <cell r="AB3331">
            <v>78400000</v>
          </cell>
          <cell r="AC3331">
            <v>0</v>
          </cell>
          <cell r="AD3331">
            <v>0</v>
          </cell>
          <cell r="AE3331">
            <v>0</v>
          </cell>
          <cell r="AF3331">
            <v>128314087</v>
          </cell>
          <cell r="AG3331">
            <v>0</v>
          </cell>
          <cell r="AH3331">
            <v>39500000</v>
          </cell>
          <cell r="AI3331">
            <v>0</v>
          </cell>
        </row>
        <row r="3332">
          <cell r="A3332">
            <v>409020500</v>
          </cell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</row>
        <row r="3333">
          <cell r="A3333">
            <v>409020501</v>
          </cell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</row>
        <row r="3334">
          <cell r="A3334">
            <v>409020600</v>
          </cell>
          <cell r="C3334">
            <v>0</v>
          </cell>
          <cell r="D3334">
            <v>128088904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70332854</v>
          </cell>
          <cell r="Y3334">
            <v>0</v>
          </cell>
          <cell r="Z3334">
            <v>119828976</v>
          </cell>
          <cell r="AA3334">
            <v>0</v>
          </cell>
          <cell r="AB3334">
            <v>0</v>
          </cell>
          <cell r="AC3334">
            <v>0</v>
          </cell>
          <cell r="AD3334">
            <v>654537196</v>
          </cell>
          <cell r="AE3334">
            <v>4697436699</v>
          </cell>
          <cell r="AF3334">
            <v>0</v>
          </cell>
          <cell r="AG3334">
            <v>0</v>
          </cell>
          <cell r="AH3334">
            <v>944784000</v>
          </cell>
          <cell r="AI3334">
            <v>0</v>
          </cell>
        </row>
        <row r="3335">
          <cell r="A3335">
            <v>409020601</v>
          </cell>
          <cell r="C3335">
            <v>0</v>
          </cell>
          <cell r="D3335">
            <v>128088904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70332854</v>
          </cell>
          <cell r="Y3335">
            <v>0</v>
          </cell>
          <cell r="Z3335">
            <v>119828976</v>
          </cell>
          <cell r="AA3335">
            <v>0</v>
          </cell>
          <cell r="AB3335">
            <v>0</v>
          </cell>
          <cell r="AC3335">
            <v>0</v>
          </cell>
          <cell r="AD3335">
            <v>654537196</v>
          </cell>
          <cell r="AE3335">
            <v>4697436699</v>
          </cell>
          <cell r="AF3335">
            <v>0</v>
          </cell>
          <cell r="AG3335">
            <v>0</v>
          </cell>
          <cell r="AH3335">
            <v>944784000</v>
          </cell>
          <cell r="AI3335">
            <v>0</v>
          </cell>
        </row>
        <row r="3336">
          <cell r="A3336">
            <v>409020700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</row>
        <row r="3337">
          <cell r="A3337">
            <v>409020701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</row>
        <row r="3338">
          <cell r="A3338">
            <v>409020800</v>
          </cell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7272086700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</row>
        <row r="3339">
          <cell r="A3339">
            <v>409020801</v>
          </cell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7272086700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</row>
        <row r="3340">
          <cell r="A3340">
            <v>409020900</v>
          </cell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28373890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284100194</v>
          </cell>
          <cell r="AG3340">
            <v>0</v>
          </cell>
          <cell r="AH3340">
            <v>0</v>
          </cell>
          <cell r="AI3340">
            <v>0</v>
          </cell>
        </row>
        <row r="3341">
          <cell r="A3341">
            <v>409020901</v>
          </cell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28373890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284100194</v>
          </cell>
          <cell r="AG3341">
            <v>0</v>
          </cell>
          <cell r="AH3341">
            <v>0</v>
          </cell>
          <cell r="AI3341">
            <v>0</v>
          </cell>
        </row>
        <row r="3342">
          <cell r="A3342">
            <v>409021000</v>
          </cell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</row>
        <row r="3343">
          <cell r="A3343">
            <v>409021001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</row>
        <row r="3344">
          <cell r="A3344">
            <v>409021100</v>
          </cell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</row>
        <row r="3345">
          <cell r="A3345">
            <v>409021101</v>
          </cell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</row>
        <row r="3346">
          <cell r="A3346">
            <v>409021200</v>
          </cell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0</v>
          </cell>
          <cell r="T3346">
            <v>97325646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373588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</row>
        <row r="3347">
          <cell r="A3347">
            <v>409021201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97325646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373588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</row>
        <row r="3348">
          <cell r="A3348">
            <v>409021300</v>
          </cell>
          <cell r="C3348">
            <v>0</v>
          </cell>
          <cell r="D3348">
            <v>259500000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</row>
        <row r="3349">
          <cell r="A3349">
            <v>409021301</v>
          </cell>
          <cell r="C3349">
            <v>0</v>
          </cell>
          <cell r="D3349">
            <v>259500000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</row>
        <row r="3350">
          <cell r="A3350">
            <v>409022000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3200000</v>
          </cell>
          <cell r="AE3350">
            <v>0</v>
          </cell>
          <cell r="AF3350">
            <v>139649864</v>
          </cell>
          <cell r="AG3350">
            <v>0</v>
          </cell>
          <cell r="AH3350">
            <v>2191921944</v>
          </cell>
          <cell r="AI3350">
            <v>0</v>
          </cell>
        </row>
        <row r="3351">
          <cell r="A3351">
            <v>409022001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</row>
        <row r="3352">
          <cell r="A3352">
            <v>409022002</v>
          </cell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</row>
        <row r="3353">
          <cell r="A3353">
            <v>409022003</v>
          </cell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3200000</v>
          </cell>
          <cell r="AE3353">
            <v>0</v>
          </cell>
          <cell r="AF3353">
            <v>0</v>
          </cell>
          <cell r="AG3353">
            <v>0</v>
          </cell>
          <cell r="AH3353">
            <v>2191921944</v>
          </cell>
          <cell r="AI3353">
            <v>0</v>
          </cell>
        </row>
        <row r="3354">
          <cell r="A3354">
            <v>409022004</v>
          </cell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139649864</v>
          </cell>
          <cell r="AG3354">
            <v>0</v>
          </cell>
          <cell r="AH3354">
            <v>0</v>
          </cell>
          <cell r="AI3354">
            <v>0</v>
          </cell>
        </row>
        <row r="3355">
          <cell r="A3355">
            <v>409022005</v>
          </cell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</row>
        <row r="3356">
          <cell r="A3356">
            <v>409022006</v>
          </cell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</row>
        <row r="3357">
          <cell r="A3357">
            <v>409022007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</row>
        <row r="3358">
          <cell r="A3358">
            <v>409022008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</row>
        <row r="3359">
          <cell r="A3359">
            <v>409022009</v>
          </cell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</row>
        <row r="3360">
          <cell r="A3360">
            <v>410000000</v>
          </cell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G3360">
            <v>4773076</v>
          </cell>
          <cell r="H3360">
            <v>0</v>
          </cell>
          <cell r="I3360">
            <v>0</v>
          </cell>
          <cell r="J3360">
            <v>0</v>
          </cell>
          <cell r="K3360">
            <v>200048</v>
          </cell>
          <cell r="L3360">
            <v>24263121</v>
          </cell>
          <cell r="M3360">
            <v>72302</v>
          </cell>
          <cell r="N3360">
            <v>901002</v>
          </cell>
          <cell r="O3360">
            <v>0</v>
          </cell>
          <cell r="P3360">
            <v>0</v>
          </cell>
          <cell r="Q3360">
            <v>1111824</v>
          </cell>
          <cell r="R3360">
            <v>95869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33448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</row>
        <row r="3361">
          <cell r="A3361">
            <v>410010000</v>
          </cell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G3361">
            <v>4773076</v>
          </cell>
          <cell r="H3361">
            <v>0</v>
          </cell>
          <cell r="I3361">
            <v>0</v>
          </cell>
          <cell r="J3361">
            <v>0</v>
          </cell>
          <cell r="K3361">
            <v>200048</v>
          </cell>
          <cell r="L3361">
            <v>0</v>
          </cell>
          <cell r="M3361">
            <v>72302</v>
          </cell>
          <cell r="N3361">
            <v>901002</v>
          </cell>
          <cell r="O3361">
            <v>0</v>
          </cell>
          <cell r="P3361">
            <v>0</v>
          </cell>
          <cell r="Q3361">
            <v>1111824</v>
          </cell>
          <cell r="R3361">
            <v>95869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</row>
        <row r="3362">
          <cell r="A3362">
            <v>410010100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172067</v>
          </cell>
          <cell r="L3362">
            <v>0</v>
          </cell>
          <cell r="M3362">
            <v>72302</v>
          </cell>
          <cell r="N3362">
            <v>0</v>
          </cell>
          <cell r="O3362">
            <v>0</v>
          </cell>
          <cell r="P3362">
            <v>0</v>
          </cell>
          <cell r="Q3362">
            <v>7902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</row>
        <row r="3363">
          <cell r="A3363">
            <v>410010101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172067</v>
          </cell>
          <cell r="L3363">
            <v>0</v>
          </cell>
          <cell r="M3363">
            <v>72302</v>
          </cell>
          <cell r="N3363">
            <v>0</v>
          </cell>
          <cell r="O3363">
            <v>0</v>
          </cell>
          <cell r="P3363">
            <v>0</v>
          </cell>
          <cell r="Q3363">
            <v>7902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</row>
        <row r="3364">
          <cell r="A3364">
            <v>410010200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101840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</row>
        <row r="3365">
          <cell r="A3365">
            <v>410010201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101840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</row>
        <row r="3366">
          <cell r="A3366">
            <v>410010300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</row>
        <row r="3367">
          <cell r="A3367">
            <v>410010301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</row>
        <row r="3368">
          <cell r="A3368">
            <v>410010400</v>
          </cell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54282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</row>
        <row r="3369">
          <cell r="A3369">
            <v>410010401</v>
          </cell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54282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</row>
        <row r="3370">
          <cell r="A3370">
            <v>410010500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</row>
        <row r="3371">
          <cell r="A3371">
            <v>410010501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0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</row>
        <row r="3372">
          <cell r="A3372">
            <v>410010600</v>
          </cell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15508</v>
          </cell>
          <cell r="L3372">
            <v>0</v>
          </cell>
          <cell r="M3372">
            <v>0</v>
          </cell>
          <cell r="N3372">
            <v>846720</v>
          </cell>
          <cell r="O3372">
            <v>0</v>
          </cell>
          <cell r="P3372">
            <v>0</v>
          </cell>
          <cell r="Q3372">
            <v>595832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</row>
        <row r="3373">
          <cell r="A3373">
            <v>410010601</v>
          </cell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15508</v>
          </cell>
          <cell r="L3373">
            <v>0</v>
          </cell>
          <cell r="M3373">
            <v>0</v>
          </cell>
          <cell r="N3373">
            <v>846720</v>
          </cell>
          <cell r="O3373">
            <v>0</v>
          </cell>
          <cell r="P3373">
            <v>0</v>
          </cell>
          <cell r="Q3373">
            <v>595832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</row>
        <row r="3374">
          <cell r="A3374">
            <v>410010700</v>
          </cell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</row>
        <row r="3375">
          <cell r="A3375">
            <v>410010701</v>
          </cell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</row>
        <row r="3376">
          <cell r="A3376">
            <v>410010800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</row>
        <row r="3377">
          <cell r="A3377">
            <v>410010801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</row>
        <row r="3378">
          <cell r="A3378">
            <v>410010900</v>
          </cell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12473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</row>
        <row r="3379">
          <cell r="A3379">
            <v>410010901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12473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</row>
        <row r="3380">
          <cell r="A3380">
            <v>410011000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</row>
        <row r="3381">
          <cell r="A3381">
            <v>410011001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</row>
        <row r="3382">
          <cell r="A3382">
            <v>410011100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</row>
        <row r="3383">
          <cell r="A3383">
            <v>410011101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</row>
        <row r="3384">
          <cell r="A3384">
            <v>410011200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</row>
        <row r="3385">
          <cell r="A3385">
            <v>410011201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</row>
        <row r="3386">
          <cell r="A3386">
            <v>410011300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4773076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406250</v>
          </cell>
          <cell r="R3386">
            <v>95869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</row>
        <row r="3387">
          <cell r="A3387">
            <v>410011301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4773076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406250</v>
          </cell>
          <cell r="R3387">
            <v>95869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</row>
        <row r="3388">
          <cell r="A3388">
            <v>410012000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</row>
        <row r="3389">
          <cell r="A3389">
            <v>410012001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</row>
        <row r="3390">
          <cell r="A3390">
            <v>410012002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</row>
        <row r="3391">
          <cell r="A3391">
            <v>410012003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</row>
        <row r="3392">
          <cell r="A3392">
            <v>410012004</v>
          </cell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</row>
        <row r="3393">
          <cell r="A3393">
            <v>410012005</v>
          </cell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</row>
        <row r="3394">
          <cell r="A3394">
            <v>410012006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</row>
        <row r="3395">
          <cell r="A3395">
            <v>410012007</v>
          </cell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</row>
        <row r="3396">
          <cell r="A3396">
            <v>410012008</v>
          </cell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</row>
        <row r="3397">
          <cell r="A3397">
            <v>410012009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</row>
        <row r="3398">
          <cell r="A3398">
            <v>410040000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24263121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33448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</row>
        <row r="3399">
          <cell r="A3399">
            <v>410040100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11792786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</row>
        <row r="3400">
          <cell r="A3400">
            <v>410040101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11792786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</row>
        <row r="3401">
          <cell r="A3401">
            <v>410040200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33448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</row>
        <row r="3402">
          <cell r="A3402">
            <v>410040201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33448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</row>
        <row r="3403">
          <cell r="A3403">
            <v>410040300</v>
          </cell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802990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</row>
        <row r="3404">
          <cell r="A3404">
            <v>410040301</v>
          </cell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802990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</row>
        <row r="3405">
          <cell r="A3405">
            <v>410040400</v>
          </cell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</row>
        <row r="3406">
          <cell r="A3406">
            <v>410040401</v>
          </cell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</row>
        <row r="3407">
          <cell r="A3407">
            <v>410040500</v>
          </cell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</row>
        <row r="3408">
          <cell r="A3408">
            <v>410040501</v>
          </cell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</row>
        <row r="3409">
          <cell r="A3409">
            <v>410040600</v>
          </cell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</row>
        <row r="3410">
          <cell r="A3410">
            <v>410040601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</row>
        <row r="3411">
          <cell r="A3411">
            <v>410040700</v>
          </cell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</row>
        <row r="3412">
          <cell r="A3412">
            <v>410040701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</row>
        <row r="3413">
          <cell r="A3413">
            <v>410040800</v>
          </cell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</row>
        <row r="3414">
          <cell r="A3414">
            <v>410040801</v>
          </cell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</row>
        <row r="3415">
          <cell r="A3415">
            <v>410040900</v>
          </cell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</row>
        <row r="3416">
          <cell r="A3416">
            <v>410040901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</row>
        <row r="3417">
          <cell r="A3417">
            <v>410041000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</row>
        <row r="3418">
          <cell r="A3418">
            <v>410041001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</row>
        <row r="3419">
          <cell r="A3419">
            <v>410041100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</row>
        <row r="3420">
          <cell r="A3420">
            <v>410041101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</row>
        <row r="3421">
          <cell r="A3421">
            <v>410041200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</row>
        <row r="3422">
          <cell r="A3422">
            <v>410041201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</row>
        <row r="3423">
          <cell r="A3423">
            <v>410041300</v>
          </cell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11667345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</row>
        <row r="3424">
          <cell r="A3424">
            <v>410041301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11667345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</row>
        <row r="3425">
          <cell r="A3425">
            <v>410042000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</row>
        <row r="3426">
          <cell r="A3426">
            <v>410042001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</row>
        <row r="3427">
          <cell r="A3427">
            <v>410042002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</row>
        <row r="3428">
          <cell r="A3428">
            <v>410042003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</row>
        <row r="3429">
          <cell r="A3429">
            <v>410042004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</row>
        <row r="3430">
          <cell r="A3430">
            <v>410042005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</row>
        <row r="3431">
          <cell r="A3431">
            <v>410042006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</row>
        <row r="3432">
          <cell r="A3432">
            <v>410042007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</row>
        <row r="3433">
          <cell r="A3433">
            <v>410042008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</row>
        <row r="3434">
          <cell r="A3434">
            <v>410042009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</row>
        <row r="3435">
          <cell r="A3435">
            <v>410050000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</row>
        <row r="3436">
          <cell r="A3436">
            <v>410050100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</row>
        <row r="3437">
          <cell r="A3437">
            <v>410050101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</row>
        <row r="3438">
          <cell r="A3438">
            <v>410050200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</row>
        <row r="3439">
          <cell r="A3439">
            <v>410050201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</row>
        <row r="3440">
          <cell r="A3440">
            <v>410050300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</row>
        <row r="3441">
          <cell r="A3441">
            <v>410050301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</row>
        <row r="3442">
          <cell r="A3442">
            <v>410050400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</row>
        <row r="3443">
          <cell r="A3443">
            <v>410050401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</row>
        <row r="3444">
          <cell r="A3444">
            <v>410050500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</row>
        <row r="3445">
          <cell r="A3445">
            <v>410050501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</row>
        <row r="3446">
          <cell r="A3446">
            <v>410050600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</row>
        <row r="3447">
          <cell r="A3447">
            <v>410050601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</row>
        <row r="3448">
          <cell r="A3448">
            <v>410050700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</row>
        <row r="3449">
          <cell r="A3449">
            <v>410050701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</row>
        <row r="3450">
          <cell r="A3450">
            <v>410050800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</row>
        <row r="3451">
          <cell r="A3451">
            <v>410050801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</row>
        <row r="3452">
          <cell r="A3452">
            <v>410050900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</row>
        <row r="3453">
          <cell r="A3453">
            <v>410050901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</row>
        <row r="3454">
          <cell r="A3454">
            <v>410051000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</row>
        <row r="3455">
          <cell r="A3455">
            <v>410051001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</row>
        <row r="3456">
          <cell r="A3456">
            <v>410051100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</row>
        <row r="3457">
          <cell r="A3457">
            <v>410051101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</row>
        <row r="3458">
          <cell r="A3458">
            <v>410051200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</row>
        <row r="3459">
          <cell r="A3459">
            <v>410051201</v>
          </cell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</row>
        <row r="3460">
          <cell r="A3460">
            <v>410051300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</row>
        <row r="3461">
          <cell r="A3461">
            <v>410051301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</row>
        <row r="3462">
          <cell r="A3462">
            <v>410052000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</row>
        <row r="3463">
          <cell r="A3463">
            <v>410052001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</row>
        <row r="3464">
          <cell r="A3464">
            <v>410052002</v>
          </cell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</row>
        <row r="3465">
          <cell r="A3465">
            <v>410052003</v>
          </cell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G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</row>
        <row r="3466">
          <cell r="A3466">
            <v>410052004</v>
          </cell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</row>
        <row r="3467">
          <cell r="A3467">
            <v>410052005</v>
          </cell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</row>
        <row r="3468">
          <cell r="A3468">
            <v>410052006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</row>
        <row r="3469">
          <cell r="A3469">
            <v>410052007</v>
          </cell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</row>
        <row r="3470">
          <cell r="A3470">
            <v>410052008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</row>
        <row r="3471">
          <cell r="A3471">
            <v>410052009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</row>
        <row r="3472">
          <cell r="A3472">
            <v>411000000</v>
          </cell>
          <cell r="C3472">
            <v>2096842494</v>
          </cell>
          <cell r="D3472">
            <v>263780655</v>
          </cell>
          <cell r="E3472">
            <v>140465304</v>
          </cell>
          <cell r="F3472">
            <v>1221793423</v>
          </cell>
          <cell r="G3472">
            <v>1910195439</v>
          </cell>
          <cell r="H3472">
            <v>1903436454</v>
          </cell>
          <cell r="I3472">
            <v>1182009456</v>
          </cell>
          <cell r="J3472">
            <v>0</v>
          </cell>
          <cell r="K3472">
            <v>243500670</v>
          </cell>
          <cell r="L3472">
            <v>427795774</v>
          </cell>
          <cell r="M3472">
            <v>1347989038</v>
          </cell>
          <cell r="N3472">
            <v>2553892733</v>
          </cell>
          <cell r="O3472">
            <v>1504816130</v>
          </cell>
          <cell r="P3472">
            <v>19331111</v>
          </cell>
          <cell r="Q3472">
            <v>0</v>
          </cell>
          <cell r="R3472">
            <v>721965127</v>
          </cell>
          <cell r="S3472">
            <v>0</v>
          </cell>
          <cell r="T3472">
            <v>722318510</v>
          </cell>
          <cell r="U3472">
            <v>0</v>
          </cell>
          <cell r="V3472">
            <v>8857357679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439210619</v>
          </cell>
          <cell r="AB3472">
            <v>1238028</v>
          </cell>
          <cell r="AC3472">
            <v>0</v>
          </cell>
          <cell r="AD3472">
            <v>0</v>
          </cell>
          <cell r="AE3472">
            <v>7112428655</v>
          </cell>
          <cell r="AF3472">
            <v>375508192</v>
          </cell>
          <cell r="AG3472">
            <v>0</v>
          </cell>
          <cell r="AH3472">
            <v>714104587</v>
          </cell>
          <cell r="AI3472">
            <v>1240955776</v>
          </cell>
        </row>
        <row r="3473">
          <cell r="A3473">
            <v>411010000</v>
          </cell>
          <cell r="C3473">
            <v>2096842494</v>
          </cell>
          <cell r="D3473">
            <v>208615605</v>
          </cell>
          <cell r="E3473">
            <v>0</v>
          </cell>
          <cell r="F3473">
            <v>716855597</v>
          </cell>
          <cell r="G3473">
            <v>1604924222</v>
          </cell>
          <cell r="H3473">
            <v>924657274</v>
          </cell>
          <cell r="I3473">
            <v>912329086</v>
          </cell>
          <cell r="J3473">
            <v>0</v>
          </cell>
          <cell r="K3473">
            <v>96913495</v>
          </cell>
          <cell r="L3473">
            <v>427795774</v>
          </cell>
          <cell r="M3473">
            <v>1338147025</v>
          </cell>
          <cell r="N3473">
            <v>2037451717</v>
          </cell>
          <cell r="O3473">
            <v>1504816130</v>
          </cell>
          <cell r="P3473">
            <v>19331111</v>
          </cell>
          <cell r="Q3473">
            <v>0</v>
          </cell>
          <cell r="R3473">
            <v>721965127</v>
          </cell>
          <cell r="S3473">
            <v>0</v>
          </cell>
          <cell r="T3473">
            <v>548625373</v>
          </cell>
          <cell r="U3473">
            <v>0</v>
          </cell>
          <cell r="V3473">
            <v>5500492784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277017720</v>
          </cell>
          <cell r="AB3473">
            <v>1238028</v>
          </cell>
          <cell r="AC3473">
            <v>0</v>
          </cell>
          <cell r="AD3473">
            <v>0</v>
          </cell>
          <cell r="AE3473">
            <v>7112428655</v>
          </cell>
          <cell r="AF3473">
            <v>375508192</v>
          </cell>
          <cell r="AG3473">
            <v>0</v>
          </cell>
          <cell r="AH3473">
            <v>37463253</v>
          </cell>
          <cell r="AI3473">
            <v>1240955776</v>
          </cell>
        </row>
        <row r="3474">
          <cell r="A3474">
            <v>411010100</v>
          </cell>
          <cell r="C3474">
            <v>338118644</v>
          </cell>
          <cell r="D3474">
            <v>3639072</v>
          </cell>
          <cell r="E3474">
            <v>0</v>
          </cell>
          <cell r="F3474">
            <v>332900516</v>
          </cell>
          <cell r="G3474">
            <v>257822275</v>
          </cell>
          <cell r="H3474">
            <v>65795116</v>
          </cell>
          <cell r="I3474">
            <v>252695532</v>
          </cell>
          <cell r="J3474">
            <v>0</v>
          </cell>
          <cell r="K3474">
            <v>0</v>
          </cell>
          <cell r="L3474">
            <v>196953993</v>
          </cell>
          <cell r="M3474">
            <v>18888812</v>
          </cell>
          <cell r="N3474">
            <v>485998004</v>
          </cell>
          <cell r="O3474">
            <v>742047025</v>
          </cell>
          <cell r="P3474">
            <v>7326976</v>
          </cell>
          <cell r="Q3474">
            <v>0</v>
          </cell>
          <cell r="R3474">
            <v>1137975</v>
          </cell>
          <cell r="S3474">
            <v>0</v>
          </cell>
          <cell r="T3474">
            <v>35531965</v>
          </cell>
          <cell r="U3474">
            <v>0</v>
          </cell>
          <cell r="V3474">
            <v>1030606564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142570847</v>
          </cell>
          <cell r="AB3474">
            <v>0</v>
          </cell>
          <cell r="AC3474">
            <v>0</v>
          </cell>
          <cell r="AD3474">
            <v>0</v>
          </cell>
          <cell r="AE3474">
            <v>3981017099</v>
          </cell>
          <cell r="AF3474">
            <v>7601625</v>
          </cell>
          <cell r="AG3474">
            <v>0</v>
          </cell>
          <cell r="AH3474">
            <v>17710749</v>
          </cell>
          <cell r="AI3474">
            <v>7391465</v>
          </cell>
        </row>
        <row r="3475">
          <cell r="A3475">
            <v>411010101</v>
          </cell>
          <cell r="C3475">
            <v>338118644</v>
          </cell>
          <cell r="D3475">
            <v>3639072</v>
          </cell>
          <cell r="E3475">
            <v>0</v>
          </cell>
          <cell r="F3475">
            <v>332900516</v>
          </cell>
          <cell r="G3475">
            <v>257822275</v>
          </cell>
          <cell r="H3475">
            <v>65795116</v>
          </cell>
          <cell r="I3475">
            <v>252695532</v>
          </cell>
          <cell r="J3475">
            <v>0</v>
          </cell>
          <cell r="K3475">
            <v>0</v>
          </cell>
          <cell r="L3475">
            <v>196953993</v>
          </cell>
          <cell r="M3475">
            <v>18888812</v>
          </cell>
          <cell r="N3475">
            <v>485998004</v>
          </cell>
          <cell r="O3475">
            <v>742047025</v>
          </cell>
          <cell r="P3475">
            <v>7326976</v>
          </cell>
          <cell r="Q3475">
            <v>0</v>
          </cell>
          <cell r="R3475">
            <v>1137975</v>
          </cell>
          <cell r="S3475">
            <v>0</v>
          </cell>
          <cell r="T3475">
            <v>35531965</v>
          </cell>
          <cell r="U3475">
            <v>0</v>
          </cell>
          <cell r="V3475">
            <v>1030606564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142570847</v>
          </cell>
          <cell r="AB3475">
            <v>0</v>
          </cell>
          <cell r="AC3475">
            <v>0</v>
          </cell>
          <cell r="AD3475">
            <v>0</v>
          </cell>
          <cell r="AE3475">
            <v>3981017099</v>
          </cell>
          <cell r="AF3475">
            <v>7601625</v>
          </cell>
          <cell r="AG3475">
            <v>0</v>
          </cell>
          <cell r="AH3475">
            <v>17710749</v>
          </cell>
          <cell r="AI3475">
            <v>7391465</v>
          </cell>
        </row>
        <row r="3476">
          <cell r="A3476">
            <v>411010200</v>
          </cell>
          <cell r="C3476">
            <v>163176988</v>
          </cell>
          <cell r="D3476">
            <v>0</v>
          </cell>
          <cell r="E3476">
            <v>0</v>
          </cell>
          <cell r="F3476">
            <v>89564155</v>
          </cell>
          <cell r="G3476">
            <v>78525618</v>
          </cell>
          <cell r="H3476">
            <v>0</v>
          </cell>
          <cell r="I3476">
            <v>145670052</v>
          </cell>
          <cell r="J3476">
            <v>0</v>
          </cell>
          <cell r="K3476">
            <v>0</v>
          </cell>
          <cell r="L3476">
            <v>14682710</v>
          </cell>
          <cell r="M3476">
            <v>14306987</v>
          </cell>
          <cell r="N3476">
            <v>202859975</v>
          </cell>
          <cell r="O3476">
            <v>186465576</v>
          </cell>
          <cell r="P3476">
            <v>12004135</v>
          </cell>
          <cell r="Q3476">
            <v>0</v>
          </cell>
          <cell r="R3476">
            <v>0</v>
          </cell>
          <cell r="S3476">
            <v>0</v>
          </cell>
          <cell r="T3476">
            <v>0</v>
          </cell>
          <cell r="U3476">
            <v>0</v>
          </cell>
          <cell r="V3476">
            <v>463550764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44441691</v>
          </cell>
          <cell r="AB3476">
            <v>0</v>
          </cell>
          <cell r="AC3476">
            <v>0</v>
          </cell>
          <cell r="AD3476">
            <v>0</v>
          </cell>
          <cell r="AE3476">
            <v>682052439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</row>
        <row r="3477">
          <cell r="A3477">
            <v>411010201</v>
          </cell>
          <cell r="C3477">
            <v>163176988</v>
          </cell>
          <cell r="D3477">
            <v>0</v>
          </cell>
          <cell r="E3477">
            <v>0</v>
          </cell>
          <cell r="F3477">
            <v>89564155</v>
          </cell>
          <cell r="G3477">
            <v>78525618</v>
          </cell>
          <cell r="H3477">
            <v>0</v>
          </cell>
          <cell r="I3477">
            <v>145670052</v>
          </cell>
          <cell r="J3477">
            <v>0</v>
          </cell>
          <cell r="K3477">
            <v>0</v>
          </cell>
          <cell r="L3477">
            <v>14682710</v>
          </cell>
          <cell r="M3477">
            <v>14306987</v>
          </cell>
          <cell r="N3477">
            <v>202859975</v>
          </cell>
          <cell r="O3477">
            <v>186465576</v>
          </cell>
          <cell r="P3477">
            <v>12004135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463550764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44441691</v>
          </cell>
          <cell r="AB3477">
            <v>0</v>
          </cell>
          <cell r="AC3477">
            <v>0</v>
          </cell>
          <cell r="AD3477">
            <v>0</v>
          </cell>
          <cell r="AE3477">
            <v>682052439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</row>
        <row r="3478">
          <cell r="A3478">
            <v>411010300</v>
          </cell>
          <cell r="C3478">
            <v>40285159</v>
          </cell>
          <cell r="D3478">
            <v>0</v>
          </cell>
          <cell r="E3478">
            <v>0</v>
          </cell>
          <cell r="F3478">
            <v>5780515</v>
          </cell>
          <cell r="G3478">
            <v>22563813</v>
          </cell>
          <cell r="H3478">
            <v>0</v>
          </cell>
          <cell r="I3478">
            <v>14368372</v>
          </cell>
          <cell r="J3478">
            <v>0</v>
          </cell>
          <cell r="K3478">
            <v>0</v>
          </cell>
          <cell r="L3478">
            <v>4031631</v>
          </cell>
          <cell r="M3478">
            <v>2293033</v>
          </cell>
          <cell r="N3478">
            <v>52126209</v>
          </cell>
          <cell r="O3478">
            <v>40660202</v>
          </cell>
          <cell r="P3478">
            <v>0</v>
          </cell>
          <cell r="Q3478">
            <v>0</v>
          </cell>
          <cell r="R3478">
            <v>0</v>
          </cell>
          <cell r="S3478">
            <v>0</v>
          </cell>
          <cell r="T3478">
            <v>4651</v>
          </cell>
          <cell r="U3478">
            <v>0</v>
          </cell>
          <cell r="V3478">
            <v>394069413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4843894</v>
          </cell>
          <cell r="AB3478">
            <v>0</v>
          </cell>
          <cell r="AC3478">
            <v>0</v>
          </cell>
          <cell r="AD3478">
            <v>0</v>
          </cell>
          <cell r="AE3478">
            <v>205667817</v>
          </cell>
          <cell r="AF3478">
            <v>0</v>
          </cell>
          <cell r="AG3478">
            <v>0</v>
          </cell>
          <cell r="AH3478">
            <v>0</v>
          </cell>
          <cell r="AI3478">
            <v>441860</v>
          </cell>
        </row>
        <row r="3479">
          <cell r="A3479">
            <v>411010301</v>
          </cell>
          <cell r="C3479">
            <v>40285159</v>
          </cell>
          <cell r="D3479">
            <v>0</v>
          </cell>
          <cell r="E3479">
            <v>0</v>
          </cell>
          <cell r="F3479">
            <v>5780515</v>
          </cell>
          <cell r="G3479">
            <v>22563813</v>
          </cell>
          <cell r="H3479">
            <v>0</v>
          </cell>
          <cell r="I3479">
            <v>14368372</v>
          </cell>
          <cell r="J3479">
            <v>0</v>
          </cell>
          <cell r="K3479">
            <v>0</v>
          </cell>
          <cell r="L3479">
            <v>4031631</v>
          </cell>
          <cell r="M3479">
            <v>2293033</v>
          </cell>
          <cell r="N3479">
            <v>52126209</v>
          </cell>
          <cell r="O3479">
            <v>40660202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4651</v>
          </cell>
          <cell r="U3479">
            <v>0</v>
          </cell>
          <cell r="V3479">
            <v>394069413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4843894</v>
          </cell>
          <cell r="AB3479">
            <v>0</v>
          </cell>
          <cell r="AC3479">
            <v>0</v>
          </cell>
          <cell r="AD3479">
            <v>0</v>
          </cell>
          <cell r="AE3479">
            <v>205667817</v>
          </cell>
          <cell r="AF3479">
            <v>0</v>
          </cell>
          <cell r="AG3479">
            <v>0</v>
          </cell>
          <cell r="AH3479">
            <v>0</v>
          </cell>
          <cell r="AI3479">
            <v>441860</v>
          </cell>
        </row>
        <row r="3480">
          <cell r="A3480">
            <v>411010400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2528353739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9543361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</row>
        <row r="3481">
          <cell r="A3481">
            <v>411010401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2528353739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9543361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</row>
        <row r="3482">
          <cell r="A3482">
            <v>411010500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</row>
        <row r="3483">
          <cell r="A3483">
            <v>411010501</v>
          </cell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</row>
        <row r="3484">
          <cell r="A3484">
            <v>411010600</v>
          </cell>
          <cell r="C3484">
            <v>39723043</v>
          </cell>
          <cell r="D3484">
            <v>0</v>
          </cell>
          <cell r="E3484">
            <v>0</v>
          </cell>
          <cell r="F3484">
            <v>75702916</v>
          </cell>
          <cell r="G3484">
            <v>99277265</v>
          </cell>
          <cell r="H3484">
            <v>44461</v>
          </cell>
          <cell r="I3484">
            <v>227889633</v>
          </cell>
          <cell r="J3484">
            <v>0</v>
          </cell>
          <cell r="K3484">
            <v>0</v>
          </cell>
          <cell r="L3484">
            <v>39426982</v>
          </cell>
          <cell r="M3484">
            <v>21267277</v>
          </cell>
          <cell r="N3484">
            <v>215115293</v>
          </cell>
          <cell r="O3484">
            <v>200823075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278515212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34163922</v>
          </cell>
          <cell r="AB3484">
            <v>0</v>
          </cell>
          <cell r="AC3484">
            <v>0</v>
          </cell>
          <cell r="AD3484">
            <v>0</v>
          </cell>
          <cell r="AE3484">
            <v>142249547</v>
          </cell>
          <cell r="AF3484">
            <v>0</v>
          </cell>
          <cell r="AG3484">
            <v>0</v>
          </cell>
          <cell r="AH3484">
            <v>2593112</v>
          </cell>
          <cell r="AI3484">
            <v>5943</v>
          </cell>
        </row>
        <row r="3485">
          <cell r="A3485">
            <v>411010601</v>
          </cell>
          <cell r="C3485">
            <v>39723043</v>
          </cell>
          <cell r="D3485">
            <v>0</v>
          </cell>
          <cell r="E3485">
            <v>0</v>
          </cell>
          <cell r="F3485">
            <v>75702916</v>
          </cell>
          <cell r="G3485">
            <v>99277265</v>
          </cell>
          <cell r="H3485">
            <v>44461</v>
          </cell>
          <cell r="I3485">
            <v>227889633</v>
          </cell>
          <cell r="J3485">
            <v>0</v>
          </cell>
          <cell r="K3485">
            <v>0</v>
          </cell>
          <cell r="L3485">
            <v>39426982</v>
          </cell>
          <cell r="M3485">
            <v>21267277</v>
          </cell>
          <cell r="N3485">
            <v>215115293</v>
          </cell>
          <cell r="O3485">
            <v>200823075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278515212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34163922</v>
          </cell>
          <cell r="AB3485">
            <v>0</v>
          </cell>
          <cell r="AC3485">
            <v>0</v>
          </cell>
          <cell r="AD3485">
            <v>0</v>
          </cell>
          <cell r="AE3485">
            <v>142249547</v>
          </cell>
          <cell r="AF3485">
            <v>0</v>
          </cell>
          <cell r="AG3485">
            <v>0</v>
          </cell>
          <cell r="AH3485">
            <v>2593112</v>
          </cell>
          <cell r="AI3485">
            <v>5943</v>
          </cell>
        </row>
        <row r="3486">
          <cell r="A3486">
            <v>411010700</v>
          </cell>
          <cell r="C3486">
            <v>1357025</v>
          </cell>
          <cell r="D3486">
            <v>0</v>
          </cell>
          <cell r="E3486">
            <v>0</v>
          </cell>
          <cell r="F3486">
            <v>4341441</v>
          </cell>
          <cell r="G3486">
            <v>2701500</v>
          </cell>
          <cell r="H3486">
            <v>0</v>
          </cell>
          <cell r="I3486">
            <v>18492937</v>
          </cell>
          <cell r="J3486">
            <v>0</v>
          </cell>
          <cell r="K3486">
            <v>0</v>
          </cell>
          <cell r="L3486">
            <v>311376</v>
          </cell>
          <cell r="M3486">
            <v>935903</v>
          </cell>
          <cell r="N3486">
            <v>15379972</v>
          </cell>
          <cell r="O3486">
            <v>7478128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7668086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2952452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</row>
        <row r="3487">
          <cell r="A3487">
            <v>411010701</v>
          </cell>
          <cell r="C3487">
            <v>1357025</v>
          </cell>
          <cell r="D3487">
            <v>0</v>
          </cell>
          <cell r="E3487">
            <v>0</v>
          </cell>
          <cell r="F3487">
            <v>4341441</v>
          </cell>
          <cell r="G3487">
            <v>2701500</v>
          </cell>
          <cell r="H3487">
            <v>0</v>
          </cell>
          <cell r="I3487">
            <v>18492937</v>
          </cell>
          <cell r="J3487">
            <v>0</v>
          </cell>
          <cell r="K3487">
            <v>0</v>
          </cell>
          <cell r="L3487">
            <v>311376</v>
          </cell>
          <cell r="M3487">
            <v>935903</v>
          </cell>
          <cell r="N3487">
            <v>15379972</v>
          </cell>
          <cell r="O3487">
            <v>7478128</v>
          </cell>
          <cell r="P3487">
            <v>0</v>
          </cell>
          <cell r="Q3487">
            <v>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7668086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2952452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</row>
        <row r="3488">
          <cell r="A3488">
            <v>411010800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1259278399</v>
          </cell>
          <cell r="N3488">
            <v>294820825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  <cell r="T3488">
            <v>420208711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1161653057</v>
          </cell>
          <cell r="AF3488">
            <v>367906567</v>
          </cell>
          <cell r="AG3488">
            <v>0</v>
          </cell>
          <cell r="AH3488">
            <v>0</v>
          </cell>
          <cell r="AI3488">
            <v>1174400268</v>
          </cell>
        </row>
        <row r="3489">
          <cell r="A3489">
            <v>411010801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1259278399</v>
          </cell>
          <cell r="N3489">
            <v>294820825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S3489">
            <v>0</v>
          </cell>
          <cell r="T3489">
            <v>420208711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1161653057</v>
          </cell>
          <cell r="AF3489">
            <v>367906567</v>
          </cell>
          <cell r="AG3489">
            <v>0</v>
          </cell>
          <cell r="AH3489">
            <v>0</v>
          </cell>
          <cell r="AI3489">
            <v>1174400268</v>
          </cell>
        </row>
        <row r="3490">
          <cell r="A3490">
            <v>411010900</v>
          </cell>
          <cell r="C3490">
            <v>22475460</v>
          </cell>
          <cell r="D3490">
            <v>0</v>
          </cell>
          <cell r="E3490">
            <v>0</v>
          </cell>
          <cell r="F3490">
            <v>1800602</v>
          </cell>
          <cell r="G3490">
            <v>99202004</v>
          </cell>
          <cell r="H3490">
            <v>0</v>
          </cell>
          <cell r="I3490">
            <v>12921429</v>
          </cell>
          <cell r="J3490">
            <v>0</v>
          </cell>
          <cell r="K3490">
            <v>0</v>
          </cell>
          <cell r="L3490">
            <v>2013423</v>
          </cell>
          <cell r="M3490">
            <v>0</v>
          </cell>
          <cell r="N3490">
            <v>58913586</v>
          </cell>
          <cell r="O3490">
            <v>148137463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351053612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22070043</v>
          </cell>
          <cell r="AB3490">
            <v>0</v>
          </cell>
          <cell r="AC3490">
            <v>0</v>
          </cell>
          <cell r="AD3490">
            <v>0</v>
          </cell>
          <cell r="AE3490">
            <v>491372786</v>
          </cell>
          <cell r="AF3490">
            <v>0</v>
          </cell>
          <cell r="AG3490">
            <v>0</v>
          </cell>
          <cell r="AH3490">
            <v>0</v>
          </cell>
          <cell r="AI3490">
            <v>23021625</v>
          </cell>
        </row>
        <row r="3491">
          <cell r="A3491">
            <v>411010901</v>
          </cell>
          <cell r="C3491">
            <v>22475460</v>
          </cell>
          <cell r="D3491">
            <v>0</v>
          </cell>
          <cell r="E3491">
            <v>0</v>
          </cell>
          <cell r="F3491">
            <v>1800602</v>
          </cell>
          <cell r="G3491">
            <v>99202004</v>
          </cell>
          <cell r="H3491">
            <v>0</v>
          </cell>
          <cell r="I3491">
            <v>12921429</v>
          </cell>
          <cell r="J3491">
            <v>0</v>
          </cell>
          <cell r="K3491">
            <v>0</v>
          </cell>
          <cell r="L3491">
            <v>2013423</v>
          </cell>
          <cell r="M3491">
            <v>0</v>
          </cell>
          <cell r="N3491">
            <v>58913586</v>
          </cell>
          <cell r="O3491">
            <v>148137463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351053612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22070043</v>
          </cell>
          <cell r="AB3491">
            <v>0</v>
          </cell>
          <cell r="AC3491">
            <v>0</v>
          </cell>
          <cell r="AD3491">
            <v>0</v>
          </cell>
          <cell r="AE3491">
            <v>491372786</v>
          </cell>
          <cell r="AF3491">
            <v>0</v>
          </cell>
          <cell r="AG3491">
            <v>0</v>
          </cell>
          <cell r="AH3491">
            <v>0</v>
          </cell>
          <cell r="AI3491">
            <v>23021625</v>
          </cell>
        </row>
        <row r="3492">
          <cell r="A3492">
            <v>411011000</v>
          </cell>
          <cell r="C3492">
            <v>518945912</v>
          </cell>
          <cell r="D3492">
            <v>0</v>
          </cell>
          <cell r="E3492">
            <v>0</v>
          </cell>
          <cell r="F3492">
            <v>12581679</v>
          </cell>
          <cell r="G3492">
            <v>578076971</v>
          </cell>
          <cell r="H3492">
            <v>0</v>
          </cell>
          <cell r="I3492">
            <v>101056484</v>
          </cell>
          <cell r="J3492">
            <v>0</v>
          </cell>
          <cell r="K3492">
            <v>0</v>
          </cell>
          <cell r="L3492">
            <v>3723683</v>
          </cell>
          <cell r="M3492">
            <v>3127023</v>
          </cell>
          <cell r="N3492">
            <v>62972955</v>
          </cell>
          <cell r="O3492">
            <v>62922871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10165200</v>
          </cell>
          <cell r="U3492">
            <v>0</v>
          </cell>
          <cell r="V3492">
            <v>189890765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13022882</v>
          </cell>
          <cell r="AB3492">
            <v>1238028</v>
          </cell>
          <cell r="AC3492">
            <v>0</v>
          </cell>
          <cell r="AD3492">
            <v>0</v>
          </cell>
          <cell r="AE3492">
            <v>262912187</v>
          </cell>
          <cell r="AF3492">
            <v>0</v>
          </cell>
          <cell r="AG3492">
            <v>0</v>
          </cell>
          <cell r="AH3492">
            <v>0</v>
          </cell>
          <cell r="AI3492">
            <v>3765158</v>
          </cell>
        </row>
        <row r="3493">
          <cell r="A3493">
            <v>411011001</v>
          </cell>
          <cell r="C3493">
            <v>518945912</v>
          </cell>
          <cell r="D3493">
            <v>0</v>
          </cell>
          <cell r="E3493">
            <v>0</v>
          </cell>
          <cell r="F3493">
            <v>12581679</v>
          </cell>
          <cell r="G3493">
            <v>578076971</v>
          </cell>
          <cell r="H3493">
            <v>0</v>
          </cell>
          <cell r="I3493">
            <v>101056484</v>
          </cell>
          <cell r="J3493">
            <v>0</v>
          </cell>
          <cell r="K3493">
            <v>0</v>
          </cell>
          <cell r="L3493">
            <v>3723683</v>
          </cell>
          <cell r="M3493">
            <v>3127023</v>
          </cell>
          <cell r="N3493">
            <v>62972955</v>
          </cell>
          <cell r="O3493">
            <v>62922871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10165200</v>
          </cell>
          <cell r="U3493">
            <v>0</v>
          </cell>
          <cell r="V3493">
            <v>189890765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13022882</v>
          </cell>
          <cell r="AB3493">
            <v>1238028</v>
          </cell>
          <cell r="AC3493">
            <v>0</v>
          </cell>
          <cell r="AD3493">
            <v>0</v>
          </cell>
          <cell r="AE3493">
            <v>262912187</v>
          </cell>
          <cell r="AF3493">
            <v>0</v>
          </cell>
          <cell r="AG3493">
            <v>0</v>
          </cell>
          <cell r="AH3493">
            <v>0</v>
          </cell>
          <cell r="AI3493">
            <v>3765158</v>
          </cell>
        </row>
        <row r="3494">
          <cell r="A3494">
            <v>411011100</v>
          </cell>
          <cell r="C3494">
            <v>7012994</v>
          </cell>
          <cell r="D3494">
            <v>39567136</v>
          </cell>
          <cell r="E3494">
            <v>0</v>
          </cell>
          <cell r="F3494">
            <v>0</v>
          </cell>
          <cell r="G3494">
            <v>33474010</v>
          </cell>
          <cell r="H3494">
            <v>0</v>
          </cell>
          <cell r="I3494">
            <v>6497918</v>
          </cell>
          <cell r="J3494">
            <v>0</v>
          </cell>
          <cell r="K3494">
            <v>0</v>
          </cell>
          <cell r="L3494">
            <v>1167712</v>
          </cell>
          <cell r="M3494">
            <v>0</v>
          </cell>
          <cell r="N3494">
            <v>18707615</v>
          </cell>
          <cell r="O3494">
            <v>1814577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6194055</v>
          </cell>
          <cell r="U3494">
            <v>0</v>
          </cell>
          <cell r="V3494">
            <v>15144044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52420462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</row>
        <row r="3495">
          <cell r="A3495">
            <v>411011101</v>
          </cell>
          <cell r="C3495">
            <v>7012994</v>
          </cell>
          <cell r="D3495">
            <v>39567136</v>
          </cell>
          <cell r="E3495">
            <v>0</v>
          </cell>
          <cell r="F3495">
            <v>0</v>
          </cell>
          <cell r="G3495">
            <v>33474010</v>
          </cell>
          <cell r="H3495">
            <v>0</v>
          </cell>
          <cell r="I3495">
            <v>6497918</v>
          </cell>
          <cell r="J3495">
            <v>0</v>
          </cell>
          <cell r="K3495">
            <v>0</v>
          </cell>
          <cell r="L3495">
            <v>1167712</v>
          </cell>
          <cell r="M3495">
            <v>0</v>
          </cell>
          <cell r="N3495">
            <v>18707615</v>
          </cell>
          <cell r="O3495">
            <v>1814577</v>
          </cell>
          <cell r="P3495">
            <v>0</v>
          </cell>
          <cell r="Q3495">
            <v>0</v>
          </cell>
          <cell r="R3495">
            <v>0</v>
          </cell>
          <cell r="S3495">
            <v>0</v>
          </cell>
          <cell r="T3495">
            <v>6194055</v>
          </cell>
          <cell r="U3495">
            <v>0</v>
          </cell>
          <cell r="V3495">
            <v>15144044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52420462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</row>
        <row r="3496">
          <cell r="A3496">
            <v>411011200</v>
          </cell>
          <cell r="C3496">
            <v>126124153</v>
          </cell>
          <cell r="D3496">
            <v>876043</v>
          </cell>
          <cell r="E3496">
            <v>0</v>
          </cell>
          <cell r="F3496">
            <v>16241282</v>
          </cell>
          <cell r="G3496">
            <v>46316247</v>
          </cell>
          <cell r="H3496">
            <v>3729364</v>
          </cell>
          <cell r="I3496">
            <v>63410639</v>
          </cell>
          <cell r="J3496">
            <v>0</v>
          </cell>
          <cell r="K3496">
            <v>0</v>
          </cell>
          <cell r="L3496">
            <v>2100852</v>
          </cell>
          <cell r="M3496">
            <v>989840</v>
          </cell>
          <cell r="N3496">
            <v>80368773</v>
          </cell>
          <cell r="O3496">
            <v>104790482</v>
          </cell>
          <cell r="P3496">
            <v>0</v>
          </cell>
          <cell r="Q3496">
            <v>0</v>
          </cell>
          <cell r="R3496">
            <v>303737682</v>
          </cell>
          <cell r="S3496">
            <v>0</v>
          </cell>
          <cell r="T3496">
            <v>11219054</v>
          </cell>
          <cell r="U3496">
            <v>0</v>
          </cell>
          <cell r="V3496">
            <v>116664063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234033</v>
          </cell>
          <cell r="AB3496">
            <v>0</v>
          </cell>
          <cell r="AC3496">
            <v>0</v>
          </cell>
          <cell r="AD3496">
            <v>0</v>
          </cell>
          <cell r="AE3496">
            <v>83906619</v>
          </cell>
          <cell r="AF3496">
            <v>0</v>
          </cell>
          <cell r="AG3496">
            <v>0</v>
          </cell>
          <cell r="AH3496">
            <v>17159392</v>
          </cell>
          <cell r="AI3496">
            <v>8417869</v>
          </cell>
        </row>
        <row r="3497">
          <cell r="A3497">
            <v>411011201</v>
          </cell>
          <cell r="C3497">
            <v>126124153</v>
          </cell>
          <cell r="D3497">
            <v>876043</v>
          </cell>
          <cell r="E3497">
            <v>0</v>
          </cell>
          <cell r="F3497">
            <v>16241282</v>
          </cell>
          <cell r="G3497">
            <v>46316247</v>
          </cell>
          <cell r="H3497">
            <v>3729364</v>
          </cell>
          <cell r="I3497">
            <v>63410639</v>
          </cell>
          <cell r="J3497">
            <v>0</v>
          </cell>
          <cell r="K3497">
            <v>0</v>
          </cell>
          <cell r="L3497">
            <v>2100852</v>
          </cell>
          <cell r="M3497">
            <v>989840</v>
          </cell>
          <cell r="N3497">
            <v>80368773</v>
          </cell>
          <cell r="O3497">
            <v>104790482</v>
          </cell>
          <cell r="P3497">
            <v>0</v>
          </cell>
          <cell r="Q3497">
            <v>0</v>
          </cell>
          <cell r="R3497">
            <v>303737682</v>
          </cell>
          <cell r="S3497">
            <v>0</v>
          </cell>
          <cell r="T3497">
            <v>11219054</v>
          </cell>
          <cell r="U3497">
            <v>0</v>
          </cell>
          <cell r="V3497">
            <v>116664063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234033</v>
          </cell>
          <cell r="AB3497">
            <v>0</v>
          </cell>
          <cell r="AC3497">
            <v>0</v>
          </cell>
          <cell r="AD3497">
            <v>0</v>
          </cell>
          <cell r="AE3497">
            <v>83906619</v>
          </cell>
          <cell r="AF3497">
            <v>0</v>
          </cell>
          <cell r="AG3497">
            <v>0</v>
          </cell>
          <cell r="AH3497">
            <v>17159392</v>
          </cell>
          <cell r="AI3497">
            <v>8417869</v>
          </cell>
        </row>
        <row r="3498">
          <cell r="A3498">
            <v>411011300</v>
          </cell>
          <cell r="C3498">
            <v>800606288</v>
          </cell>
          <cell r="D3498">
            <v>0</v>
          </cell>
          <cell r="E3498">
            <v>0</v>
          </cell>
          <cell r="F3498">
            <v>177942491</v>
          </cell>
          <cell r="G3498">
            <v>159243494</v>
          </cell>
          <cell r="H3498">
            <v>855088333</v>
          </cell>
          <cell r="I3498">
            <v>18600447</v>
          </cell>
          <cell r="J3498">
            <v>0</v>
          </cell>
          <cell r="K3498">
            <v>0</v>
          </cell>
          <cell r="L3498">
            <v>63783973</v>
          </cell>
          <cell r="M3498">
            <v>17059751</v>
          </cell>
          <cell r="N3498">
            <v>549377273</v>
          </cell>
          <cell r="O3498">
            <v>4836540</v>
          </cell>
          <cell r="P3498">
            <v>0</v>
          </cell>
          <cell r="Q3498">
            <v>0</v>
          </cell>
          <cell r="R3498">
            <v>417089470</v>
          </cell>
          <cell r="S3498">
            <v>0</v>
          </cell>
          <cell r="T3498">
            <v>5348248</v>
          </cell>
          <cell r="U3498">
            <v>0</v>
          </cell>
          <cell r="V3498">
            <v>124976522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11160383</v>
          </cell>
          <cell r="AB3498">
            <v>0</v>
          </cell>
          <cell r="AC3498">
            <v>0</v>
          </cell>
          <cell r="AD3498">
            <v>0</v>
          </cell>
          <cell r="AE3498">
            <v>33406666</v>
          </cell>
          <cell r="AF3498">
            <v>0</v>
          </cell>
          <cell r="AG3498">
            <v>0</v>
          </cell>
          <cell r="AH3498">
            <v>0</v>
          </cell>
          <cell r="AI3498">
            <v>23511588</v>
          </cell>
        </row>
        <row r="3499">
          <cell r="A3499">
            <v>411011301</v>
          </cell>
          <cell r="C3499">
            <v>800606288</v>
          </cell>
          <cell r="D3499">
            <v>0</v>
          </cell>
          <cell r="E3499">
            <v>0</v>
          </cell>
          <cell r="F3499">
            <v>177942491</v>
          </cell>
          <cell r="G3499">
            <v>159243494</v>
          </cell>
          <cell r="H3499">
            <v>855088333</v>
          </cell>
          <cell r="I3499">
            <v>18600447</v>
          </cell>
          <cell r="J3499">
            <v>0</v>
          </cell>
          <cell r="K3499">
            <v>0</v>
          </cell>
          <cell r="L3499">
            <v>63783973</v>
          </cell>
          <cell r="M3499">
            <v>17059751</v>
          </cell>
          <cell r="N3499">
            <v>549377273</v>
          </cell>
          <cell r="O3499">
            <v>4836540</v>
          </cell>
          <cell r="P3499">
            <v>0</v>
          </cell>
          <cell r="Q3499">
            <v>0</v>
          </cell>
          <cell r="R3499">
            <v>417089470</v>
          </cell>
          <cell r="S3499">
            <v>0</v>
          </cell>
          <cell r="T3499">
            <v>5348248</v>
          </cell>
          <cell r="U3499">
            <v>0</v>
          </cell>
          <cell r="V3499">
            <v>124976522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11160383</v>
          </cell>
          <cell r="AB3499">
            <v>0</v>
          </cell>
          <cell r="AC3499">
            <v>0</v>
          </cell>
          <cell r="AD3499">
            <v>0</v>
          </cell>
          <cell r="AE3499">
            <v>33406666</v>
          </cell>
          <cell r="AF3499">
            <v>0</v>
          </cell>
          <cell r="AG3499">
            <v>0</v>
          </cell>
          <cell r="AH3499">
            <v>0</v>
          </cell>
          <cell r="AI3499">
            <v>23511588</v>
          </cell>
        </row>
        <row r="3500">
          <cell r="A3500">
            <v>411012000</v>
          </cell>
          <cell r="C3500">
            <v>39016828</v>
          </cell>
          <cell r="D3500">
            <v>164533354</v>
          </cell>
          <cell r="E3500">
            <v>0</v>
          </cell>
          <cell r="F3500">
            <v>0</v>
          </cell>
          <cell r="G3500">
            <v>227721025</v>
          </cell>
          <cell r="H3500">
            <v>0</v>
          </cell>
          <cell r="I3500">
            <v>50725643</v>
          </cell>
          <cell r="J3500">
            <v>0</v>
          </cell>
          <cell r="K3500">
            <v>96913495</v>
          </cell>
          <cell r="L3500">
            <v>99599439</v>
          </cell>
          <cell r="M3500">
            <v>0</v>
          </cell>
          <cell r="N3500">
            <v>811237</v>
          </cell>
          <cell r="O3500">
            <v>4840191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59953489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1557573</v>
          </cell>
          <cell r="AB3500">
            <v>0</v>
          </cell>
          <cell r="AC3500">
            <v>0</v>
          </cell>
          <cell r="AD3500">
            <v>0</v>
          </cell>
          <cell r="AE3500">
            <v>6226615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</row>
        <row r="3501">
          <cell r="A3501">
            <v>411012001</v>
          </cell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</row>
        <row r="3502">
          <cell r="A3502">
            <v>411012002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</row>
        <row r="3503">
          <cell r="A3503">
            <v>411012003</v>
          </cell>
          <cell r="C3503">
            <v>39016828</v>
          </cell>
          <cell r="D3503">
            <v>164533354</v>
          </cell>
          <cell r="E3503">
            <v>0</v>
          </cell>
          <cell r="F3503">
            <v>0</v>
          </cell>
          <cell r="G3503">
            <v>227721025</v>
          </cell>
          <cell r="H3503">
            <v>0</v>
          </cell>
          <cell r="I3503">
            <v>50725643</v>
          </cell>
          <cell r="J3503">
            <v>0</v>
          </cell>
          <cell r="K3503">
            <v>58695182</v>
          </cell>
          <cell r="L3503">
            <v>99599439</v>
          </cell>
          <cell r="M3503">
            <v>0</v>
          </cell>
          <cell r="N3503">
            <v>811237</v>
          </cell>
          <cell r="O3503">
            <v>4840191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59953489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1557573</v>
          </cell>
          <cell r="AB3503">
            <v>0</v>
          </cell>
          <cell r="AC3503">
            <v>0</v>
          </cell>
          <cell r="AD3503">
            <v>0</v>
          </cell>
          <cell r="AE3503">
            <v>6226615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</row>
        <row r="3504">
          <cell r="A3504">
            <v>411012004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</row>
        <row r="3505">
          <cell r="A3505">
            <v>411012005</v>
          </cell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</row>
        <row r="3506">
          <cell r="A3506">
            <v>411012006</v>
          </cell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38218313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</row>
        <row r="3507">
          <cell r="A3507">
            <v>411012007</v>
          </cell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</row>
        <row r="3508">
          <cell r="A3508">
            <v>411012008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</row>
        <row r="3509">
          <cell r="A3509">
            <v>411012009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</row>
        <row r="3510">
          <cell r="A3510">
            <v>411040000</v>
          </cell>
          <cell r="C3510">
            <v>0</v>
          </cell>
          <cell r="D3510">
            <v>55165050</v>
          </cell>
          <cell r="E3510">
            <v>140465304</v>
          </cell>
          <cell r="F3510">
            <v>504937826</v>
          </cell>
          <cell r="G3510">
            <v>305271217</v>
          </cell>
          <cell r="H3510">
            <v>978779180</v>
          </cell>
          <cell r="I3510">
            <v>269680370</v>
          </cell>
          <cell r="J3510">
            <v>0</v>
          </cell>
          <cell r="K3510">
            <v>146587175</v>
          </cell>
          <cell r="L3510">
            <v>0</v>
          </cell>
          <cell r="M3510">
            <v>9842013</v>
          </cell>
          <cell r="N3510">
            <v>516441016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3281455709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162192899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676641334</v>
          </cell>
          <cell r="AI3510">
            <v>0</v>
          </cell>
        </row>
        <row r="3511">
          <cell r="A3511">
            <v>411040100</v>
          </cell>
          <cell r="C3511">
            <v>0</v>
          </cell>
          <cell r="D3511">
            <v>0</v>
          </cell>
          <cell r="E3511">
            <v>0</v>
          </cell>
          <cell r="F3511">
            <v>175471734</v>
          </cell>
          <cell r="G3511">
            <v>91030202</v>
          </cell>
          <cell r="H3511">
            <v>0</v>
          </cell>
          <cell r="I3511">
            <v>26010371</v>
          </cell>
          <cell r="J3511">
            <v>0</v>
          </cell>
          <cell r="K3511">
            <v>0</v>
          </cell>
          <cell r="L3511">
            <v>0</v>
          </cell>
          <cell r="M3511">
            <v>5532847</v>
          </cell>
          <cell r="N3511">
            <v>134505052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24690935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73008368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</row>
        <row r="3512">
          <cell r="A3512">
            <v>411040101</v>
          </cell>
          <cell r="C3512">
            <v>0</v>
          </cell>
          <cell r="D3512">
            <v>0</v>
          </cell>
          <cell r="E3512">
            <v>0</v>
          </cell>
          <cell r="F3512">
            <v>175471734</v>
          </cell>
          <cell r="G3512">
            <v>91030202</v>
          </cell>
          <cell r="H3512">
            <v>0</v>
          </cell>
          <cell r="I3512">
            <v>26010371</v>
          </cell>
          <cell r="J3512">
            <v>0</v>
          </cell>
          <cell r="K3512">
            <v>0</v>
          </cell>
          <cell r="L3512">
            <v>0</v>
          </cell>
          <cell r="M3512">
            <v>5532847</v>
          </cell>
          <cell r="N3512">
            <v>134505052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24690935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73008368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</row>
        <row r="3513">
          <cell r="A3513">
            <v>411040200</v>
          </cell>
          <cell r="C3513">
            <v>0</v>
          </cell>
          <cell r="D3513">
            <v>0</v>
          </cell>
          <cell r="E3513">
            <v>0</v>
          </cell>
          <cell r="F3513">
            <v>139309253</v>
          </cell>
          <cell r="G3513">
            <v>26028824</v>
          </cell>
          <cell r="H3513">
            <v>0</v>
          </cell>
          <cell r="I3513">
            <v>48750285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57201031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53460794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51027990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</row>
        <row r="3514">
          <cell r="A3514">
            <v>411040201</v>
          </cell>
          <cell r="C3514">
            <v>0</v>
          </cell>
          <cell r="D3514">
            <v>0</v>
          </cell>
          <cell r="E3514">
            <v>0</v>
          </cell>
          <cell r="F3514">
            <v>139309253</v>
          </cell>
          <cell r="G3514">
            <v>26028824</v>
          </cell>
          <cell r="H3514">
            <v>0</v>
          </cell>
          <cell r="I3514">
            <v>48750285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57201031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53460794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51027990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</row>
        <row r="3515">
          <cell r="A3515">
            <v>411040300</v>
          </cell>
          <cell r="C3515">
            <v>0</v>
          </cell>
          <cell r="D3515">
            <v>0</v>
          </cell>
          <cell r="E3515">
            <v>0</v>
          </cell>
          <cell r="F3515">
            <v>4598752</v>
          </cell>
          <cell r="G3515">
            <v>2516518</v>
          </cell>
          <cell r="H3515">
            <v>0</v>
          </cell>
          <cell r="I3515">
            <v>5716863</v>
          </cell>
          <cell r="J3515">
            <v>0</v>
          </cell>
          <cell r="K3515">
            <v>0</v>
          </cell>
          <cell r="L3515">
            <v>0</v>
          </cell>
          <cell r="M3515">
            <v>902339</v>
          </cell>
          <cell r="N3515">
            <v>11212890</v>
          </cell>
          <cell r="O3515">
            <v>0</v>
          </cell>
          <cell r="P3515">
            <v>0</v>
          </cell>
          <cell r="Q3515">
            <v>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49358741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5916755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</row>
        <row r="3516">
          <cell r="A3516">
            <v>411040301</v>
          </cell>
          <cell r="C3516">
            <v>0</v>
          </cell>
          <cell r="D3516">
            <v>0</v>
          </cell>
          <cell r="E3516">
            <v>0</v>
          </cell>
          <cell r="F3516">
            <v>4598752</v>
          </cell>
          <cell r="G3516">
            <v>2516518</v>
          </cell>
          <cell r="H3516">
            <v>0</v>
          </cell>
          <cell r="I3516">
            <v>5716863</v>
          </cell>
          <cell r="J3516">
            <v>0</v>
          </cell>
          <cell r="K3516">
            <v>0</v>
          </cell>
          <cell r="L3516">
            <v>0</v>
          </cell>
          <cell r="M3516">
            <v>902339</v>
          </cell>
          <cell r="N3516">
            <v>11212890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49358741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5916755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</row>
        <row r="3517">
          <cell r="A3517">
            <v>411040400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2876145671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</row>
        <row r="3518">
          <cell r="A3518">
            <v>411040401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2876145671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</row>
        <row r="3519">
          <cell r="A3519">
            <v>411040500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</row>
        <row r="3520">
          <cell r="A3520">
            <v>411040501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</row>
        <row r="3521">
          <cell r="A3521">
            <v>411040600</v>
          </cell>
          <cell r="C3521">
            <v>0</v>
          </cell>
          <cell r="D3521">
            <v>0</v>
          </cell>
          <cell r="E3521">
            <v>0</v>
          </cell>
          <cell r="F3521">
            <v>-27101204</v>
          </cell>
          <cell r="G3521">
            <v>0</v>
          </cell>
          <cell r="H3521">
            <v>0</v>
          </cell>
          <cell r="I3521">
            <v>78889922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49254700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50615708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10122074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</row>
        <row r="3522">
          <cell r="A3522">
            <v>411040601</v>
          </cell>
          <cell r="C3522">
            <v>0</v>
          </cell>
          <cell r="D3522">
            <v>0</v>
          </cell>
          <cell r="E3522">
            <v>0</v>
          </cell>
          <cell r="F3522">
            <v>-27101204</v>
          </cell>
          <cell r="G3522">
            <v>0</v>
          </cell>
          <cell r="H3522">
            <v>0</v>
          </cell>
          <cell r="I3522">
            <v>78889922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49254700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50615708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10122074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</row>
        <row r="3523">
          <cell r="A3523">
            <v>411040700</v>
          </cell>
          <cell r="C3523">
            <v>0</v>
          </cell>
          <cell r="D3523">
            <v>0</v>
          </cell>
          <cell r="E3523">
            <v>0</v>
          </cell>
          <cell r="F3523">
            <v>-629954</v>
          </cell>
          <cell r="G3523">
            <v>516477</v>
          </cell>
          <cell r="H3523">
            <v>0</v>
          </cell>
          <cell r="I3523">
            <v>8883298</v>
          </cell>
          <cell r="J3523">
            <v>0</v>
          </cell>
          <cell r="K3523">
            <v>0</v>
          </cell>
          <cell r="L3523">
            <v>0</v>
          </cell>
          <cell r="M3523">
            <v>325835</v>
          </cell>
          <cell r="N3523">
            <v>5501527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-2050659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</row>
        <row r="3524">
          <cell r="A3524">
            <v>411040701</v>
          </cell>
          <cell r="C3524">
            <v>0</v>
          </cell>
          <cell r="D3524">
            <v>0</v>
          </cell>
          <cell r="E3524">
            <v>0</v>
          </cell>
          <cell r="F3524">
            <v>-629954</v>
          </cell>
          <cell r="G3524">
            <v>516477</v>
          </cell>
          <cell r="H3524">
            <v>0</v>
          </cell>
          <cell r="I3524">
            <v>8883298</v>
          </cell>
          <cell r="J3524">
            <v>0</v>
          </cell>
          <cell r="K3524">
            <v>0</v>
          </cell>
          <cell r="L3524">
            <v>0</v>
          </cell>
          <cell r="M3524">
            <v>325835</v>
          </cell>
          <cell r="N3524">
            <v>5501527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-2050659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</row>
        <row r="3525">
          <cell r="A3525">
            <v>411040800</v>
          </cell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G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</row>
        <row r="3526">
          <cell r="A3526">
            <v>411040801</v>
          </cell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</row>
        <row r="3527">
          <cell r="A3527">
            <v>411040900</v>
          </cell>
          <cell r="C3527">
            <v>0</v>
          </cell>
          <cell r="D3527">
            <v>0</v>
          </cell>
          <cell r="E3527">
            <v>0</v>
          </cell>
          <cell r="F3527">
            <v>22823729</v>
          </cell>
          <cell r="G3527">
            <v>28971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-14458141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5551568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</row>
        <row r="3528">
          <cell r="A3528">
            <v>411040901</v>
          </cell>
          <cell r="C3528">
            <v>0</v>
          </cell>
          <cell r="D3528">
            <v>0</v>
          </cell>
          <cell r="E3528">
            <v>0</v>
          </cell>
          <cell r="F3528">
            <v>22823729</v>
          </cell>
          <cell r="G3528">
            <v>28971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-14458141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5551568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</row>
        <row r="3529">
          <cell r="A3529">
            <v>411041000</v>
          </cell>
          <cell r="C3529">
            <v>0</v>
          </cell>
          <cell r="D3529">
            <v>0</v>
          </cell>
          <cell r="E3529">
            <v>0</v>
          </cell>
          <cell r="F3529">
            <v>10125113</v>
          </cell>
          <cell r="G3529">
            <v>6555487</v>
          </cell>
          <cell r="H3529">
            <v>0</v>
          </cell>
          <cell r="I3529">
            <v>31252593</v>
          </cell>
          <cell r="J3529">
            <v>0</v>
          </cell>
          <cell r="K3529">
            <v>0</v>
          </cell>
          <cell r="L3529">
            <v>0</v>
          </cell>
          <cell r="M3529">
            <v>1262386</v>
          </cell>
          <cell r="N3529">
            <v>21475115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17882046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</row>
        <row r="3530">
          <cell r="A3530">
            <v>411041001</v>
          </cell>
          <cell r="C3530">
            <v>0</v>
          </cell>
          <cell r="D3530">
            <v>0</v>
          </cell>
          <cell r="E3530">
            <v>0</v>
          </cell>
          <cell r="F3530">
            <v>10125113</v>
          </cell>
          <cell r="G3530">
            <v>6555487</v>
          </cell>
          <cell r="H3530">
            <v>0</v>
          </cell>
          <cell r="I3530">
            <v>31252593</v>
          </cell>
          <cell r="J3530">
            <v>0</v>
          </cell>
          <cell r="K3530">
            <v>0</v>
          </cell>
          <cell r="L3530">
            <v>0</v>
          </cell>
          <cell r="M3530">
            <v>1262386</v>
          </cell>
          <cell r="N3530">
            <v>21475115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17882046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</row>
        <row r="3531">
          <cell r="A3531">
            <v>411041100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1697315</v>
          </cell>
          <cell r="H3531">
            <v>0</v>
          </cell>
          <cell r="I3531">
            <v>1794260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7570567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10929557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</row>
        <row r="3532">
          <cell r="A3532">
            <v>411041101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1697315</v>
          </cell>
          <cell r="H3532">
            <v>0</v>
          </cell>
          <cell r="I3532">
            <v>1794260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7570567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10929557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</row>
        <row r="3533">
          <cell r="A3533">
            <v>411041200</v>
          </cell>
          <cell r="C3533">
            <v>0</v>
          </cell>
          <cell r="D3533">
            <v>0</v>
          </cell>
          <cell r="E3533">
            <v>0</v>
          </cell>
          <cell r="F3533">
            <v>-535004</v>
          </cell>
          <cell r="G3533">
            <v>14312847</v>
          </cell>
          <cell r="H3533">
            <v>0</v>
          </cell>
          <cell r="I3533">
            <v>24140388</v>
          </cell>
          <cell r="J3533">
            <v>0</v>
          </cell>
          <cell r="K3533">
            <v>0</v>
          </cell>
          <cell r="L3533">
            <v>0</v>
          </cell>
          <cell r="M3533">
            <v>655454</v>
          </cell>
          <cell r="N3533">
            <v>9323046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76275945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414264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</row>
        <row r="3534">
          <cell r="A3534">
            <v>411041201</v>
          </cell>
          <cell r="C3534">
            <v>0</v>
          </cell>
          <cell r="D3534">
            <v>0</v>
          </cell>
          <cell r="E3534">
            <v>0</v>
          </cell>
          <cell r="F3534">
            <v>-535004</v>
          </cell>
          <cell r="G3534">
            <v>14312847</v>
          </cell>
          <cell r="H3534">
            <v>0</v>
          </cell>
          <cell r="I3534">
            <v>24140388</v>
          </cell>
          <cell r="J3534">
            <v>0</v>
          </cell>
          <cell r="K3534">
            <v>0</v>
          </cell>
          <cell r="L3534">
            <v>0</v>
          </cell>
          <cell r="M3534">
            <v>655454</v>
          </cell>
          <cell r="N3534">
            <v>9323046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76275945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414264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</row>
        <row r="3535">
          <cell r="A3535">
            <v>411041300</v>
          </cell>
          <cell r="C3535">
            <v>0</v>
          </cell>
          <cell r="D3535">
            <v>0</v>
          </cell>
          <cell r="E3535">
            <v>0</v>
          </cell>
          <cell r="F3535">
            <v>170293571</v>
          </cell>
          <cell r="G3535">
            <v>162584576</v>
          </cell>
          <cell r="H3535">
            <v>0</v>
          </cell>
          <cell r="I3535">
            <v>10367104</v>
          </cell>
          <cell r="J3535">
            <v>0</v>
          </cell>
          <cell r="K3535">
            <v>0</v>
          </cell>
          <cell r="L3535">
            <v>0</v>
          </cell>
          <cell r="M3535">
            <v>1163152</v>
          </cell>
          <cell r="N3535">
            <v>170668907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0</v>
          </cell>
          <cell r="T3535">
            <v>0</v>
          </cell>
          <cell r="U3535">
            <v>0</v>
          </cell>
          <cell r="V3535">
            <v>78361948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15053371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</row>
        <row r="3536">
          <cell r="A3536">
            <v>411041301</v>
          </cell>
          <cell r="C3536">
            <v>0</v>
          </cell>
          <cell r="D3536">
            <v>0</v>
          </cell>
          <cell r="E3536">
            <v>0</v>
          </cell>
          <cell r="F3536">
            <v>170293571</v>
          </cell>
          <cell r="G3536">
            <v>162584576</v>
          </cell>
          <cell r="H3536">
            <v>0</v>
          </cell>
          <cell r="I3536">
            <v>10367104</v>
          </cell>
          <cell r="J3536">
            <v>0</v>
          </cell>
          <cell r="K3536">
            <v>0</v>
          </cell>
          <cell r="L3536">
            <v>0</v>
          </cell>
          <cell r="M3536">
            <v>1163152</v>
          </cell>
          <cell r="N3536">
            <v>170668907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0</v>
          </cell>
          <cell r="T3536">
            <v>0</v>
          </cell>
          <cell r="U3536">
            <v>0</v>
          </cell>
          <cell r="V3536">
            <v>78361948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15053371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</row>
        <row r="3537">
          <cell r="A3537">
            <v>411042000</v>
          </cell>
          <cell r="C3537">
            <v>0</v>
          </cell>
          <cell r="D3537">
            <v>55165050</v>
          </cell>
          <cell r="E3537">
            <v>140465304</v>
          </cell>
          <cell r="F3537">
            <v>10581836</v>
          </cell>
          <cell r="G3537">
            <v>0</v>
          </cell>
          <cell r="H3537">
            <v>978779180</v>
          </cell>
          <cell r="I3537">
            <v>33875286</v>
          </cell>
          <cell r="J3537">
            <v>0</v>
          </cell>
          <cell r="K3537">
            <v>146587175</v>
          </cell>
          <cell r="L3537">
            <v>0</v>
          </cell>
          <cell r="M3537">
            <v>0</v>
          </cell>
          <cell r="N3537">
            <v>49728181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60243164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1098509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676641334</v>
          </cell>
          <cell r="AI3537">
            <v>0</v>
          </cell>
        </row>
        <row r="3538">
          <cell r="A3538">
            <v>411042001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>
            <v>33875286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49728181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</row>
        <row r="3539">
          <cell r="A3539">
            <v>411042002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</row>
        <row r="3540">
          <cell r="A3540">
            <v>411042003</v>
          </cell>
          <cell r="C3540">
            <v>0</v>
          </cell>
          <cell r="D3540">
            <v>55165050</v>
          </cell>
          <cell r="E3540">
            <v>140465304</v>
          </cell>
          <cell r="F3540">
            <v>10581836</v>
          </cell>
          <cell r="G3540">
            <v>0</v>
          </cell>
          <cell r="H3540">
            <v>978779180</v>
          </cell>
          <cell r="I3540">
            <v>0</v>
          </cell>
          <cell r="J3540">
            <v>0</v>
          </cell>
          <cell r="K3540">
            <v>146587175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60243164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1098509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676641334</v>
          </cell>
          <cell r="AI3540">
            <v>0</v>
          </cell>
        </row>
        <row r="3541">
          <cell r="A3541">
            <v>411042004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</row>
        <row r="3542">
          <cell r="A3542">
            <v>411042005</v>
          </cell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</row>
        <row r="3543">
          <cell r="A3543">
            <v>411042006</v>
          </cell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</row>
        <row r="3544">
          <cell r="A3544">
            <v>411042007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</row>
        <row r="3545">
          <cell r="A3545">
            <v>411042008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</row>
        <row r="3546">
          <cell r="A3546">
            <v>411042009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</row>
        <row r="3547">
          <cell r="A3547">
            <v>411050000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173693137</v>
          </cell>
          <cell r="U3547">
            <v>0</v>
          </cell>
          <cell r="V3547">
            <v>75409186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</row>
        <row r="3548">
          <cell r="A3548">
            <v>411050100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51762330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</row>
        <row r="3549">
          <cell r="A3549">
            <v>411050101</v>
          </cell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0</v>
          </cell>
          <cell r="T3549">
            <v>51762330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</row>
        <row r="3550">
          <cell r="A3550">
            <v>411050200</v>
          </cell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G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51762330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</row>
        <row r="3551">
          <cell r="A3551">
            <v>411050201</v>
          </cell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51762330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</row>
        <row r="3552">
          <cell r="A3552">
            <v>411050300</v>
          </cell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</row>
        <row r="3553">
          <cell r="A3553">
            <v>411050301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</row>
        <row r="3554">
          <cell r="A3554">
            <v>411050400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18406145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</row>
        <row r="3555">
          <cell r="A3555">
            <v>411050401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0</v>
          </cell>
          <cell r="T3555">
            <v>18406145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</row>
        <row r="3556">
          <cell r="A3556">
            <v>411050500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</row>
        <row r="3557">
          <cell r="A3557">
            <v>411050501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</row>
        <row r="3558">
          <cell r="A3558">
            <v>411050600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</row>
        <row r="3559">
          <cell r="A3559">
            <v>411050601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</row>
        <row r="3560">
          <cell r="A3560">
            <v>411050700</v>
          </cell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</row>
        <row r="3561">
          <cell r="A3561">
            <v>411050701</v>
          </cell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</row>
        <row r="3562">
          <cell r="A3562">
            <v>411050800</v>
          </cell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</row>
        <row r="3563">
          <cell r="A3563">
            <v>411050801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</row>
        <row r="3564">
          <cell r="A3564">
            <v>411050900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51762332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</row>
        <row r="3565">
          <cell r="A3565">
            <v>411050901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0</v>
          </cell>
          <cell r="T3565">
            <v>51762332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</row>
        <row r="3566">
          <cell r="A3566">
            <v>411051000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75409186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</row>
        <row r="3567">
          <cell r="A3567">
            <v>411051001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75409186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</row>
        <row r="3568">
          <cell r="A3568">
            <v>411051100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</row>
        <row r="3569">
          <cell r="A3569">
            <v>411051101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</row>
        <row r="3570">
          <cell r="A3570">
            <v>411051200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R3570">
            <v>0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</row>
        <row r="3571">
          <cell r="A3571">
            <v>411051201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</row>
        <row r="3572">
          <cell r="A3572">
            <v>411051300</v>
          </cell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</row>
        <row r="3573">
          <cell r="A3573">
            <v>411051301</v>
          </cell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G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</row>
        <row r="3574">
          <cell r="A3574">
            <v>411052000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</row>
        <row r="3575">
          <cell r="A3575">
            <v>411052001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</row>
        <row r="3576">
          <cell r="A3576">
            <v>411052002</v>
          </cell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</row>
        <row r="3577">
          <cell r="A3577">
            <v>411052003</v>
          </cell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</row>
        <row r="3578">
          <cell r="A3578">
            <v>411052004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</row>
        <row r="3579">
          <cell r="A3579">
            <v>411052005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</row>
        <row r="3580">
          <cell r="A3580">
            <v>411052006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</row>
        <row r="3581">
          <cell r="A3581">
            <v>411052007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</row>
        <row r="3582">
          <cell r="A3582">
            <v>411052008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</row>
        <row r="3583">
          <cell r="A3583">
            <v>411052009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</row>
        <row r="3584">
          <cell r="A3584">
            <v>412000000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</row>
        <row r="3585">
          <cell r="A3585">
            <v>412010000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</row>
        <row r="3586">
          <cell r="A3586">
            <v>412010100</v>
          </cell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</row>
        <row r="3587">
          <cell r="A3587">
            <v>412010101</v>
          </cell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</row>
        <row r="3588">
          <cell r="A3588">
            <v>412010200</v>
          </cell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</row>
        <row r="3589">
          <cell r="A3589">
            <v>412010201</v>
          </cell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</row>
        <row r="3590">
          <cell r="A3590">
            <v>412010300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</row>
        <row r="3591">
          <cell r="A3591">
            <v>412010301</v>
          </cell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</row>
        <row r="3592">
          <cell r="A3592">
            <v>412010400</v>
          </cell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G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</row>
        <row r="3593">
          <cell r="A3593">
            <v>412010401</v>
          </cell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</row>
        <row r="3594">
          <cell r="A3594">
            <v>412010500</v>
          </cell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</row>
        <row r="3595">
          <cell r="A3595">
            <v>412010501</v>
          </cell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G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</row>
        <row r="3596">
          <cell r="A3596">
            <v>412010600</v>
          </cell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</row>
        <row r="3597">
          <cell r="A3597">
            <v>412010601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</row>
        <row r="3598">
          <cell r="A3598">
            <v>412010700</v>
          </cell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G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</row>
        <row r="3599">
          <cell r="A3599">
            <v>412010701</v>
          </cell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</row>
        <row r="3600">
          <cell r="A3600">
            <v>412010800</v>
          </cell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</row>
        <row r="3601">
          <cell r="A3601">
            <v>412010801</v>
          </cell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</row>
        <row r="3602">
          <cell r="A3602">
            <v>412010900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</row>
        <row r="3603">
          <cell r="A3603">
            <v>412010901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</row>
        <row r="3604">
          <cell r="A3604">
            <v>412011000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</row>
        <row r="3605">
          <cell r="A3605">
            <v>412011001</v>
          </cell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</row>
        <row r="3606">
          <cell r="A3606">
            <v>412011100</v>
          </cell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</row>
        <row r="3607">
          <cell r="A3607">
            <v>412011101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</row>
        <row r="3608">
          <cell r="A3608">
            <v>412011200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</row>
        <row r="3609">
          <cell r="A3609">
            <v>412011201</v>
          </cell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</row>
        <row r="3610">
          <cell r="A3610">
            <v>412011300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</row>
        <row r="3611">
          <cell r="A3611">
            <v>412011301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</row>
        <row r="3612">
          <cell r="A3612">
            <v>412012000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</row>
        <row r="3613">
          <cell r="A3613">
            <v>412012001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</row>
        <row r="3614">
          <cell r="A3614">
            <v>412012002</v>
          </cell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</row>
        <row r="3615">
          <cell r="A3615">
            <v>412012003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</row>
        <row r="3616">
          <cell r="A3616">
            <v>412012004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</row>
        <row r="3617">
          <cell r="A3617">
            <v>412012005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</row>
        <row r="3618">
          <cell r="A3618">
            <v>412012006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</row>
        <row r="3619">
          <cell r="A3619">
            <v>412012007</v>
          </cell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</row>
        <row r="3620">
          <cell r="A3620">
            <v>412012008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</row>
        <row r="3621">
          <cell r="A3621">
            <v>412012009</v>
          </cell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</row>
        <row r="3622">
          <cell r="A3622">
            <v>412020000</v>
          </cell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</row>
        <row r="3623">
          <cell r="A3623">
            <v>412020100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</row>
        <row r="3624">
          <cell r="A3624">
            <v>412020101</v>
          </cell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</row>
        <row r="3625">
          <cell r="A3625">
            <v>412020200</v>
          </cell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</row>
        <row r="3626">
          <cell r="A3626">
            <v>412020201</v>
          </cell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</row>
        <row r="3627">
          <cell r="A3627">
            <v>412020300</v>
          </cell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</row>
        <row r="3628">
          <cell r="A3628">
            <v>412020301</v>
          </cell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</row>
        <row r="3629">
          <cell r="A3629">
            <v>412020400</v>
          </cell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</row>
        <row r="3630">
          <cell r="A3630">
            <v>412020401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</row>
        <row r="3631">
          <cell r="A3631">
            <v>412020500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</row>
        <row r="3632">
          <cell r="A3632">
            <v>412020501</v>
          </cell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</row>
        <row r="3633">
          <cell r="A3633">
            <v>412020600</v>
          </cell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</row>
        <row r="3634">
          <cell r="A3634">
            <v>412020601</v>
          </cell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</row>
        <row r="3635">
          <cell r="A3635">
            <v>412020700</v>
          </cell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</row>
        <row r="3636">
          <cell r="A3636">
            <v>412020701</v>
          </cell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</row>
        <row r="3637">
          <cell r="A3637">
            <v>412020800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</row>
        <row r="3638">
          <cell r="A3638">
            <v>412020801</v>
          </cell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</row>
        <row r="3639">
          <cell r="A3639">
            <v>412020900</v>
          </cell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</row>
        <row r="3640">
          <cell r="A3640">
            <v>412020901</v>
          </cell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</row>
        <row r="3641">
          <cell r="A3641">
            <v>412021000</v>
          </cell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</row>
        <row r="3642">
          <cell r="A3642">
            <v>412021001</v>
          </cell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</row>
        <row r="3643">
          <cell r="A3643">
            <v>412021100</v>
          </cell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</row>
        <row r="3644">
          <cell r="A3644">
            <v>412021101</v>
          </cell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</row>
        <row r="3645">
          <cell r="A3645">
            <v>412021200</v>
          </cell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</row>
        <row r="3646">
          <cell r="A3646">
            <v>412021201</v>
          </cell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</row>
        <row r="3647">
          <cell r="A3647">
            <v>412021300</v>
          </cell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</row>
        <row r="3648">
          <cell r="A3648">
            <v>412021301</v>
          </cell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</row>
        <row r="3649">
          <cell r="A3649">
            <v>412022000</v>
          </cell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</row>
        <row r="3650">
          <cell r="A3650">
            <v>412022001</v>
          </cell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</row>
        <row r="3651">
          <cell r="A3651">
            <v>412022002</v>
          </cell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</row>
        <row r="3652">
          <cell r="A3652">
            <v>412022003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</row>
        <row r="3653">
          <cell r="A3653">
            <v>412022004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</row>
        <row r="3654">
          <cell r="A3654">
            <v>412022005</v>
          </cell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</row>
        <row r="3655">
          <cell r="A3655">
            <v>412022006</v>
          </cell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</row>
        <row r="3656">
          <cell r="A3656">
            <v>412022007</v>
          </cell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</row>
        <row r="3657">
          <cell r="A3657">
            <v>412022008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</row>
        <row r="3658">
          <cell r="A3658">
            <v>412022009</v>
          </cell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</row>
        <row r="3659">
          <cell r="A3659">
            <v>413000000</v>
          </cell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</row>
        <row r="3660">
          <cell r="A3660">
            <v>413010000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</row>
        <row r="3661">
          <cell r="A3661">
            <v>413010100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</row>
        <row r="3662">
          <cell r="A3662">
            <v>413010101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</row>
        <row r="3663">
          <cell r="A3663">
            <v>413010200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</row>
        <row r="3664">
          <cell r="A3664">
            <v>413010201</v>
          </cell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</row>
        <row r="3665">
          <cell r="A3665">
            <v>413010300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</row>
        <row r="3666">
          <cell r="A3666">
            <v>413010301</v>
          </cell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</row>
        <row r="3667">
          <cell r="A3667">
            <v>413010400</v>
          </cell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</row>
        <row r="3668">
          <cell r="A3668">
            <v>413010401</v>
          </cell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</row>
        <row r="3669">
          <cell r="A3669">
            <v>413010500</v>
          </cell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</row>
        <row r="3670">
          <cell r="A3670">
            <v>413010501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</row>
        <row r="3671">
          <cell r="A3671">
            <v>413010600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</row>
        <row r="3672">
          <cell r="A3672">
            <v>413010601</v>
          </cell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</row>
        <row r="3673">
          <cell r="A3673">
            <v>413010700</v>
          </cell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</row>
        <row r="3674">
          <cell r="A3674">
            <v>413010701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</row>
        <row r="3675">
          <cell r="A3675">
            <v>413010800</v>
          </cell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</row>
        <row r="3676">
          <cell r="A3676">
            <v>413010801</v>
          </cell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</row>
        <row r="3677">
          <cell r="A3677">
            <v>413010900</v>
          </cell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</row>
        <row r="3678">
          <cell r="A3678">
            <v>413010901</v>
          </cell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</row>
        <row r="3679">
          <cell r="A3679">
            <v>413011000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</row>
        <row r="3680">
          <cell r="A3680">
            <v>413011001</v>
          </cell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</row>
        <row r="3681">
          <cell r="A3681">
            <v>413011100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</row>
        <row r="3682">
          <cell r="A3682">
            <v>413011101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</row>
        <row r="3683">
          <cell r="A3683">
            <v>413011200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</row>
        <row r="3684">
          <cell r="A3684">
            <v>413011201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</row>
        <row r="3685">
          <cell r="A3685">
            <v>413011300</v>
          </cell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</row>
        <row r="3686">
          <cell r="A3686">
            <v>413011301</v>
          </cell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</row>
        <row r="3687">
          <cell r="A3687">
            <v>413012000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</row>
        <row r="3688">
          <cell r="A3688">
            <v>413012001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</row>
        <row r="3689">
          <cell r="A3689">
            <v>413012002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</row>
        <row r="3690">
          <cell r="A3690">
            <v>413012003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</row>
        <row r="3691">
          <cell r="A3691">
            <v>413012004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</row>
        <row r="3692">
          <cell r="A3692">
            <v>413012005</v>
          </cell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</row>
        <row r="3693">
          <cell r="A3693">
            <v>413012006</v>
          </cell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G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</row>
        <row r="3694">
          <cell r="A3694">
            <v>413012007</v>
          </cell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G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</row>
        <row r="3695">
          <cell r="A3695">
            <v>413012008</v>
          </cell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</row>
        <row r="3696">
          <cell r="A3696">
            <v>413012009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</row>
        <row r="3697">
          <cell r="A3697">
            <v>413020000</v>
          </cell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</row>
        <row r="3698">
          <cell r="A3698">
            <v>413022000</v>
          </cell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</row>
        <row r="3699">
          <cell r="A3699">
            <v>413022002</v>
          </cell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</row>
        <row r="3700">
          <cell r="A3700">
            <v>413022004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</row>
        <row r="3701">
          <cell r="A3701">
            <v>413022005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</row>
        <row r="3702">
          <cell r="A3702">
            <v>413022007</v>
          </cell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</row>
        <row r="3703">
          <cell r="A3703">
            <v>414000000</v>
          </cell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89999921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</row>
        <row r="3704">
          <cell r="A3704">
            <v>414010000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89999921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</row>
        <row r="3705">
          <cell r="A3705">
            <v>414010100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</row>
        <row r="3706">
          <cell r="A3706">
            <v>414010101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</row>
        <row r="3707">
          <cell r="A3707">
            <v>414010200</v>
          </cell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</row>
        <row r="3708">
          <cell r="A3708">
            <v>414010201</v>
          </cell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G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</row>
        <row r="3709">
          <cell r="A3709">
            <v>414010300</v>
          </cell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</row>
        <row r="3710">
          <cell r="A3710">
            <v>414010301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</row>
        <row r="3711">
          <cell r="A3711">
            <v>414010400</v>
          </cell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</row>
        <row r="3712">
          <cell r="A3712">
            <v>414010401</v>
          </cell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</row>
        <row r="3713">
          <cell r="A3713">
            <v>414010500</v>
          </cell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</row>
        <row r="3714">
          <cell r="A3714">
            <v>414010501</v>
          </cell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0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</row>
        <row r="3715">
          <cell r="A3715">
            <v>414010600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</row>
        <row r="3716">
          <cell r="A3716">
            <v>414010601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</row>
        <row r="3717">
          <cell r="A3717">
            <v>414010700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</row>
        <row r="3718">
          <cell r="A3718">
            <v>414010701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</row>
        <row r="3719">
          <cell r="A3719">
            <v>414010800</v>
          </cell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</row>
        <row r="3720">
          <cell r="A3720">
            <v>414010801</v>
          </cell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</row>
        <row r="3721">
          <cell r="A3721">
            <v>414010900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</row>
        <row r="3722">
          <cell r="A3722">
            <v>414010901</v>
          </cell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</row>
        <row r="3723">
          <cell r="A3723">
            <v>414011000</v>
          </cell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</row>
        <row r="3724">
          <cell r="A3724">
            <v>414011001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</row>
        <row r="3725">
          <cell r="A3725">
            <v>414011100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</row>
        <row r="3726">
          <cell r="A3726">
            <v>414011101</v>
          </cell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</row>
        <row r="3727">
          <cell r="A3727">
            <v>414011200</v>
          </cell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</row>
        <row r="3728">
          <cell r="A3728">
            <v>414011201</v>
          </cell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</row>
        <row r="3729">
          <cell r="A3729">
            <v>414011300</v>
          </cell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</row>
        <row r="3730">
          <cell r="A3730">
            <v>414011301</v>
          </cell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G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</row>
        <row r="3731">
          <cell r="A3731">
            <v>414012000</v>
          </cell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89999921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</row>
        <row r="3732">
          <cell r="A3732">
            <v>414012001</v>
          </cell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</row>
        <row r="3733">
          <cell r="A3733">
            <v>414012002</v>
          </cell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</row>
        <row r="3734">
          <cell r="A3734">
            <v>414012003</v>
          </cell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0</v>
          </cell>
          <cell r="T3734">
            <v>89999921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</row>
        <row r="3735">
          <cell r="A3735">
            <v>414012004</v>
          </cell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</row>
        <row r="3736">
          <cell r="A3736">
            <v>414012005</v>
          </cell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R3736">
            <v>0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</row>
        <row r="3737">
          <cell r="A3737">
            <v>414012006</v>
          </cell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</row>
        <row r="3738">
          <cell r="A3738">
            <v>414012007</v>
          </cell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</row>
        <row r="3739">
          <cell r="A3739">
            <v>414012008</v>
          </cell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</row>
        <row r="3740">
          <cell r="A3740">
            <v>414012009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</row>
        <row r="3741">
          <cell r="A3741">
            <v>414020000</v>
          </cell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</row>
        <row r="3742">
          <cell r="A3742">
            <v>414020100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</row>
        <row r="3743">
          <cell r="A3743">
            <v>414020101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</row>
        <row r="3744">
          <cell r="A3744">
            <v>414020200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</row>
        <row r="3745">
          <cell r="A3745">
            <v>414020201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</row>
        <row r="3746">
          <cell r="A3746">
            <v>414020300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</row>
        <row r="3747">
          <cell r="A3747">
            <v>414020301</v>
          </cell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</row>
        <row r="3748">
          <cell r="A3748">
            <v>414020400</v>
          </cell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</row>
        <row r="3749">
          <cell r="A3749">
            <v>414020401</v>
          </cell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</row>
        <row r="3750">
          <cell r="A3750">
            <v>414020500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</row>
        <row r="3751">
          <cell r="A3751">
            <v>414020501</v>
          </cell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</row>
        <row r="3752">
          <cell r="A3752">
            <v>414020600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</row>
        <row r="3753">
          <cell r="A3753">
            <v>414020601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</row>
        <row r="3754">
          <cell r="A3754">
            <v>414020700</v>
          </cell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</row>
        <row r="3755">
          <cell r="A3755">
            <v>414020701</v>
          </cell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</row>
        <row r="3756">
          <cell r="A3756">
            <v>414020800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</row>
        <row r="3757">
          <cell r="A3757">
            <v>414020801</v>
          </cell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</row>
        <row r="3758">
          <cell r="A3758">
            <v>414020900</v>
          </cell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</row>
        <row r="3759">
          <cell r="A3759">
            <v>414020901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</row>
        <row r="3760">
          <cell r="A3760">
            <v>414021000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</row>
        <row r="3761">
          <cell r="A3761">
            <v>414021001</v>
          </cell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</row>
        <row r="3762">
          <cell r="A3762">
            <v>414021100</v>
          </cell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</row>
        <row r="3763">
          <cell r="A3763">
            <v>414021101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</row>
        <row r="3764">
          <cell r="A3764">
            <v>414021200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</row>
        <row r="3765">
          <cell r="A3765">
            <v>414021201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</row>
        <row r="3766">
          <cell r="A3766">
            <v>414021300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</row>
        <row r="3767">
          <cell r="A3767">
            <v>414021301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</row>
        <row r="3768">
          <cell r="A3768">
            <v>414022000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</row>
        <row r="3769">
          <cell r="A3769">
            <v>414022001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</row>
        <row r="3770">
          <cell r="A3770">
            <v>414022002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</row>
        <row r="3771">
          <cell r="A3771">
            <v>414022003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</row>
        <row r="3772">
          <cell r="A3772">
            <v>414022004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</row>
        <row r="3773">
          <cell r="A3773">
            <v>414022005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</row>
        <row r="3774">
          <cell r="A3774">
            <v>414022006</v>
          </cell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</row>
        <row r="3775">
          <cell r="A3775">
            <v>414022007</v>
          </cell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</row>
        <row r="3776">
          <cell r="A3776">
            <v>414022008</v>
          </cell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</row>
        <row r="3777">
          <cell r="A3777">
            <v>414022009</v>
          </cell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</row>
        <row r="3778">
          <cell r="A3778">
            <v>415000000</v>
          </cell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</row>
        <row r="3779">
          <cell r="A3779">
            <v>415010000</v>
          </cell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</row>
        <row r="3780">
          <cell r="A3780">
            <v>415010100</v>
          </cell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</row>
        <row r="3781">
          <cell r="A3781">
            <v>415010101</v>
          </cell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</row>
        <row r="3782">
          <cell r="A3782">
            <v>415010200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</row>
        <row r="3783">
          <cell r="A3783">
            <v>415010201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</row>
        <row r="3784">
          <cell r="A3784">
            <v>415010300</v>
          </cell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</row>
        <row r="3785">
          <cell r="A3785">
            <v>415010301</v>
          </cell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</row>
        <row r="3786">
          <cell r="A3786">
            <v>415010400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</row>
        <row r="3787">
          <cell r="A3787">
            <v>415010401</v>
          </cell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</row>
        <row r="3788">
          <cell r="A3788">
            <v>415010500</v>
          </cell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</row>
        <row r="3789">
          <cell r="A3789">
            <v>415010501</v>
          </cell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</row>
        <row r="3790">
          <cell r="A3790">
            <v>415010600</v>
          </cell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</row>
        <row r="3791">
          <cell r="A3791">
            <v>415010601</v>
          </cell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</row>
        <row r="3792">
          <cell r="A3792">
            <v>415010700</v>
          </cell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</row>
        <row r="3793">
          <cell r="A3793">
            <v>415010701</v>
          </cell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</row>
        <row r="3794">
          <cell r="A3794">
            <v>415010800</v>
          </cell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</row>
        <row r="3795">
          <cell r="A3795">
            <v>415010801</v>
          </cell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</row>
        <row r="3796">
          <cell r="A3796">
            <v>415010900</v>
          </cell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G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</row>
        <row r="3797">
          <cell r="A3797">
            <v>415010901</v>
          </cell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</row>
        <row r="3798">
          <cell r="A3798">
            <v>415011000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</row>
        <row r="3799">
          <cell r="A3799">
            <v>415011001</v>
          </cell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</row>
        <row r="3800">
          <cell r="A3800">
            <v>415011100</v>
          </cell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</row>
        <row r="3801">
          <cell r="A3801">
            <v>415011101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</row>
        <row r="3802">
          <cell r="A3802">
            <v>415011200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</row>
        <row r="3803">
          <cell r="A3803">
            <v>415011201</v>
          </cell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</row>
        <row r="3804">
          <cell r="A3804">
            <v>415011300</v>
          </cell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</row>
        <row r="3805">
          <cell r="A3805">
            <v>415011301</v>
          </cell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</row>
        <row r="3806">
          <cell r="A3806">
            <v>415012000</v>
          </cell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</row>
        <row r="3807">
          <cell r="A3807">
            <v>415012001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</row>
        <row r="3808">
          <cell r="A3808">
            <v>415012002</v>
          </cell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</row>
        <row r="3809">
          <cell r="A3809">
            <v>415012003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</row>
        <row r="3810">
          <cell r="A3810">
            <v>415012004</v>
          </cell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</row>
        <row r="3811">
          <cell r="A3811">
            <v>415012005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</row>
        <row r="3812">
          <cell r="A3812">
            <v>415012006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</row>
        <row r="3813">
          <cell r="A3813">
            <v>415012007</v>
          </cell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</row>
        <row r="3814">
          <cell r="A3814">
            <v>415012008</v>
          </cell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</row>
        <row r="3815">
          <cell r="A3815">
            <v>415012009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</row>
        <row r="3816">
          <cell r="A3816">
            <v>415020000</v>
          </cell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</row>
        <row r="3817">
          <cell r="A3817">
            <v>415022000</v>
          </cell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</row>
        <row r="3818">
          <cell r="A3818">
            <v>415022002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</row>
        <row r="3819">
          <cell r="A3819">
            <v>415022004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</row>
        <row r="3820">
          <cell r="A3820">
            <v>415022005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</row>
        <row r="3821">
          <cell r="A3821">
            <v>415022007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</row>
        <row r="3822">
          <cell r="A3822">
            <v>425000000</v>
          </cell>
          <cell r="C3822">
            <v>2115146355</v>
          </cell>
          <cell r="D3822">
            <v>2833543874</v>
          </cell>
          <cell r="E3822">
            <v>1836601978</v>
          </cell>
          <cell r="F3822">
            <v>498220447</v>
          </cell>
          <cell r="G3822">
            <v>2987126066</v>
          </cell>
          <cell r="H3822">
            <v>4460860857</v>
          </cell>
          <cell r="I3822">
            <v>1381169668</v>
          </cell>
          <cell r="J3822">
            <v>378567541</v>
          </cell>
          <cell r="K3822">
            <v>607458752</v>
          </cell>
          <cell r="L3822">
            <v>784619239</v>
          </cell>
          <cell r="M3822">
            <v>665891646</v>
          </cell>
          <cell r="N3822">
            <v>1795294758</v>
          </cell>
          <cell r="O3822">
            <v>1395798786</v>
          </cell>
          <cell r="P3822">
            <v>604136866</v>
          </cell>
          <cell r="Q3822">
            <v>793422569</v>
          </cell>
          <cell r="R3822">
            <v>1063279368</v>
          </cell>
          <cell r="S3822">
            <v>285078724</v>
          </cell>
          <cell r="T3822">
            <v>1786631098</v>
          </cell>
          <cell r="U3822">
            <v>459142770</v>
          </cell>
          <cell r="V3822">
            <v>2235303645</v>
          </cell>
          <cell r="W3822">
            <v>1257633577</v>
          </cell>
          <cell r="X3822">
            <v>1642949820</v>
          </cell>
          <cell r="Y3822">
            <v>466983541</v>
          </cell>
          <cell r="Z3822">
            <v>725667080</v>
          </cell>
          <cell r="AA3822">
            <v>380504657</v>
          </cell>
          <cell r="AB3822">
            <v>1738760601</v>
          </cell>
          <cell r="AC3822">
            <v>442749904</v>
          </cell>
          <cell r="AD3822">
            <v>1687154346</v>
          </cell>
          <cell r="AE3822">
            <v>8923637833</v>
          </cell>
          <cell r="AF3822">
            <v>1251274585</v>
          </cell>
          <cell r="AG3822">
            <v>544673868</v>
          </cell>
          <cell r="AH3822">
            <v>768426919</v>
          </cell>
          <cell r="AI3822">
            <v>3981024470</v>
          </cell>
        </row>
        <row r="3823">
          <cell r="A3823">
            <v>425010000</v>
          </cell>
          <cell r="C3823">
            <v>518793339</v>
          </cell>
          <cell r="D3823">
            <v>1108295937</v>
          </cell>
          <cell r="E3823">
            <v>458140788</v>
          </cell>
          <cell r="F3823">
            <v>62575555</v>
          </cell>
          <cell r="G3823">
            <v>1574224970</v>
          </cell>
          <cell r="H3823">
            <v>1793469409</v>
          </cell>
          <cell r="I3823">
            <v>833861670</v>
          </cell>
          <cell r="J3823">
            <v>207765333</v>
          </cell>
          <cell r="K3823">
            <v>550715788</v>
          </cell>
          <cell r="L3823">
            <v>618632267</v>
          </cell>
          <cell r="M3823">
            <v>242328728</v>
          </cell>
          <cell r="N3823">
            <v>137826660</v>
          </cell>
          <cell r="O3823">
            <v>327987374</v>
          </cell>
          <cell r="P3823">
            <v>302257361</v>
          </cell>
          <cell r="Q3823">
            <v>615674785</v>
          </cell>
          <cell r="R3823">
            <v>565183492</v>
          </cell>
          <cell r="S3823">
            <v>152170735</v>
          </cell>
          <cell r="T3823">
            <v>591989927</v>
          </cell>
          <cell r="U3823">
            <v>6423361</v>
          </cell>
          <cell r="V3823">
            <v>2016062735</v>
          </cell>
          <cell r="W3823">
            <v>366899219</v>
          </cell>
          <cell r="X3823">
            <v>504810356</v>
          </cell>
          <cell r="Y3823">
            <v>294575973</v>
          </cell>
          <cell r="Z3823">
            <v>506960353</v>
          </cell>
          <cell r="AA3823">
            <v>255174678</v>
          </cell>
          <cell r="AB3823">
            <v>974095299</v>
          </cell>
          <cell r="AC3823">
            <v>274147627</v>
          </cell>
          <cell r="AD3823">
            <v>628943823</v>
          </cell>
          <cell r="AE3823">
            <v>5512540107</v>
          </cell>
          <cell r="AF3823">
            <v>652300330</v>
          </cell>
          <cell r="AG3823">
            <v>516476886</v>
          </cell>
          <cell r="AH3823">
            <v>637655179</v>
          </cell>
          <cell r="AI3823">
            <v>17570275</v>
          </cell>
        </row>
        <row r="3824">
          <cell r="A3824">
            <v>425010100</v>
          </cell>
          <cell r="C3824">
            <v>518793339</v>
          </cell>
          <cell r="D3824">
            <v>1108295937</v>
          </cell>
          <cell r="E3824">
            <v>458140788</v>
          </cell>
          <cell r="F3824">
            <v>62575555</v>
          </cell>
          <cell r="G3824">
            <v>1574224970</v>
          </cell>
          <cell r="H3824">
            <v>1793469409</v>
          </cell>
          <cell r="I3824">
            <v>833861670</v>
          </cell>
          <cell r="J3824">
            <v>207765333</v>
          </cell>
          <cell r="K3824">
            <v>550715788</v>
          </cell>
          <cell r="L3824">
            <v>583012234</v>
          </cell>
          <cell r="M3824">
            <v>242328728</v>
          </cell>
          <cell r="N3824">
            <v>137826660</v>
          </cell>
          <cell r="O3824">
            <v>327987374</v>
          </cell>
          <cell r="P3824">
            <v>302257361</v>
          </cell>
          <cell r="Q3824">
            <v>615674785</v>
          </cell>
          <cell r="R3824">
            <v>556600858</v>
          </cell>
          <cell r="S3824">
            <v>152170735</v>
          </cell>
          <cell r="T3824">
            <v>591989927</v>
          </cell>
          <cell r="U3824">
            <v>2555</v>
          </cell>
          <cell r="V3824">
            <v>2016062735</v>
          </cell>
          <cell r="W3824">
            <v>366899219</v>
          </cell>
          <cell r="X3824">
            <v>504810356</v>
          </cell>
          <cell r="Y3824">
            <v>294575973</v>
          </cell>
          <cell r="Z3824">
            <v>506960353</v>
          </cell>
          <cell r="AA3824">
            <v>255174678</v>
          </cell>
          <cell r="AB3824">
            <v>974095299</v>
          </cell>
          <cell r="AC3824">
            <v>274147627</v>
          </cell>
          <cell r="AD3824">
            <v>628943823</v>
          </cell>
          <cell r="AE3824">
            <v>5512540107</v>
          </cell>
          <cell r="AF3824">
            <v>652300330</v>
          </cell>
          <cell r="AG3824">
            <v>516476886</v>
          </cell>
          <cell r="AH3824">
            <v>637655179</v>
          </cell>
          <cell r="AI3824">
            <v>17570275</v>
          </cell>
        </row>
        <row r="3825">
          <cell r="A3825">
            <v>425010101</v>
          </cell>
          <cell r="C3825">
            <v>2886469</v>
          </cell>
          <cell r="D3825">
            <v>17287223</v>
          </cell>
          <cell r="E3825">
            <v>2953530</v>
          </cell>
          <cell r="F3825">
            <v>3577830</v>
          </cell>
          <cell r="G3825">
            <v>11395784</v>
          </cell>
          <cell r="H3825">
            <v>15155181</v>
          </cell>
          <cell r="I3825">
            <v>23627046</v>
          </cell>
          <cell r="J3825">
            <v>3614102</v>
          </cell>
          <cell r="K3825">
            <v>1978350</v>
          </cell>
          <cell r="L3825">
            <v>1248792</v>
          </cell>
          <cell r="M3825">
            <v>657889</v>
          </cell>
          <cell r="N3825">
            <v>12302944</v>
          </cell>
          <cell r="O3825">
            <v>27962523</v>
          </cell>
          <cell r="P3825">
            <v>981028</v>
          </cell>
          <cell r="Q3825">
            <v>5653724</v>
          </cell>
          <cell r="R3825">
            <v>5396768</v>
          </cell>
          <cell r="S3825">
            <v>479310</v>
          </cell>
          <cell r="T3825">
            <v>3715515</v>
          </cell>
          <cell r="U3825">
            <v>2555</v>
          </cell>
          <cell r="V3825">
            <v>918543</v>
          </cell>
          <cell r="W3825">
            <v>2247599</v>
          </cell>
          <cell r="X3825">
            <v>3171273</v>
          </cell>
          <cell r="Y3825">
            <v>1213258</v>
          </cell>
          <cell r="Z3825">
            <v>30283604</v>
          </cell>
          <cell r="AA3825">
            <v>1847672</v>
          </cell>
          <cell r="AB3825">
            <v>6905295</v>
          </cell>
          <cell r="AC3825">
            <v>5799357</v>
          </cell>
          <cell r="AD3825">
            <v>26060587</v>
          </cell>
          <cell r="AE3825">
            <v>181714827</v>
          </cell>
          <cell r="AF3825">
            <v>1624341</v>
          </cell>
          <cell r="AG3825">
            <v>163227624</v>
          </cell>
          <cell r="AH3825">
            <v>5492080</v>
          </cell>
          <cell r="AI3825">
            <v>853487</v>
          </cell>
        </row>
        <row r="3826">
          <cell r="A3826">
            <v>425010102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  <cell r="H3826">
            <v>0</v>
          </cell>
          <cell r="I3826">
            <v>76259901</v>
          </cell>
          <cell r="J3826">
            <v>20772978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4406028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12555611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</row>
        <row r="3827">
          <cell r="A3827">
            <v>425010103</v>
          </cell>
          <cell r="C3827">
            <v>515906870</v>
          </cell>
          <cell r="D3827">
            <v>1090095049</v>
          </cell>
          <cell r="E3827">
            <v>454273593</v>
          </cell>
          <cell r="F3827">
            <v>58084060</v>
          </cell>
          <cell r="G3827">
            <v>1562829186</v>
          </cell>
          <cell r="H3827">
            <v>1777433118</v>
          </cell>
          <cell r="I3827">
            <v>659464658</v>
          </cell>
          <cell r="J3827">
            <v>183378253</v>
          </cell>
          <cell r="K3827">
            <v>547823773</v>
          </cell>
          <cell r="L3827">
            <v>581763442</v>
          </cell>
          <cell r="M3827">
            <v>241670839</v>
          </cell>
          <cell r="N3827">
            <v>125523716</v>
          </cell>
          <cell r="O3827">
            <v>300024851</v>
          </cell>
          <cell r="P3827">
            <v>300362517</v>
          </cell>
          <cell r="Q3827">
            <v>609107396</v>
          </cell>
          <cell r="R3827">
            <v>544045501</v>
          </cell>
          <cell r="S3827">
            <v>150777760</v>
          </cell>
          <cell r="T3827">
            <v>588063364</v>
          </cell>
          <cell r="U3827">
            <v>0</v>
          </cell>
          <cell r="V3827">
            <v>2015144192</v>
          </cell>
          <cell r="W3827">
            <v>297005565</v>
          </cell>
          <cell r="X3827">
            <v>492226814</v>
          </cell>
          <cell r="Y3827">
            <v>293362715</v>
          </cell>
          <cell r="Z3827">
            <v>476676749</v>
          </cell>
          <cell r="AA3827">
            <v>249359620</v>
          </cell>
          <cell r="AB3827">
            <v>967190004</v>
          </cell>
          <cell r="AC3827">
            <v>267434605</v>
          </cell>
          <cell r="AD3827">
            <v>589413960</v>
          </cell>
          <cell r="AE3827">
            <v>5330825280</v>
          </cell>
          <cell r="AF3827">
            <v>609070511</v>
          </cell>
          <cell r="AG3827">
            <v>23656483</v>
          </cell>
          <cell r="AH3827">
            <v>632163099</v>
          </cell>
          <cell r="AI3827">
            <v>16716788</v>
          </cell>
        </row>
        <row r="3828">
          <cell r="A3828">
            <v>425010104</v>
          </cell>
          <cell r="C3828">
            <v>0</v>
          </cell>
          <cell r="D3828">
            <v>913665</v>
          </cell>
          <cell r="E3828">
            <v>913665</v>
          </cell>
          <cell r="F3828">
            <v>913665</v>
          </cell>
          <cell r="G3828">
            <v>0</v>
          </cell>
          <cell r="H3828">
            <v>881110</v>
          </cell>
          <cell r="I3828">
            <v>74510065</v>
          </cell>
          <cell r="J3828">
            <v>0</v>
          </cell>
          <cell r="K3828">
            <v>913665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913816</v>
          </cell>
          <cell r="Q3828">
            <v>913665</v>
          </cell>
          <cell r="R3828">
            <v>7158589</v>
          </cell>
          <cell r="S3828">
            <v>913665</v>
          </cell>
          <cell r="T3828">
            <v>211048</v>
          </cell>
          <cell r="U3828">
            <v>0</v>
          </cell>
          <cell r="V3828">
            <v>0</v>
          </cell>
          <cell r="W3828">
            <v>63240027</v>
          </cell>
          <cell r="X3828">
            <v>9412269</v>
          </cell>
          <cell r="Y3828">
            <v>0</v>
          </cell>
          <cell r="Z3828">
            <v>0</v>
          </cell>
          <cell r="AA3828">
            <v>3967386</v>
          </cell>
          <cell r="AB3828">
            <v>0</v>
          </cell>
          <cell r="AC3828">
            <v>913665</v>
          </cell>
          <cell r="AD3828">
            <v>913665</v>
          </cell>
          <cell r="AE3828">
            <v>0</v>
          </cell>
          <cell r="AF3828">
            <v>41605478</v>
          </cell>
          <cell r="AG3828">
            <v>204813198</v>
          </cell>
          <cell r="AH3828">
            <v>0</v>
          </cell>
          <cell r="AI3828">
            <v>0</v>
          </cell>
        </row>
        <row r="3829">
          <cell r="A3829">
            <v>425010105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124779581</v>
          </cell>
          <cell r="AH3829">
            <v>0</v>
          </cell>
          <cell r="AI3829">
            <v>0</v>
          </cell>
        </row>
        <row r="3830">
          <cell r="A3830">
            <v>425010200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35620033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</row>
        <row r="3831">
          <cell r="A3831">
            <v>425010201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</row>
        <row r="3832">
          <cell r="A3832">
            <v>425010202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35620033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</row>
        <row r="3833">
          <cell r="A3833">
            <v>425010203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</row>
        <row r="3834">
          <cell r="A3834">
            <v>425010204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</row>
        <row r="3835">
          <cell r="A3835">
            <v>425013000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8582634</v>
          </cell>
          <cell r="S3835">
            <v>0</v>
          </cell>
          <cell r="T3835">
            <v>0</v>
          </cell>
          <cell r="U3835">
            <v>6420806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</row>
        <row r="3836">
          <cell r="A3836">
            <v>425013001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8582634</v>
          </cell>
          <cell r="S3836">
            <v>0</v>
          </cell>
          <cell r="T3836">
            <v>0</v>
          </cell>
          <cell r="U3836">
            <v>6420806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</row>
        <row r="3837">
          <cell r="A3837">
            <v>425020000</v>
          </cell>
          <cell r="C3837">
            <v>0</v>
          </cell>
          <cell r="D3837">
            <v>0</v>
          </cell>
          <cell r="E3837">
            <v>0</v>
          </cell>
          <cell r="F3837">
            <v>63430183</v>
          </cell>
          <cell r="G3837">
            <v>63616439</v>
          </cell>
          <cell r="H3837">
            <v>90000000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17950685</v>
          </cell>
          <cell r="S3837">
            <v>0</v>
          </cell>
          <cell r="T3837">
            <v>0</v>
          </cell>
          <cell r="U3837">
            <v>29883598</v>
          </cell>
          <cell r="V3837">
            <v>180000000</v>
          </cell>
          <cell r="W3837">
            <v>420365774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</row>
        <row r="3838">
          <cell r="A3838">
            <v>425020100</v>
          </cell>
          <cell r="C3838">
            <v>0</v>
          </cell>
          <cell r="D3838">
            <v>0</v>
          </cell>
          <cell r="E3838">
            <v>0</v>
          </cell>
          <cell r="F3838">
            <v>63430183</v>
          </cell>
          <cell r="G3838">
            <v>63616439</v>
          </cell>
          <cell r="H3838">
            <v>90000000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17950685</v>
          </cell>
          <cell r="S3838">
            <v>0</v>
          </cell>
          <cell r="T3838">
            <v>0</v>
          </cell>
          <cell r="U3838">
            <v>29883598</v>
          </cell>
          <cell r="V3838">
            <v>180000000</v>
          </cell>
          <cell r="W3838">
            <v>420365774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</row>
        <row r="3839">
          <cell r="A3839">
            <v>425020101</v>
          </cell>
          <cell r="C3839">
            <v>0</v>
          </cell>
          <cell r="D3839">
            <v>0</v>
          </cell>
          <cell r="E3839">
            <v>0</v>
          </cell>
          <cell r="F3839">
            <v>63430183</v>
          </cell>
          <cell r="G3839">
            <v>63616439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0</v>
          </cell>
          <cell r="U3839">
            <v>29883598</v>
          </cell>
          <cell r="V3839">
            <v>0</v>
          </cell>
          <cell r="W3839">
            <v>420365774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</row>
        <row r="3840">
          <cell r="A3840">
            <v>425020102</v>
          </cell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90000000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17950685</v>
          </cell>
          <cell r="S3840">
            <v>0</v>
          </cell>
          <cell r="T3840">
            <v>0</v>
          </cell>
          <cell r="U3840">
            <v>0</v>
          </cell>
          <cell r="V3840">
            <v>180000000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</row>
        <row r="3841">
          <cell r="A3841">
            <v>425020103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</row>
        <row r="3842">
          <cell r="A3842">
            <v>425020104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</row>
        <row r="3843">
          <cell r="A3843">
            <v>425020105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</row>
        <row r="3844">
          <cell r="A3844">
            <v>425020200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</row>
        <row r="3845">
          <cell r="A3845">
            <v>425020201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</row>
        <row r="3846">
          <cell r="A3846">
            <v>425020202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</row>
        <row r="3847">
          <cell r="A3847">
            <v>425020203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</row>
        <row r="3848">
          <cell r="A3848">
            <v>425020204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</row>
        <row r="3849">
          <cell r="A3849">
            <v>425020205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</row>
        <row r="3850">
          <cell r="A3850">
            <v>425023000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</row>
        <row r="3851">
          <cell r="A3851">
            <v>425023001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</row>
        <row r="3852">
          <cell r="A3852">
            <v>425030000</v>
          </cell>
          <cell r="C3852">
            <v>22857142</v>
          </cell>
          <cell r="D3852">
            <v>0</v>
          </cell>
          <cell r="E3852">
            <v>640022550</v>
          </cell>
          <cell r="F3852">
            <v>68650000</v>
          </cell>
          <cell r="G3852">
            <v>37462162</v>
          </cell>
          <cell r="H3852">
            <v>803702349</v>
          </cell>
          <cell r="I3852">
            <v>188221628</v>
          </cell>
          <cell r="J3852">
            <v>15500000</v>
          </cell>
          <cell r="K3852">
            <v>0</v>
          </cell>
          <cell r="L3852">
            <v>96165926</v>
          </cell>
          <cell r="M3852">
            <v>0</v>
          </cell>
          <cell r="N3852">
            <v>0</v>
          </cell>
          <cell r="O3852">
            <v>1890000</v>
          </cell>
          <cell r="P3852">
            <v>34999992</v>
          </cell>
          <cell r="Q3852">
            <v>0</v>
          </cell>
          <cell r="R3852">
            <v>241833923</v>
          </cell>
          <cell r="S3852">
            <v>0</v>
          </cell>
          <cell r="T3852">
            <v>82139148</v>
          </cell>
          <cell r="U3852">
            <v>422835811</v>
          </cell>
          <cell r="V3852">
            <v>35568630</v>
          </cell>
          <cell r="W3852">
            <v>76757144</v>
          </cell>
          <cell r="X3852">
            <v>470514263</v>
          </cell>
          <cell r="Y3852">
            <v>12000000</v>
          </cell>
          <cell r="Z3852">
            <v>41242000</v>
          </cell>
          <cell r="AA3852">
            <v>0</v>
          </cell>
          <cell r="AB3852">
            <v>126311828</v>
          </cell>
          <cell r="AC3852">
            <v>0</v>
          </cell>
          <cell r="AD3852">
            <v>0</v>
          </cell>
          <cell r="AE3852">
            <v>0</v>
          </cell>
          <cell r="AF3852">
            <v>27999988</v>
          </cell>
          <cell r="AG3852">
            <v>28196982</v>
          </cell>
          <cell r="AH3852">
            <v>0</v>
          </cell>
          <cell r="AI3852">
            <v>0</v>
          </cell>
        </row>
        <row r="3853">
          <cell r="A3853">
            <v>425030100</v>
          </cell>
          <cell r="C3853">
            <v>22857142</v>
          </cell>
          <cell r="D3853">
            <v>0</v>
          </cell>
          <cell r="E3853">
            <v>420716061</v>
          </cell>
          <cell r="F3853">
            <v>68650000</v>
          </cell>
          <cell r="G3853">
            <v>33600000</v>
          </cell>
          <cell r="H3853">
            <v>63714284</v>
          </cell>
          <cell r="I3853">
            <v>188221628</v>
          </cell>
          <cell r="J3853">
            <v>15500000</v>
          </cell>
          <cell r="K3853">
            <v>0</v>
          </cell>
          <cell r="L3853">
            <v>96165926</v>
          </cell>
          <cell r="M3853">
            <v>0</v>
          </cell>
          <cell r="N3853">
            <v>0</v>
          </cell>
          <cell r="O3853">
            <v>0</v>
          </cell>
          <cell r="P3853">
            <v>34999992</v>
          </cell>
          <cell r="Q3853">
            <v>0</v>
          </cell>
          <cell r="R3853">
            <v>241833923</v>
          </cell>
          <cell r="S3853">
            <v>0</v>
          </cell>
          <cell r="T3853">
            <v>82139148</v>
          </cell>
          <cell r="U3853">
            <v>422835811</v>
          </cell>
          <cell r="V3853">
            <v>35568630</v>
          </cell>
          <cell r="W3853">
            <v>76757144</v>
          </cell>
          <cell r="X3853">
            <v>470514263</v>
          </cell>
          <cell r="Y3853">
            <v>12000000</v>
          </cell>
          <cell r="Z3853">
            <v>41242000</v>
          </cell>
          <cell r="AA3853">
            <v>0</v>
          </cell>
          <cell r="AB3853">
            <v>12666668</v>
          </cell>
          <cell r="AC3853">
            <v>0</v>
          </cell>
          <cell r="AD3853">
            <v>0</v>
          </cell>
          <cell r="AE3853">
            <v>0</v>
          </cell>
          <cell r="AF3853">
            <v>27999988</v>
          </cell>
          <cell r="AG3853">
            <v>24666670</v>
          </cell>
          <cell r="AH3853">
            <v>0</v>
          </cell>
          <cell r="AI3853">
            <v>0</v>
          </cell>
        </row>
        <row r="3854">
          <cell r="A3854">
            <v>425030101</v>
          </cell>
          <cell r="C3854">
            <v>22857142</v>
          </cell>
          <cell r="D3854">
            <v>0</v>
          </cell>
          <cell r="E3854">
            <v>420716061</v>
          </cell>
          <cell r="F3854">
            <v>68650000</v>
          </cell>
          <cell r="G3854">
            <v>33600000</v>
          </cell>
          <cell r="H3854">
            <v>63714284</v>
          </cell>
          <cell r="I3854">
            <v>188221628</v>
          </cell>
          <cell r="J3854">
            <v>15500000</v>
          </cell>
          <cell r="K3854">
            <v>0</v>
          </cell>
          <cell r="L3854">
            <v>96165926</v>
          </cell>
          <cell r="M3854">
            <v>0</v>
          </cell>
          <cell r="N3854">
            <v>0</v>
          </cell>
          <cell r="O3854">
            <v>0</v>
          </cell>
          <cell r="P3854">
            <v>34999992</v>
          </cell>
          <cell r="Q3854">
            <v>0</v>
          </cell>
          <cell r="R3854">
            <v>241833923</v>
          </cell>
          <cell r="S3854">
            <v>0</v>
          </cell>
          <cell r="T3854">
            <v>82139148</v>
          </cell>
          <cell r="U3854">
            <v>422835811</v>
          </cell>
          <cell r="V3854">
            <v>35568630</v>
          </cell>
          <cell r="W3854">
            <v>76757144</v>
          </cell>
          <cell r="X3854">
            <v>470514263</v>
          </cell>
          <cell r="Y3854">
            <v>12000000</v>
          </cell>
          <cell r="Z3854">
            <v>41242000</v>
          </cell>
          <cell r="AA3854">
            <v>0</v>
          </cell>
          <cell r="AB3854">
            <v>12666668</v>
          </cell>
          <cell r="AC3854">
            <v>0</v>
          </cell>
          <cell r="AD3854">
            <v>0</v>
          </cell>
          <cell r="AE3854">
            <v>0</v>
          </cell>
          <cell r="AF3854">
            <v>27999988</v>
          </cell>
          <cell r="AG3854">
            <v>24666670</v>
          </cell>
          <cell r="AH3854">
            <v>0</v>
          </cell>
          <cell r="AI3854">
            <v>0</v>
          </cell>
        </row>
        <row r="3855">
          <cell r="A3855">
            <v>425030200</v>
          </cell>
          <cell r="C3855">
            <v>0</v>
          </cell>
          <cell r="D3855">
            <v>0</v>
          </cell>
          <cell r="E3855">
            <v>135697967</v>
          </cell>
          <cell r="F3855">
            <v>0</v>
          </cell>
          <cell r="G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113645160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</row>
        <row r="3856">
          <cell r="A3856">
            <v>425030201</v>
          </cell>
          <cell r="C3856">
            <v>0</v>
          </cell>
          <cell r="D3856">
            <v>0</v>
          </cell>
          <cell r="E3856">
            <v>135697967</v>
          </cell>
          <cell r="F3856">
            <v>0</v>
          </cell>
          <cell r="G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113645160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</row>
        <row r="3857">
          <cell r="A3857">
            <v>425030300</v>
          </cell>
          <cell r="C3857">
            <v>0</v>
          </cell>
          <cell r="D3857">
            <v>0</v>
          </cell>
          <cell r="E3857">
            <v>83608522</v>
          </cell>
          <cell r="F3857">
            <v>0</v>
          </cell>
          <cell r="G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</row>
        <row r="3858">
          <cell r="A3858">
            <v>425030301</v>
          </cell>
          <cell r="C3858">
            <v>0</v>
          </cell>
          <cell r="D3858">
            <v>0</v>
          </cell>
          <cell r="E3858">
            <v>83608522</v>
          </cell>
          <cell r="F3858">
            <v>0</v>
          </cell>
          <cell r="G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R3858">
            <v>0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</row>
        <row r="3859">
          <cell r="A3859">
            <v>425033000</v>
          </cell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G3859">
            <v>3862162</v>
          </cell>
          <cell r="H3859">
            <v>739988065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1890000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3530312</v>
          </cell>
          <cell r="AH3859">
            <v>0</v>
          </cell>
          <cell r="AI3859">
            <v>0</v>
          </cell>
        </row>
        <row r="3860">
          <cell r="A3860">
            <v>425033001</v>
          </cell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</row>
        <row r="3861">
          <cell r="A3861">
            <v>425033002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</row>
        <row r="3862">
          <cell r="A3862">
            <v>425033003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3862162</v>
          </cell>
          <cell r="H3862">
            <v>739988065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1890000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3530312</v>
          </cell>
          <cell r="AH3862">
            <v>0</v>
          </cell>
          <cell r="AI3862">
            <v>0</v>
          </cell>
        </row>
        <row r="3863">
          <cell r="A3863">
            <v>425040000</v>
          </cell>
          <cell r="C3863">
            <v>16716802</v>
          </cell>
          <cell r="D3863">
            <v>0</v>
          </cell>
          <cell r="E3863">
            <v>0</v>
          </cell>
          <cell r="F3863">
            <v>20494154</v>
          </cell>
          <cell r="G3863">
            <v>95236924</v>
          </cell>
          <cell r="H3863">
            <v>11178083</v>
          </cell>
          <cell r="I3863">
            <v>0</v>
          </cell>
          <cell r="J3863">
            <v>1848373</v>
          </cell>
          <cell r="K3863">
            <v>19668763</v>
          </cell>
          <cell r="L3863">
            <v>0</v>
          </cell>
          <cell r="M3863">
            <v>0</v>
          </cell>
          <cell r="N3863">
            <v>45063703</v>
          </cell>
          <cell r="O3863">
            <v>0</v>
          </cell>
          <cell r="P3863">
            <v>0</v>
          </cell>
          <cell r="Q3863">
            <v>2780379</v>
          </cell>
          <cell r="R3863">
            <v>10621703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9310189</v>
          </cell>
          <cell r="X3863">
            <v>0</v>
          </cell>
          <cell r="Y3863">
            <v>4683982</v>
          </cell>
          <cell r="Z3863">
            <v>4269889</v>
          </cell>
          <cell r="AA3863">
            <v>5852331</v>
          </cell>
          <cell r="AB3863">
            <v>10920896</v>
          </cell>
          <cell r="AC3863">
            <v>98243789</v>
          </cell>
          <cell r="AD3863">
            <v>29996581</v>
          </cell>
          <cell r="AE3863">
            <v>73098113</v>
          </cell>
          <cell r="AF3863">
            <v>26146832</v>
          </cell>
          <cell r="AG3863">
            <v>0</v>
          </cell>
          <cell r="AH3863">
            <v>8711475</v>
          </cell>
          <cell r="AI3863">
            <v>0</v>
          </cell>
        </row>
        <row r="3864">
          <cell r="A3864">
            <v>425040100</v>
          </cell>
          <cell r="C3864">
            <v>16716802</v>
          </cell>
          <cell r="D3864">
            <v>0</v>
          </cell>
          <cell r="E3864">
            <v>0</v>
          </cell>
          <cell r="F3864">
            <v>20494154</v>
          </cell>
          <cell r="G3864">
            <v>95236924</v>
          </cell>
          <cell r="H3864">
            <v>11178083</v>
          </cell>
          <cell r="I3864">
            <v>0</v>
          </cell>
          <cell r="J3864">
            <v>1848373</v>
          </cell>
          <cell r="K3864">
            <v>19668763</v>
          </cell>
          <cell r="L3864">
            <v>0</v>
          </cell>
          <cell r="M3864">
            <v>0</v>
          </cell>
          <cell r="N3864">
            <v>45063703</v>
          </cell>
          <cell r="O3864">
            <v>0</v>
          </cell>
          <cell r="P3864">
            <v>0</v>
          </cell>
          <cell r="Q3864">
            <v>2780379</v>
          </cell>
          <cell r="R3864">
            <v>10621703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9310189</v>
          </cell>
          <cell r="X3864">
            <v>0</v>
          </cell>
          <cell r="Y3864">
            <v>4683982</v>
          </cell>
          <cell r="Z3864">
            <v>4269889</v>
          </cell>
          <cell r="AA3864">
            <v>5852331</v>
          </cell>
          <cell r="AB3864">
            <v>10920896</v>
          </cell>
          <cell r="AC3864">
            <v>47646497</v>
          </cell>
          <cell r="AD3864">
            <v>29996581</v>
          </cell>
          <cell r="AE3864">
            <v>73098113</v>
          </cell>
          <cell r="AF3864">
            <v>26146832</v>
          </cell>
          <cell r="AG3864">
            <v>0</v>
          </cell>
          <cell r="AH3864">
            <v>8711475</v>
          </cell>
          <cell r="AI3864">
            <v>0</v>
          </cell>
        </row>
        <row r="3865">
          <cell r="A3865">
            <v>425040101</v>
          </cell>
          <cell r="C3865">
            <v>1301586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5572603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</row>
        <row r="3866">
          <cell r="A3866">
            <v>425040102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</row>
        <row r="3867">
          <cell r="A3867">
            <v>425040103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95236924</v>
          </cell>
          <cell r="H3867">
            <v>5605480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37551515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</row>
        <row r="3868">
          <cell r="A3868">
            <v>425040104</v>
          </cell>
          <cell r="C3868">
            <v>15415216</v>
          </cell>
          <cell r="D3868">
            <v>0</v>
          </cell>
          <cell r="E3868">
            <v>0</v>
          </cell>
          <cell r="F3868">
            <v>20494154</v>
          </cell>
          <cell r="G3868">
            <v>0</v>
          </cell>
          <cell r="H3868">
            <v>0</v>
          </cell>
          <cell r="I3868">
            <v>0</v>
          </cell>
          <cell r="J3868">
            <v>1848373</v>
          </cell>
          <cell r="K3868">
            <v>19668763</v>
          </cell>
          <cell r="L3868">
            <v>0</v>
          </cell>
          <cell r="M3868">
            <v>0</v>
          </cell>
          <cell r="N3868">
            <v>45063703</v>
          </cell>
          <cell r="O3868">
            <v>0</v>
          </cell>
          <cell r="P3868">
            <v>0</v>
          </cell>
          <cell r="Q3868">
            <v>2780379</v>
          </cell>
          <cell r="R3868">
            <v>10621703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9310189</v>
          </cell>
          <cell r="X3868">
            <v>0</v>
          </cell>
          <cell r="Y3868">
            <v>4683982</v>
          </cell>
          <cell r="Z3868">
            <v>4269889</v>
          </cell>
          <cell r="AA3868">
            <v>5852331</v>
          </cell>
          <cell r="AB3868">
            <v>10920896</v>
          </cell>
          <cell r="AC3868">
            <v>10094982</v>
          </cell>
          <cell r="AD3868">
            <v>29996581</v>
          </cell>
          <cell r="AE3868">
            <v>73098113</v>
          </cell>
          <cell r="AF3868">
            <v>26146832</v>
          </cell>
          <cell r="AG3868">
            <v>0</v>
          </cell>
          <cell r="AH3868">
            <v>8711475</v>
          </cell>
          <cell r="AI3868">
            <v>0</v>
          </cell>
        </row>
        <row r="3869">
          <cell r="A3869">
            <v>425040200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</row>
        <row r="3870">
          <cell r="A3870">
            <v>425040201</v>
          </cell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</row>
        <row r="3871">
          <cell r="A3871">
            <v>425040300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</row>
        <row r="3872">
          <cell r="A3872">
            <v>425040301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</row>
        <row r="3873">
          <cell r="A3873">
            <v>425043000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50597292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</row>
        <row r="3874">
          <cell r="A3874">
            <v>425043001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50597292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</row>
        <row r="3875">
          <cell r="A3875">
            <v>425043002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</row>
        <row r="3876">
          <cell r="A3876">
            <v>425043003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</row>
        <row r="3877">
          <cell r="A3877">
            <v>425050000</v>
          </cell>
          <cell r="C3877">
            <v>1556779072</v>
          </cell>
          <cell r="D3877">
            <v>1725247937</v>
          </cell>
          <cell r="E3877">
            <v>738438640</v>
          </cell>
          <cell r="F3877">
            <v>283070555</v>
          </cell>
          <cell r="G3877">
            <v>1216585571</v>
          </cell>
          <cell r="H3877">
            <v>1762511016</v>
          </cell>
          <cell r="I3877">
            <v>359086370</v>
          </cell>
          <cell r="J3877">
            <v>153453835</v>
          </cell>
          <cell r="K3877">
            <v>37074201</v>
          </cell>
          <cell r="L3877">
            <v>69821046</v>
          </cell>
          <cell r="M3877">
            <v>423562918</v>
          </cell>
          <cell r="N3877">
            <v>1612404395</v>
          </cell>
          <cell r="O3877">
            <v>1065921412</v>
          </cell>
          <cell r="P3877">
            <v>266879513</v>
          </cell>
          <cell r="Q3877">
            <v>174967405</v>
          </cell>
          <cell r="R3877">
            <v>227689565</v>
          </cell>
          <cell r="S3877">
            <v>132907989</v>
          </cell>
          <cell r="T3877">
            <v>1112502023</v>
          </cell>
          <cell r="U3877">
            <v>0</v>
          </cell>
          <cell r="V3877">
            <v>3672280</v>
          </cell>
          <cell r="W3877">
            <v>384301251</v>
          </cell>
          <cell r="X3877">
            <v>667625201</v>
          </cell>
          <cell r="Y3877">
            <v>155723586</v>
          </cell>
          <cell r="Z3877">
            <v>173194838</v>
          </cell>
          <cell r="AA3877">
            <v>119477648</v>
          </cell>
          <cell r="AB3877">
            <v>627432578</v>
          </cell>
          <cell r="AC3877">
            <v>70358488</v>
          </cell>
          <cell r="AD3877">
            <v>1028213942</v>
          </cell>
          <cell r="AE3877">
            <v>3337999613</v>
          </cell>
          <cell r="AF3877">
            <v>544827435</v>
          </cell>
          <cell r="AG3877">
            <v>0</v>
          </cell>
          <cell r="AH3877">
            <v>122060265</v>
          </cell>
          <cell r="AI3877">
            <v>3963454195</v>
          </cell>
        </row>
        <row r="3878">
          <cell r="A3878">
            <v>425050100</v>
          </cell>
          <cell r="C3878">
            <v>1556779072</v>
          </cell>
          <cell r="D3878">
            <v>1725247937</v>
          </cell>
          <cell r="E3878">
            <v>738438640</v>
          </cell>
          <cell r="F3878">
            <v>283070555</v>
          </cell>
          <cell r="G3878">
            <v>1216585571</v>
          </cell>
          <cell r="H3878">
            <v>1762511016</v>
          </cell>
          <cell r="I3878">
            <v>359086370</v>
          </cell>
          <cell r="J3878">
            <v>153453835</v>
          </cell>
          <cell r="K3878">
            <v>37074201</v>
          </cell>
          <cell r="L3878">
            <v>69821046</v>
          </cell>
          <cell r="M3878">
            <v>423562918</v>
          </cell>
          <cell r="N3878">
            <v>1612404395</v>
          </cell>
          <cell r="O3878">
            <v>1065921412</v>
          </cell>
          <cell r="P3878">
            <v>266879513</v>
          </cell>
          <cell r="Q3878">
            <v>174967405</v>
          </cell>
          <cell r="R3878">
            <v>227689565</v>
          </cell>
          <cell r="S3878">
            <v>132907989</v>
          </cell>
          <cell r="T3878">
            <v>1112502023</v>
          </cell>
          <cell r="U3878">
            <v>0</v>
          </cell>
          <cell r="V3878">
            <v>3672280</v>
          </cell>
          <cell r="W3878">
            <v>384301251</v>
          </cell>
          <cell r="X3878">
            <v>667625201</v>
          </cell>
          <cell r="Y3878">
            <v>155723586</v>
          </cell>
          <cell r="Z3878">
            <v>173194838</v>
          </cell>
          <cell r="AA3878">
            <v>119477648</v>
          </cell>
          <cell r="AB3878">
            <v>627432578</v>
          </cell>
          <cell r="AC3878">
            <v>70358488</v>
          </cell>
          <cell r="AD3878">
            <v>1028213942</v>
          </cell>
          <cell r="AE3878">
            <v>3337999613</v>
          </cell>
          <cell r="AF3878">
            <v>544827435</v>
          </cell>
          <cell r="AG3878">
            <v>0</v>
          </cell>
          <cell r="AH3878">
            <v>122060265</v>
          </cell>
          <cell r="AI3878">
            <v>3963454195</v>
          </cell>
        </row>
        <row r="3879">
          <cell r="A3879">
            <v>425050101</v>
          </cell>
          <cell r="C3879">
            <v>1556779072</v>
          </cell>
          <cell r="D3879">
            <v>1725247937</v>
          </cell>
          <cell r="E3879">
            <v>738438640</v>
          </cell>
          <cell r="F3879">
            <v>283070555</v>
          </cell>
          <cell r="G3879">
            <v>1216585571</v>
          </cell>
          <cell r="H3879">
            <v>1762511016</v>
          </cell>
          <cell r="I3879">
            <v>359086370</v>
          </cell>
          <cell r="J3879">
            <v>153453835</v>
          </cell>
          <cell r="K3879">
            <v>37074201</v>
          </cell>
          <cell r="L3879">
            <v>69821046</v>
          </cell>
          <cell r="M3879">
            <v>423562918</v>
          </cell>
          <cell r="N3879">
            <v>1612404395</v>
          </cell>
          <cell r="O3879">
            <v>1065921412</v>
          </cell>
          <cell r="P3879">
            <v>266879513</v>
          </cell>
          <cell r="Q3879">
            <v>174967405</v>
          </cell>
          <cell r="R3879">
            <v>227689565</v>
          </cell>
          <cell r="S3879">
            <v>132907989</v>
          </cell>
          <cell r="T3879">
            <v>1112502023</v>
          </cell>
          <cell r="U3879">
            <v>0</v>
          </cell>
          <cell r="V3879">
            <v>3672280</v>
          </cell>
          <cell r="W3879">
            <v>384301251</v>
          </cell>
          <cell r="X3879">
            <v>667625201</v>
          </cell>
          <cell r="Y3879">
            <v>155723586</v>
          </cell>
          <cell r="Z3879">
            <v>173194838</v>
          </cell>
          <cell r="AA3879">
            <v>119477648</v>
          </cell>
          <cell r="AB3879">
            <v>627432578</v>
          </cell>
          <cell r="AC3879">
            <v>70358488</v>
          </cell>
          <cell r="AD3879">
            <v>1028213942</v>
          </cell>
          <cell r="AE3879">
            <v>3337999613</v>
          </cell>
          <cell r="AF3879">
            <v>544827435</v>
          </cell>
          <cell r="AG3879">
            <v>0</v>
          </cell>
          <cell r="AH3879">
            <v>122060265</v>
          </cell>
          <cell r="AI3879">
            <v>3963454195</v>
          </cell>
        </row>
        <row r="3880">
          <cell r="A3880">
            <v>426000000</v>
          </cell>
          <cell r="C3880">
            <v>987534732</v>
          </cell>
          <cell r="D3880">
            <v>468222227</v>
          </cell>
          <cell r="E3880">
            <v>376759948</v>
          </cell>
          <cell r="F3880">
            <v>109236436</v>
          </cell>
          <cell r="G3880">
            <v>267538723</v>
          </cell>
          <cell r="H3880">
            <v>1594141854</v>
          </cell>
          <cell r="I3880">
            <v>635953640</v>
          </cell>
          <cell r="J3880">
            <v>454198840</v>
          </cell>
          <cell r="K3880">
            <v>164498854</v>
          </cell>
          <cell r="L3880">
            <v>43543080</v>
          </cell>
          <cell r="M3880">
            <v>228483456</v>
          </cell>
          <cell r="N3880">
            <v>454449458</v>
          </cell>
          <cell r="O3880">
            <v>873992352</v>
          </cell>
          <cell r="P3880">
            <v>361932911</v>
          </cell>
          <cell r="Q3880">
            <v>133779309</v>
          </cell>
          <cell r="R3880">
            <v>602688745</v>
          </cell>
          <cell r="S3880">
            <v>438448505</v>
          </cell>
          <cell r="T3880">
            <v>1019494188</v>
          </cell>
          <cell r="U3880">
            <v>28833131</v>
          </cell>
          <cell r="V3880">
            <v>434740864</v>
          </cell>
          <cell r="W3880">
            <v>330199315</v>
          </cell>
          <cell r="X3880">
            <v>471920213</v>
          </cell>
          <cell r="Y3880">
            <v>221441942</v>
          </cell>
          <cell r="Z3880">
            <v>62146290</v>
          </cell>
          <cell r="AA3880">
            <v>269344015</v>
          </cell>
          <cell r="AB3880">
            <v>828161752</v>
          </cell>
          <cell r="AC3880">
            <v>131476625</v>
          </cell>
          <cell r="AD3880">
            <v>96032980</v>
          </cell>
          <cell r="AE3880">
            <v>1782213427</v>
          </cell>
          <cell r="AF3880">
            <v>383175544</v>
          </cell>
          <cell r="AG3880">
            <v>68178503</v>
          </cell>
          <cell r="AH3880">
            <v>137747121</v>
          </cell>
          <cell r="AI3880">
            <v>1692486803</v>
          </cell>
        </row>
        <row r="3881">
          <cell r="A3881">
            <v>426010000</v>
          </cell>
          <cell r="C3881">
            <v>987534730</v>
          </cell>
          <cell r="D3881">
            <v>390060755</v>
          </cell>
          <cell r="E3881">
            <v>366025339</v>
          </cell>
          <cell r="F3881">
            <v>74110388</v>
          </cell>
          <cell r="G3881">
            <v>265004718</v>
          </cell>
          <cell r="H3881">
            <v>1364469894</v>
          </cell>
          <cell r="I3881">
            <v>245266795</v>
          </cell>
          <cell r="J3881">
            <v>347951353</v>
          </cell>
          <cell r="K3881">
            <v>133617299</v>
          </cell>
          <cell r="L3881">
            <v>26908021</v>
          </cell>
          <cell r="M3881">
            <v>199140295</v>
          </cell>
          <cell r="N3881">
            <v>454449458</v>
          </cell>
          <cell r="O3881">
            <v>559298507</v>
          </cell>
          <cell r="P3881">
            <v>360090930</v>
          </cell>
          <cell r="Q3881">
            <v>131937413</v>
          </cell>
          <cell r="R3881">
            <v>586057944</v>
          </cell>
          <cell r="S3881">
            <v>402325112</v>
          </cell>
          <cell r="T3881">
            <v>1007203997</v>
          </cell>
          <cell r="U3881">
            <v>0</v>
          </cell>
          <cell r="V3881">
            <v>389652005</v>
          </cell>
          <cell r="W3881">
            <v>282725216</v>
          </cell>
          <cell r="X3881">
            <v>372697162</v>
          </cell>
          <cell r="Y3881">
            <v>183570957</v>
          </cell>
          <cell r="Z3881">
            <v>32263687</v>
          </cell>
          <cell r="AA3881">
            <v>243466369</v>
          </cell>
          <cell r="AB3881">
            <v>381294628</v>
          </cell>
          <cell r="AC3881">
            <v>67142269</v>
          </cell>
          <cell r="AD3881">
            <v>75828852</v>
          </cell>
          <cell r="AE3881">
            <v>1707397802</v>
          </cell>
          <cell r="AF3881">
            <v>293088383</v>
          </cell>
          <cell r="AG3881">
            <v>60637569</v>
          </cell>
          <cell r="AH3881">
            <v>137446997</v>
          </cell>
          <cell r="AI3881">
            <v>1692486803</v>
          </cell>
        </row>
        <row r="3882">
          <cell r="A3882">
            <v>426010100</v>
          </cell>
          <cell r="C3882">
            <v>49662275</v>
          </cell>
          <cell r="D3882">
            <v>42963990</v>
          </cell>
          <cell r="E3882">
            <v>253488053</v>
          </cell>
          <cell r="F3882">
            <v>34780702</v>
          </cell>
          <cell r="G3882">
            <v>14699274</v>
          </cell>
          <cell r="H3882">
            <v>28137011</v>
          </cell>
          <cell r="I3882">
            <v>13795537</v>
          </cell>
          <cell r="J3882">
            <v>136662053</v>
          </cell>
          <cell r="K3882">
            <v>5817433</v>
          </cell>
          <cell r="L3882">
            <v>1327016</v>
          </cell>
          <cell r="M3882">
            <v>1794448</v>
          </cell>
          <cell r="N3882">
            <v>76475334</v>
          </cell>
          <cell r="O3882">
            <v>173701859</v>
          </cell>
          <cell r="P3882">
            <v>64074214</v>
          </cell>
          <cell r="Q3882">
            <v>6629504</v>
          </cell>
          <cell r="R3882">
            <v>74971620</v>
          </cell>
          <cell r="S3882">
            <v>11702977</v>
          </cell>
          <cell r="T3882">
            <v>19183920</v>
          </cell>
          <cell r="U3882">
            <v>0</v>
          </cell>
          <cell r="V3882">
            <v>114205657</v>
          </cell>
          <cell r="W3882">
            <v>206448425</v>
          </cell>
          <cell r="X3882">
            <v>39337906</v>
          </cell>
          <cell r="Y3882">
            <v>28759472</v>
          </cell>
          <cell r="Z3882">
            <v>6012140</v>
          </cell>
          <cell r="AA3882">
            <v>144071433</v>
          </cell>
          <cell r="AB3882">
            <v>57703658</v>
          </cell>
          <cell r="AC3882">
            <v>33192578</v>
          </cell>
          <cell r="AD3882">
            <v>21181998</v>
          </cell>
          <cell r="AE3882">
            <v>110483256</v>
          </cell>
          <cell r="AF3882">
            <v>6265318</v>
          </cell>
          <cell r="AG3882">
            <v>21064416</v>
          </cell>
          <cell r="AH3882">
            <v>18646071</v>
          </cell>
          <cell r="AI3882">
            <v>0</v>
          </cell>
        </row>
        <row r="3883">
          <cell r="A3883">
            <v>426010101</v>
          </cell>
          <cell r="C3883">
            <v>49662275</v>
          </cell>
          <cell r="D3883">
            <v>42963990</v>
          </cell>
          <cell r="E3883">
            <v>253488053</v>
          </cell>
          <cell r="F3883">
            <v>34780702</v>
          </cell>
          <cell r="G3883">
            <v>14699274</v>
          </cell>
          <cell r="H3883">
            <v>28137011</v>
          </cell>
          <cell r="I3883">
            <v>13795537</v>
          </cell>
          <cell r="J3883">
            <v>136662053</v>
          </cell>
          <cell r="K3883">
            <v>5817433</v>
          </cell>
          <cell r="L3883">
            <v>1327016</v>
          </cell>
          <cell r="M3883">
            <v>1794448</v>
          </cell>
          <cell r="N3883">
            <v>76475334</v>
          </cell>
          <cell r="O3883">
            <v>173701859</v>
          </cell>
          <cell r="P3883">
            <v>64074214</v>
          </cell>
          <cell r="Q3883">
            <v>6629504</v>
          </cell>
          <cell r="R3883">
            <v>74971620</v>
          </cell>
          <cell r="S3883">
            <v>11702977</v>
          </cell>
          <cell r="T3883">
            <v>19183920</v>
          </cell>
          <cell r="U3883">
            <v>0</v>
          </cell>
          <cell r="V3883">
            <v>114205657</v>
          </cell>
          <cell r="W3883">
            <v>206448425</v>
          </cell>
          <cell r="X3883">
            <v>39337906</v>
          </cell>
          <cell r="Y3883">
            <v>28759472</v>
          </cell>
          <cell r="Z3883">
            <v>6012140</v>
          </cell>
          <cell r="AA3883">
            <v>144071433</v>
          </cell>
          <cell r="AB3883">
            <v>57703658</v>
          </cell>
          <cell r="AC3883">
            <v>33192578</v>
          </cell>
          <cell r="AD3883">
            <v>21181998</v>
          </cell>
          <cell r="AE3883">
            <v>110483256</v>
          </cell>
          <cell r="AF3883">
            <v>6265318</v>
          </cell>
          <cell r="AG3883">
            <v>21064416</v>
          </cell>
          <cell r="AH3883">
            <v>18646071</v>
          </cell>
          <cell r="AI3883">
            <v>0</v>
          </cell>
        </row>
        <row r="3884">
          <cell r="A3884">
            <v>426010200</v>
          </cell>
          <cell r="C3884">
            <v>107880257</v>
          </cell>
          <cell r="D3884">
            <v>207622858</v>
          </cell>
          <cell r="E3884">
            <v>18217388</v>
          </cell>
          <cell r="F3884">
            <v>14027139</v>
          </cell>
          <cell r="G3884">
            <v>16931819</v>
          </cell>
          <cell r="H3884">
            <v>55275827</v>
          </cell>
          <cell r="I3884">
            <v>6398057</v>
          </cell>
          <cell r="J3884">
            <v>8068354</v>
          </cell>
          <cell r="K3884">
            <v>0</v>
          </cell>
          <cell r="L3884">
            <v>136218</v>
          </cell>
          <cell r="M3884">
            <v>3357203</v>
          </cell>
          <cell r="N3884">
            <v>14058756</v>
          </cell>
          <cell r="O3884">
            <v>32063652</v>
          </cell>
          <cell r="P3884">
            <v>43823213</v>
          </cell>
          <cell r="Q3884">
            <v>20844155</v>
          </cell>
          <cell r="R3884">
            <v>3403620</v>
          </cell>
          <cell r="S3884">
            <v>61000</v>
          </cell>
          <cell r="T3884">
            <v>72271769</v>
          </cell>
          <cell r="U3884">
            <v>0</v>
          </cell>
          <cell r="V3884">
            <v>104475507</v>
          </cell>
          <cell r="W3884">
            <v>226915</v>
          </cell>
          <cell r="X3884">
            <v>242445369</v>
          </cell>
          <cell r="Y3884">
            <v>20454351</v>
          </cell>
          <cell r="Z3884">
            <v>2195965</v>
          </cell>
          <cell r="AA3884">
            <v>32625704</v>
          </cell>
          <cell r="AB3884">
            <v>20796064</v>
          </cell>
          <cell r="AC3884">
            <v>588249</v>
          </cell>
          <cell r="AD3884">
            <v>3363698</v>
          </cell>
          <cell r="AE3884">
            <v>62369639</v>
          </cell>
          <cell r="AF3884">
            <v>999491</v>
          </cell>
          <cell r="AG3884">
            <v>7731422</v>
          </cell>
          <cell r="AH3884">
            <v>6178606</v>
          </cell>
          <cell r="AI3884">
            <v>896049</v>
          </cell>
        </row>
        <row r="3885">
          <cell r="A3885">
            <v>426010201</v>
          </cell>
          <cell r="C3885">
            <v>107880257</v>
          </cell>
          <cell r="D3885">
            <v>207622858</v>
          </cell>
          <cell r="E3885">
            <v>18217388</v>
          </cell>
          <cell r="F3885">
            <v>14027139</v>
          </cell>
          <cell r="G3885">
            <v>16931819</v>
          </cell>
          <cell r="H3885">
            <v>55275827</v>
          </cell>
          <cell r="I3885">
            <v>6398057</v>
          </cell>
          <cell r="J3885">
            <v>8068354</v>
          </cell>
          <cell r="K3885">
            <v>0</v>
          </cell>
          <cell r="L3885">
            <v>136218</v>
          </cell>
          <cell r="M3885">
            <v>3357203</v>
          </cell>
          <cell r="N3885">
            <v>14058756</v>
          </cell>
          <cell r="O3885">
            <v>32063652</v>
          </cell>
          <cell r="P3885">
            <v>43823213</v>
          </cell>
          <cell r="Q3885">
            <v>20844155</v>
          </cell>
          <cell r="R3885">
            <v>3403620</v>
          </cell>
          <cell r="S3885">
            <v>61000</v>
          </cell>
          <cell r="T3885">
            <v>72271769</v>
          </cell>
          <cell r="U3885">
            <v>0</v>
          </cell>
          <cell r="V3885">
            <v>104475507</v>
          </cell>
          <cell r="W3885">
            <v>226915</v>
          </cell>
          <cell r="X3885">
            <v>242445369</v>
          </cell>
          <cell r="Y3885">
            <v>20454351</v>
          </cell>
          <cell r="Z3885">
            <v>2195965</v>
          </cell>
          <cell r="AA3885">
            <v>32625704</v>
          </cell>
          <cell r="AB3885">
            <v>20796064</v>
          </cell>
          <cell r="AC3885">
            <v>588249</v>
          </cell>
          <cell r="AD3885">
            <v>3363698</v>
          </cell>
          <cell r="AE3885">
            <v>62369639</v>
          </cell>
          <cell r="AF3885">
            <v>999491</v>
          </cell>
          <cell r="AG3885">
            <v>7731422</v>
          </cell>
          <cell r="AH3885">
            <v>6178606</v>
          </cell>
          <cell r="AI3885">
            <v>896049</v>
          </cell>
        </row>
        <row r="3886">
          <cell r="A3886">
            <v>426010300</v>
          </cell>
          <cell r="C3886">
            <v>27602727</v>
          </cell>
          <cell r="D3886">
            <v>8377179</v>
          </cell>
          <cell r="E3886">
            <v>2962848</v>
          </cell>
          <cell r="F3886">
            <v>1183366</v>
          </cell>
          <cell r="G3886">
            <v>359587</v>
          </cell>
          <cell r="H3886">
            <v>8210513</v>
          </cell>
          <cell r="I3886">
            <v>3330737</v>
          </cell>
          <cell r="J3886">
            <v>5049555</v>
          </cell>
          <cell r="K3886">
            <v>0</v>
          </cell>
          <cell r="L3886">
            <v>198646</v>
          </cell>
          <cell r="M3886">
            <v>0</v>
          </cell>
          <cell r="N3886">
            <v>23593511</v>
          </cell>
          <cell r="O3886">
            <v>9247044</v>
          </cell>
          <cell r="P3886">
            <v>373651</v>
          </cell>
          <cell r="Q3886">
            <v>3499611</v>
          </cell>
          <cell r="R3886">
            <v>10342787</v>
          </cell>
          <cell r="S3886">
            <v>5691199</v>
          </cell>
          <cell r="T3886">
            <v>7605545</v>
          </cell>
          <cell r="U3886">
            <v>0</v>
          </cell>
          <cell r="V3886">
            <v>125320</v>
          </cell>
          <cell r="W3886">
            <v>1755891</v>
          </cell>
          <cell r="X3886">
            <v>5616004</v>
          </cell>
          <cell r="Y3886">
            <v>1655736</v>
          </cell>
          <cell r="Z3886">
            <v>110751</v>
          </cell>
          <cell r="AA3886">
            <v>6441435</v>
          </cell>
          <cell r="AB3886">
            <v>644134</v>
          </cell>
          <cell r="AC3886">
            <v>1359530</v>
          </cell>
          <cell r="AD3886">
            <v>581318</v>
          </cell>
          <cell r="AE3886">
            <v>1608689</v>
          </cell>
          <cell r="AF3886">
            <v>3036120</v>
          </cell>
          <cell r="AG3886">
            <v>3948001</v>
          </cell>
          <cell r="AH3886">
            <v>587835</v>
          </cell>
          <cell r="AI3886">
            <v>260014</v>
          </cell>
        </row>
        <row r="3887">
          <cell r="A3887">
            <v>426010301</v>
          </cell>
          <cell r="C3887">
            <v>27602727</v>
          </cell>
          <cell r="D3887">
            <v>8377179</v>
          </cell>
          <cell r="E3887">
            <v>2962848</v>
          </cell>
          <cell r="F3887">
            <v>1183366</v>
          </cell>
          <cell r="G3887">
            <v>359587</v>
          </cell>
          <cell r="H3887">
            <v>8210513</v>
          </cell>
          <cell r="I3887">
            <v>3330737</v>
          </cell>
          <cell r="J3887">
            <v>5049555</v>
          </cell>
          <cell r="K3887">
            <v>0</v>
          </cell>
          <cell r="L3887">
            <v>198646</v>
          </cell>
          <cell r="M3887">
            <v>0</v>
          </cell>
          <cell r="N3887">
            <v>23593511</v>
          </cell>
          <cell r="O3887">
            <v>9247044</v>
          </cell>
          <cell r="P3887">
            <v>373651</v>
          </cell>
          <cell r="Q3887">
            <v>3499611</v>
          </cell>
          <cell r="R3887">
            <v>10342787</v>
          </cell>
          <cell r="S3887">
            <v>5691199</v>
          </cell>
          <cell r="T3887">
            <v>7605545</v>
          </cell>
          <cell r="U3887">
            <v>0</v>
          </cell>
          <cell r="V3887">
            <v>125320</v>
          </cell>
          <cell r="W3887">
            <v>1755891</v>
          </cell>
          <cell r="X3887">
            <v>5616004</v>
          </cell>
          <cell r="Y3887">
            <v>1655736</v>
          </cell>
          <cell r="Z3887">
            <v>110751</v>
          </cell>
          <cell r="AA3887">
            <v>6441435</v>
          </cell>
          <cell r="AB3887">
            <v>644134</v>
          </cell>
          <cell r="AC3887">
            <v>1359530</v>
          </cell>
          <cell r="AD3887">
            <v>581318</v>
          </cell>
          <cell r="AE3887">
            <v>1608689</v>
          </cell>
          <cell r="AF3887">
            <v>3036120</v>
          </cell>
          <cell r="AG3887">
            <v>3948001</v>
          </cell>
          <cell r="AH3887">
            <v>587835</v>
          </cell>
          <cell r="AI3887">
            <v>260014</v>
          </cell>
        </row>
        <row r="3888">
          <cell r="A3888">
            <v>426010400</v>
          </cell>
          <cell r="C3888">
            <v>370785288</v>
          </cell>
          <cell r="D3888">
            <v>11188641</v>
          </cell>
          <cell r="E3888">
            <v>71016301</v>
          </cell>
          <cell r="F3888">
            <v>10460159</v>
          </cell>
          <cell r="G3888">
            <v>105007044</v>
          </cell>
          <cell r="H3888">
            <v>1007298473</v>
          </cell>
          <cell r="I3888">
            <v>195279480</v>
          </cell>
          <cell r="J3888">
            <v>161370227</v>
          </cell>
          <cell r="K3888">
            <v>6332581</v>
          </cell>
          <cell r="L3888">
            <v>2462783</v>
          </cell>
          <cell r="M3888">
            <v>56340432</v>
          </cell>
          <cell r="N3888">
            <v>69184587</v>
          </cell>
          <cell r="O3888">
            <v>231123666</v>
          </cell>
          <cell r="P3888">
            <v>203416697</v>
          </cell>
          <cell r="Q3888">
            <v>52428173</v>
          </cell>
          <cell r="R3888">
            <v>78264749</v>
          </cell>
          <cell r="S3888">
            <v>331376347</v>
          </cell>
          <cell r="T3888">
            <v>569769018</v>
          </cell>
          <cell r="U3888">
            <v>0</v>
          </cell>
          <cell r="V3888">
            <v>127846845</v>
          </cell>
          <cell r="W3888">
            <v>23973635</v>
          </cell>
          <cell r="X3888">
            <v>3070606</v>
          </cell>
          <cell r="Y3888">
            <v>89952856</v>
          </cell>
          <cell r="Z3888">
            <v>5874549</v>
          </cell>
          <cell r="AA3888">
            <v>31445376</v>
          </cell>
          <cell r="AB3888">
            <v>90175583</v>
          </cell>
          <cell r="AC3888">
            <v>0</v>
          </cell>
          <cell r="AD3888">
            <v>4702381</v>
          </cell>
          <cell r="AE3888">
            <v>1126980979</v>
          </cell>
          <cell r="AF3888">
            <v>18690687</v>
          </cell>
          <cell r="AG3888">
            <v>0</v>
          </cell>
          <cell r="AH3888">
            <v>91745903</v>
          </cell>
          <cell r="AI3888">
            <v>485510</v>
          </cell>
        </row>
        <row r="3889">
          <cell r="A3889">
            <v>426010401</v>
          </cell>
          <cell r="C3889">
            <v>370785288</v>
          </cell>
          <cell r="D3889">
            <v>11188641</v>
          </cell>
          <cell r="E3889">
            <v>71016301</v>
          </cell>
          <cell r="F3889">
            <v>10460159</v>
          </cell>
          <cell r="G3889">
            <v>105007044</v>
          </cell>
          <cell r="H3889">
            <v>1007298473</v>
          </cell>
          <cell r="I3889">
            <v>195279480</v>
          </cell>
          <cell r="J3889">
            <v>161370227</v>
          </cell>
          <cell r="K3889">
            <v>6332581</v>
          </cell>
          <cell r="L3889">
            <v>2462783</v>
          </cell>
          <cell r="M3889">
            <v>56340432</v>
          </cell>
          <cell r="N3889">
            <v>69184587</v>
          </cell>
          <cell r="O3889">
            <v>231123666</v>
          </cell>
          <cell r="P3889">
            <v>203416697</v>
          </cell>
          <cell r="Q3889">
            <v>52428173</v>
          </cell>
          <cell r="R3889">
            <v>78264749</v>
          </cell>
          <cell r="S3889">
            <v>331376347</v>
          </cell>
          <cell r="T3889">
            <v>569769018</v>
          </cell>
          <cell r="U3889">
            <v>0</v>
          </cell>
          <cell r="V3889">
            <v>127846845</v>
          </cell>
          <cell r="W3889">
            <v>23973635</v>
          </cell>
          <cell r="X3889">
            <v>3070606</v>
          </cell>
          <cell r="Y3889">
            <v>89952856</v>
          </cell>
          <cell r="Z3889">
            <v>5874549</v>
          </cell>
          <cell r="AA3889">
            <v>31445376</v>
          </cell>
          <cell r="AB3889">
            <v>90175583</v>
          </cell>
          <cell r="AC3889">
            <v>0</v>
          </cell>
          <cell r="AD3889">
            <v>4702381</v>
          </cell>
          <cell r="AE3889">
            <v>1126980979</v>
          </cell>
          <cell r="AF3889">
            <v>18690687</v>
          </cell>
          <cell r="AG3889">
            <v>0</v>
          </cell>
          <cell r="AH3889">
            <v>91745903</v>
          </cell>
          <cell r="AI3889">
            <v>485510</v>
          </cell>
        </row>
        <row r="3890">
          <cell r="A3890">
            <v>426010500</v>
          </cell>
          <cell r="C3890">
            <v>171924</v>
          </cell>
          <cell r="D3890">
            <v>0</v>
          </cell>
          <cell r="E3890">
            <v>0</v>
          </cell>
          <cell r="F3890">
            <v>171924</v>
          </cell>
          <cell r="G3890">
            <v>10823072</v>
          </cell>
          <cell r="H3890">
            <v>171924</v>
          </cell>
          <cell r="I3890">
            <v>171924</v>
          </cell>
          <cell r="J3890">
            <v>171924</v>
          </cell>
          <cell r="K3890">
            <v>171924</v>
          </cell>
          <cell r="L3890">
            <v>171924</v>
          </cell>
          <cell r="M3890">
            <v>171924</v>
          </cell>
          <cell r="N3890">
            <v>0</v>
          </cell>
          <cell r="O3890">
            <v>542640</v>
          </cell>
          <cell r="P3890">
            <v>171924</v>
          </cell>
          <cell r="Q3890">
            <v>0</v>
          </cell>
          <cell r="R3890">
            <v>171937</v>
          </cell>
          <cell r="S3890">
            <v>171924</v>
          </cell>
          <cell r="T3890">
            <v>0</v>
          </cell>
          <cell r="U3890">
            <v>0</v>
          </cell>
          <cell r="V3890">
            <v>0</v>
          </cell>
          <cell r="W3890">
            <v>171924</v>
          </cell>
          <cell r="X3890">
            <v>0</v>
          </cell>
          <cell r="Y3890">
            <v>8861650</v>
          </cell>
          <cell r="Z3890">
            <v>171924</v>
          </cell>
          <cell r="AA3890">
            <v>171924</v>
          </cell>
          <cell r="AB3890">
            <v>171924</v>
          </cell>
          <cell r="AC3890">
            <v>171924</v>
          </cell>
          <cell r="AD3890">
            <v>0</v>
          </cell>
          <cell r="AE3890">
            <v>0</v>
          </cell>
          <cell r="AF3890">
            <v>0</v>
          </cell>
          <cell r="AG3890">
            <v>171924</v>
          </cell>
          <cell r="AH3890">
            <v>0</v>
          </cell>
          <cell r="AI3890">
            <v>0</v>
          </cell>
        </row>
        <row r="3891">
          <cell r="A3891">
            <v>426010501</v>
          </cell>
          <cell r="C3891">
            <v>171924</v>
          </cell>
          <cell r="D3891">
            <v>0</v>
          </cell>
          <cell r="E3891">
            <v>0</v>
          </cell>
          <cell r="F3891">
            <v>171924</v>
          </cell>
          <cell r="G3891">
            <v>10823072</v>
          </cell>
          <cell r="H3891">
            <v>171924</v>
          </cell>
          <cell r="I3891">
            <v>171924</v>
          </cell>
          <cell r="J3891">
            <v>171924</v>
          </cell>
          <cell r="K3891">
            <v>171924</v>
          </cell>
          <cell r="L3891">
            <v>171924</v>
          </cell>
          <cell r="M3891">
            <v>171924</v>
          </cell>
          <cell r="N3891">
            <v>0</v>
          </cell>
          <cell r="O3891">
            <v>542640</v>
          </cell>
          <cell r="P3891">
            <v>171924</v>
          </cell>
          <cell r="Q3891">
            <v>0</v>
          </cell>
          <cell r="R3891">
            <v>171937</v>
          </cell>
          <cell r="S3891">
            <v>171924</v>
          </cell>
          <cell r="T3891">
            <v>0</v>
          </cell>
          <cell r="U3891">
            <v>0</v>
          </cell>
          <cell r="V3891">
            <v>0</v>
          </cell>
          <cell r="W3891">
            <v>171924</v>
          </cell>
          <cell r="X3891">
            <v>0</v>
          </cell>
          <cell r="Y3891">
            <v>8861650</v>
          </cell>
          <cell r="Z3891">
            <v>171924</v>
          </cell>
          <cell r="AA3891">
            <v>171924</v>
          </cell>
          <cell r="AB3891">
            <v>171924</v>
          </cell>
          <cell r="AC3891">
            <v>171924</v>
          </cell>
          <cell r="AD3891">
            <v>0</v>
          </cell>
          <cell r="AE3891">
            <v>0</v>
          </cell>
          <cell r="AF3891">
            <v>0</v>
          </cell>
          <cell r="AG3891">
            <v>171924</v>
          </cell>
          <cell r="AH3891">
            <v>0</v>
          </cell>
          <cell r="AI3891">
            <v>0</v>
          </cell>
        </row>
        <row r="3892">
          <cell r="A3892">
            <v>426010600</v>
          </cell>
          <cell r="C3892">
            <v>20899240</v>
          </cell>
          <cell r="D3892">
            <v>13505336</v>
          </cell>
          <cell r="E3892">
            <v>1776957</v>
          </cell>
          <cell r="F3892">
            <v>1737231</v>
          </cell>
          <cell r="G3892">
            <v>14813275</v>
          </cell>
          <cell r="H3892">
            <v>24152784</v>
          </cell>
          <cell r="I3892">
            <v>20838802</v>
          </cell>
          <cell r="J3892">
            <v>28551435</v>
          </cell>
          <cell r="K3892">
            <v>2783118</v>
          </cell>
          <cell r="L3892">
            <v>635753</v>
          </cell>
          <cell r="M3892">
            <v>1017879</v>
          </cell>
          <cell r="N3892">
            <v>31495691</v>
          </cell>
          <cell r="O3892">
            <v>15581432</v>
          </cell>
          <cell r="P3892">
            <v>20715333</v>
          </cell>
          <cell r="Q3892">
            <v>1531531</v>
          </cell>
          <cell r="R3892">
            <v>7827386</v>
          </cell>
          <cell r="S3892">
            <v>4192470</v>
          </cell>
          <cell r="T3892">
            <v>5593222</v>
          </cell>
          <cell r="U3892">
            <v>0</v>
          </cell>
          <cell r="V3892">
            <v>3298578</v>
          </cell>
          <cell r="W3892">
            <v>24196861</v>
          </cell>
          <cell r="X3892">
            <v>11254407</v>
          </cell>
          <cell r="Y3892">
            <v>5083975</v>
          </cell>
          <cell r="Z3892">
            <v>1896940</v>
          </cell>
          <cell r="AA3892">
            <v>6871873</v>
          </cell>
          <cell r="AB3892">
            <v>32033613</v>
          </cell>
          <cell r="AC3892">
            <v>3518277</v>
          </cell>
          <cell r="AD3892">
            <v>1245549</v>
          </cell>
          <cell r="AE3892">
            <v>73093937</v>
          </cell>
          <cell r="AF3892">
            <v>6698831</v>
          </cell>
          <cell r="AG3892">
            <v>5642625</v>
          </cell>
          <cell r="AH3892">
            <v>1640192</v>
          </cell>
          <cell r="AI3892">
            <v>0</v>
          </cell>
        </row>
        <row r="3893">
          <cell r="A3893">
            <v>426010601</v>
          </cell>
          <cell r="C3893">
            <v>20899240</v>
          </cell>
          <cell r="D3893">
            <v>13505336</v>
          </cell>
          <cell r="E3893">
            <v>1776957</v>
          </cell>
          <cell r="F3893">
            <v>1737231</v>
          </cell>
          <cell r="G3893">
            <v>14813275</v>
          </cell>
          <cell r="H3893">
            <v>24152784</v>
          </cell>
          <cell r="I3893">
            <v>20838802</v>
          </cell>
          <cell r="J3893">
            <v>28551435</v>
          </cell>
          <cell r="K3893">
            <v>2783118</v>
          </cell>
          <cell r="L3893">
            <v>635753</v>
          </cell>
          <cell r="M3893">
            <v>1017879</v>
          </cell>
          <cell r="N3893">
            <v>31495691</v>
          </cell>
          <cell r="O3893">
            <v>15581432</v>
          </cell>
          <cell r="P3893">
            <v>20715333</v>
          </cell>
          <cell r="Q3893">
            <v>1531531</v>
          </cell>
          <cell r="R3893">
            <v>7827386</v>
          </cell>
          <cell r="S3893">
            <v>4192470</v>
          </cell>
          <cell r="T3893">
            <v>5593222</v>
          </cell>
          <cell r="U3893">
            <v>0</v>
          </cell>
          <cell r="V3893">
            <v>3298578</v>
          </cell>
          <cell r="W3893">
            <v>24196861</v>
          </cell>
          <cell r="X3893">
            <v>11254407</v>
          </cell>
          <cell r="Y3893">
            <v>5083975</v>
          </cell>
          <cell r="Z3893">
            <v>1896940</v>
          </cell>
          <cell r="AA3893">
            <v>6871873</v>
          </cell>
          <cell r="AB3893">
            <v>32033613</v>
          </cell>
          <cell r="AC3893">
            <v>3518277</v>
          </cell>
          <cell r="AD3893">
            <v>1245549</v>
          </cell>
          <cell r="AE3893">
            <v>73093937</v>
          </cell>
          <cell r="AF3893">
            <v>6698831</v>
          </cell>
          <cell r="AG3893">
            <v>5642625</v>
          </cell>
          <cell r="AH3893">
            <v>1640192</v>
          </cell>
          <cell r="AI3893">
            <v>0</v>
          </cell>
        </row>
        <row r="3894">
          <cell r="A3894">
            <v>426010700</v>
          </cell>
          <cell r="C3894">
            <v>1034967</v>
          </cell>
          <cell r="D3894">
            <v>318502</v>
          </cell>
          <cell r="E3894">
            <v>0</v>
          </cell>
          <cell r="F3894">
            <v>66627</v>
          </cell>
          <cell r="G3894">
            <v>491004</v>
          </cell>
          <cell r="H3894">
            <v>5260024</v>
          </cell>
          <cell r="I3894">
            <v>126804</v>
          </cell>
          <cell r="J3894">
            <v>516377</v>
          </cell>
          <cell r="K3894">
            <v>251481</v>
          </cell>
          <cell r="L3894">
            <v>6278</v>
          </cell>
          <cell r="M3894">
            <v>1510803</v>
          </cell>
          <cell r="N3894">
            <v>1964813</v>
          </cell>
          <cell r="O3894">
            <v>264456</v>
          </cell>
          <cell r="P3894">
            <v>804095</v>
          </cell>
          <cell r="Q3894">
            <v>443056</v>
          </cell>
          <cell r="R3894">
            <v>26720</v>
          </cell>
          <cell r="S3894">
            <v>60000</v>
          </cell>
          <cell r="T3894">
            <v>0</v>
          </cell>
          <cell r="U3894">
            <v>0</v>
          </cell>
          <cell r="V3894">
            <v>347472</v>
          </cell>
          <cell r="W3894">
            <v>299570</v>
          </cell>
          <cell r="X3894">
            <v>882557</v>
          </cell>
          <cell r="Y3894">
            <v>0</v>
          </cell>
          <cell r="Z3894">
            <v>254949</v>
          </cell>
          <cell r="AA3894">
            <v>4751833</v>
          </cell>
          <cell r="AB3894">
            <v>368644</v>
          </cell>
          <cell r="AC3894">
            <v>5439733</v>
          </cell>
          <cell r="AD3894">
            <v>165166</v>
          </cell>
          <cell r="AE3894">
            <v>1731875</v>
          </cell>
          <cell r="AF3894">
            <v>92930</v>
          </cell>
          <cell r="AG3894">
            <v>372262</v>
          </cell>
          <cell r="AH3894">
            <v>55758</v>
          </cell>
          <cell r="AI3894">
            <v>0</v>
          </cell>
        </row>
        <row r="3895">
          <cell r="A3895">
            <v>426010701</v>
          </cell>
          <cell r="C3895">
            <v>1034967</v>
          </cell>
          <cell r="D3895">
            <v>318502</v>
          </cell>
          <cell r="E3895">
            <v>0</v>
          </cell>
          <cell r="F3895">
            <v>66627</v>
          </cell>
          <cell r="G3895">
            <v>491004</v>
          </cell>
          <cell r="H3895">
            <v>5260024</v>
          </cell>
          <cell r="I3895">
            <v>126804</v>
          </cell>
          <cell r="J3895">
            <v>516377</v>
          </cell>
          <cell r="K3895">
            <v>251481</v>
          </cell>
          <cell r="L3895">
            <v>6278</v>
          </cell>
          <cell r="M3895">
            <v>1510803</v>
          </cell>
          <cell r="N3895">
            <v>1964813</v>
          </cell>
          <cell r="O3895">
            <v>264456</v>
          </cell>
          <cell r="P3895">
            <v>804095</v>
          </cell>
          <cell r="Q3895">
            <v>443056</v>
          </cell>
          <cell r="R3895">
            <v>26720</v>
          </cell>
          <cell r="S3895">
            <v>60000</v>
          </cell>
          <cell r="T3895">
            <v>0</v>
          </cell>
          <cell r="U3895">
            <v>0</v>
          </cell>
          <cell r="V3895">
            <v>347472</v>
          </cell>
          <cell r="W3895">
            <v>299570</v>
          </cell>
          <cell r="X3895">
            <v>882557</v>
          </cell>
          <cell r="Y3895">
            <v>0</v>
          </cell>
          <cell r="Z3895">
            <v>254949</v>
          </cell>
          <cell r="AA3895">
            <v>4751833</v>
          </cell>
          <cell r="AB3895">
            <v>368644</v>
          </cell>
          <cell r="AC3895">
            <v>5439733</v>
          </cell>
          <cell r="AD3895">
            <v>165166</v>
          </cell>
          <cell r="AE3895">
            <v>1731875</v>
          </cell>
          <cell r="AF3895">
            <v>92930</v>
          </cell>
          <cell r="AG3895">
            <v>372262</v>
          </cell>
          <cell r="AH3895">
            <v>55758</v>
          </cell>
          <cell r="AI3895">
            <v>0</v>
          </cell>
        </row>
        <row r="3896">
          <cell r="A3896">
            <v>426010800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120687023</v>
          </cell>
          <cell r="N3896">
            <v>129968748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223160138</v>
          </cell>
          <cell r="AG3896">
            <v>0</v>
          </cell>
          <cell r="AH3896">
            <v>0</v>
          </cell>
          <cell r="AI3896">
            <v>1649116883</v>
          </cell>
        </row>
        <row r="3897">
          <cell r="A3897">
            <v>426010801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120687023</v>
          </cell>
          <cell r="N3897">
            <v>129968748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223160138</v>
          </cell>
          <cell r="AG3897">
            <v>0</v>
          </cell>
          <cell r="AH3897">
            <v>0</v>
          </cell>
          <cell r="AI3897">
            <v>1649116883</v>
          </cell>
        </row>
        <row r="3898">
          <cell r="A3898">
            <v>426010900</v>
          </cell>
          <cell r="C3898">
            <v>3100902</v>
          </cell>
          <cell r="D3898">
            <v>18351616</v>
          </cell>
          <cell r="E3898">
            <v>1162350</v>
          </cell>
          <cell r="F3898">
            <v>0</v>
          </cell>
          <cell r="G3898">
            <v>1560000</v>
          </cell>
          <cell r="H3898">
            <v>50156383</v>
          </cell>
          <cell r="I3898">
            <v>4035657</v>
          </cell>
          <cell r="J3898">
            <v>25934</v>
          </cell>
          <cell r="K3898">
            <v>399965</v>
          </cell>
          <cell r="L3898">
            <v>0</v>
          </cell>
          <cell r="M3898">
            <v>0</v>
          </cell>
          <cell r="N3898">
            <v>9945156</v>
          </cell>
          <cell r="O3898">
            <v>17337561</v>
          </cell>
          <cell r="P3898">
            <v>0</v>
          </cell>
          <cell r="Q3898">
            <v>35574</v>
          </cell>
          <cell r="R3898">
            <v>24109858</v>
          </cell>
          <cell r="S3898">
            <v>1</v>
          </cell>
          <cell r="T3898">
            <v>2619539</v>
          </cell>
          <cell r="U3898">
            <v>0</v>
          </cell>
          <cell r="V3898">
            <v>14019917</v>
          </cell>
          <cell r="W3898">
            <v>1616848</v>
          </cell>
          <cell r="X3898">
            <v>12121553</v>
          </cell>
          <cell r="Y3898">
            <v>144000</v>
          </cell>
          <cell r="Z3898">
            <v>439798</v>
          </cell>
          <cell r="AA3898">
            <v>167053</v>
          </cell>
          <cell r="AB3898">
            <v>2187685</v>
          </cell>
          <cell r="AC3898">
            <v>636013</v>
          </cell>
          <cell r="AD3898">
            <v>4134915</v>
          </cell>
          <cell r="AE3898">
            <v>9002645</v>
          </cell>
          <cell r="AF3898">
            <v>222271</v>
          </cell>
          <cell r="AG3898">
            <v>1890821</v>
          </cell>
          <cell r="AH3898">
            <v>661635</v>
          </cell>
          <cell r="AI3898">
            <v>341338</v>
          </cell>
        </row>
        <row r="3899">
          <cell r="A3899">
            <v>426010901</v>
          </cell>
          <cell r="C3899">
            <v>3100902</v>
          </cell>
          <cell r="D3899">
            <v>18351616</v>
          </cell>
          <cell r="E3899">
            <v>1162350</v>
          </cell>
          <cell r="F3899">
            <v>0</v>
          </cell>
          <cell r="G3899">
            <v>1560000</v>
          </cell>
          <cell r="H3899">
            <v>50156383</v>
          </cell>
          <cell r="I3899">
            <v>4035657</v>
          </cell>
          <cell r="J3899">
            <v>25934</v>
          </cell>
          <cell r="K3899">
            <v>399965</v>
          </cell>
          <cell r="L3899">
            <v>0</v>
          </cell>
          <cell r="M3899">
            <v>0</v>
          </cell>
          <cell r="N3899">
            <v>9945156</v>
          </cell>
          <cell r="O3899">
            <v>17337561</v>
          </cell>
          <cell r="P3899">
            <v>0</v>
          </cell>
          <cell r="Q3899">
            <v>35574</v>
          </cell>
          <cell r="R3899">
            <v>24109858</v>
          </cell>
          <cell r="S3899">
            <v>1</v>
          </cell>
          <cell r="T3899">
            <v>2619539</v>
          </cell>
          <cell r="U3899">
            <v>0</v>
          </cell>
          <cell r="V3899">
            <v>14019917</v>
          </cell>
          <cell r="W3899">
            <v>1616848</v>
          </cell>
          <cell r="X3899">
            <v>12121553</v>
          </cell>
          <cell r="Y3899">
            <v>144000</v>
          </cell>
          <cell r="Z3899">
            <v>439798</v>
          </cell>
          <cell r="AA3899">
            <v>167053</v>
          </cell>
          <cell r="AB3899">
            <v>2187685</v>
          </cell>
          <cell r="AC3899">
            <v>636013</v>
          </cell>
          <cell r="AD3899">
            <v>4134915</v>
          </cell>
          <cell r="AE3899">
            <v>9002645</v>
          </cell>
          <cell r="AF3899">
            <v>222271</v>
          </cell>
          <cell r="AG3899">
            <v>1890821</v>
          </cell>
          <cell r="AH3899">
            <v>661635</v>
          </cell>
          <cell r="AI3899">
            <v>341338</v>
          </cell>
        </row>
        <row r="3900">
          <cell r="A3900">
            <v>426011000</v>
          </cell>
          <cell r="C3900">
            <v>261835523</v>
          </cell>
          <cell r="D3900">
            <v>12846689</v>
          </cell>
          <cell r="E3900">
            <v>6753692</v>
          </cell>
          <cell r="F3900">
            <v>9074161</v>
          </cell>
          <cell r="G3900">
            <v>12961994</v>
          </cell>
          <cell r="H3900">
            <v>64878157</v>
          </cell>
          <cell r="I3900">
            <v>1289797</v>
          </cell>
          <cell r="J3900">
            <v>5923578</v>
          </cell>
          <cell r="K3900">
            <v>8985012</v>
          </cell>
          <cell r="L3900">
            <v>9033308</v>
          </cell>
          <cell r="M3900">
            <v>13124210</v>
          </cell>
          <cell r="N3900">
            <v>5076394</v>
          </cell>
          <cell r="O3900">
            <v>13880980</v>
          </cell>
          <cell r="P3900">
            <v>12531405</v>
          </cell>
          <cell r="Q3900">
            <v>14368493</v>
          </cell>
          <cell r="R3900">
            <v>12701219</v>
          </cell>
          <cell r="S3900">
            <v>10812305</v>
          </cell>
          <cell r="T3900">
            <v>13490203</v>
          </cell>
          <cell r="U3900">
            <v>0</v>
          </cell>
          <cell r="V3900">
            <v>1024274</v>
          </cell>
          <cell r="W3900">
            <v>10463797</v>
          </cell>
          <cell r="X3900">
            <v>12716803</v>
          </cell>
          <cell r="Y3900">
            <v>10396636</v>
          </cell>
          <cell r="Z3900">
            <v>11435152</v>
          </cell>
          <cell r="AA3900">
            <v>16021421</v>
          </cell>
          <cell r="AB3900">
            <v>39040822</v>
          </cell>
          <cell r="AC3900">
            <v>17015779</v>
          </cell>
          <cell r="AD3900">
            <v>13107412</v>
          </cell>
          <cell r="AE3900">
            <v>27811193</v>
          </cell>
          <cell r="AF3900">
            <v>9505715</v>
          </cell>
          <cell r="AG3900">
            <v>12233708</v>
          </cell>
          <cell r="AH3900">
            <v>228911</v>
          </cell>
          <cell r="AI3900">
            <v>0</v>
          </cell>
        </row>
        <row r="3901">
          <cell r="A3901">
            <v>426011001</v>
          </cell>
          <cell r="C3901">
            <v>261835523</v>
          </cell>
          <cell r="D3901">
            <v>12846689</v>
          </cell>
          <cell r="E3901">
            <v>6753692</v>
          </cell>
          <cell r="F3901">
            <v>9074161</v>
          </cell>
          <cell r="G3901">
            <v>12961994</v>
          </cell>
          <cell r="H3901">
            <v>64878157</v>
          </cell>
          <cell r="I3901">
            <v>1289797</v>
          </cell>
          <cell r="J3901">
            <v>5923578</v>
          </cell>
          <cell r="K3901">
            <v>8985012</v>
          </cell>
          <cell r="L3901">
            <v>9033308</v>
          </cell>
          <cell r="M3901">
            <v>13124210</v>
          </cell>
          <cell r="N3901">
            <v>5076394</v>
          </cell>
          <cell r="O3901">
            <v>13880980</v>
          </cell>
          <cell r="P3901">
            <v>12531405</v>
          </cell>
          <cell r="Q3901">
            <v>14368493</v>
          </cell>
          <cell r="R3901">
            <v>12701219</v>
          </cell>
          <cell r="S3901">
            <v>10812305</v>
          </cell>
          <cell r="T3901">
            <v>13490203</v>
          </cell>
          <cell r="U3901">
            <v>0</v>
          </cell>
          <cell r="V3901">
            <v>1024274</v>
          </cell>
          <cell r="W3901">
            <v>10463797</v>
          </cell>
          <cell r="X3901">
            <v>12716803</v>
          </cell>
          <cell r="Y3901">
            <v>10396636</v>
          </cell>
          <cell r="Z3901">
            <v>11435152</v>
          </cell>
          <cell r="AA3901">
            <v>16021421</v>
          </cell>
          <cell r="AB3901">
            <v>39040822</v>
          </cell>
          <cell r="AC3901">
            <v>17015779</v>
          </cell>
          <cell r="AD3901">
            <v>13107412</v>
          </cell>
          <cell r="AE3901">
            <v>27811193</v>
          </cell>
          <cell r="AF3901">
            <v>9505715</v>
          </cell>
          <cell r="AG3901">
            <v>12233708</v>
          </cell>
          <cell r="AH3901">
            <v>228911</v>
          </cell>
          <cell r="AI3901">
            <v>0</v>
          </cell>
        </row>
        <row r="3902">
          <cell r="A3902">
            <v>426011100</v>
          </cell>
          <cell r="C3902">
            <v>205476</v>
          </cell>
          <cell r="D3902">
            <v>1318056</v>
          </cell>
          <cell r="E3902">
            <v>1993471</v>
          </cell>
          <cell r="F3902">
            <v>0</v>
          </cell>
          <cell r="G3902">
            <v>137562</v>
          </cell>
          <cell r="H3902">
            <v>752307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41788775</v>
          </cell>
          <cell r="O3902">
            <v>438347</v>
          </cell>
          <cell r="P3902">
            <v>260743</v>
          </cell>
          <cell r="Q3902">
            <v>1295763</v>
          </cell>
          <cell r="R3902">
            <v>5053444</v>
          </cell>
          <cell r="S3902">
            <v>0</v>
          </cell>
          <cell r="T3902">
            <v>210211735</v>
          </cell>
          <cell r="U3902">
            <v>0</v>
          </cell>
          <cell r="V3902">
            <v>0</v>
          </cell>
          <cell r="W3902">
            <v>4204799</v>
          </cell>
          <cell r="X3902">
            <v>74893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207238</v>
          </cell>
          <cell r="AH3902">
            <v>0</v>
          </cell>
          <cell r="AI3902">
            <v>0</v>
          </cell>
        </row>
        <row r="3903">
          <cell r="A3903">
            <v>426011101</v>
          </cell>
          <cell r="C3903">
            <v>205476</v>
          </cell>
          <cell r="D3903">
            <v>1318056</v>
          </cell>
          <cell r="E3903">
            <v>1993471</v>
          </cell>
          <cell r="F3903">
            <v>0</v>
          </cell>
          <cell r="G3903">
            <v>137562</v>
          </cell>
          <cell r="H3903">
            <v>752307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41788775</v>
          </cell>
          <cell r="O3903">
            <v>438347</v>
          </cell>
          <cell r="P3903">
            <v>260743</v>
          </cell>
          <cell r="Q3903">
            <v>1295763</v>
          </cell>
          <cell r="R3903">
            <v>5053444</v>
          </cell>
          <cell r="S3903">
            <v>0</v>
          </cell>
          <cell r="T3903">
            <v>210211735</v>
          </cell>
          <cell r="U3903">
            <v>0</v>
          </cell>
          <cell r="V3903">
            <v>0</v>
          </cell>
          <cell r="W3903">
            <v>4204799</v>
          </cell>
          <cell r="X3903">
            <v>74893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207238</v>
          </cell>
          <cell r="AH3903">
            <v>0</v>
          </cell>
          <cell r="AI3903">
            <v>0</v>
          </cell>
        </row>
        <row r="3904">
          <cell r="A3904">
            <v>426011200</v>
          </cell>
          <cell r="C3904">
            <v>40290159</v>
          </cell>
          <cell r="D3904">
            <v>1805596</v>
          </cell>
          <cell r="E3904">
            <v>2507089</v>
          </cell>
          <cell r="F3904">
            <v>253757</v>
          </cell>
          <cell r="G3904">
            <v>1756880</v>
          </cell>
          <cell r="H3904">
            <v>16230454</v>
          </cell>
          <cell r="I3904">
            <v>0</v>
          </cell>
          <cell r="J3904">
            <v>593570</v>
          </cell>
          <cell r="K3904">
            <v>602461</v>
          </cell>
          <cell r="L3904">
            <v>20027</v>
          </cell>
          <cell r="M3904">
            <v>51027</v>
          </cell>
          <cell r="N3904">
            <v>4305875</v>
          </cell>
          <cell r="O3904">
            <v>25129821</v>
          </cell>
          <cell r="P3904">
            <v>1181439</v>
          </cell>
          <cell r="Q3904">
            <v>1310733</v>
          </cell>
          <cell r="R3904">
            <v>35574756</v>
          </cell>
          <cell r="S3904">
            <v>2827567</v>
          </cell>
          <cell r="T3904">
            <v>12821253</v>
          </cell>
          <cell r="U3904">
            <v>0</v>
          </cell>
          <cell r="V3904">
            <v>7295548</v>
          </cell>
          <cell r="W3904">
            <v>1230450</v>
          </cell>
          <cell r="X3904">
            <v>5793168</v>
          </cell>
          <cell r="Y3904">
            <v>1002847</v>
          </cell>
          <cell r="Z3904">
            <v>2427784</v>
          </cell>
          <cell r="AA3904">
            <v>0</v>
          </cell>
          <cell r="AB3904">
            <v>16410230</v>
          </cell>
          <cell r="AC3904">
            <v>0</v>
          </cell>
          <cell r="AD3904">
            <v>18277455</v>
          </cell>
          <cell r="AE3904">
            <v>264564822</v>
          </cell>
          <cell r="AF3904">
            <v>496479</v>
          </cell>
          <cell r="AG3904">
            <v>50144</v>
          </cell>
          <cell r="AH3904">
            <v>0</v>
          </cell>
          <cell r="AI3904">
            <v>2972607</v>
          </cell>
        </row>
        <row r="3905">
          <cell r="A3905">
            <v>426011201</v>
          </cell>
          <cell r="C3905">
            <v>40290159</v>
          </cell>
          <cell r="D3905">
            <v>1805596</v>
          </cell>
          <cell r="E3905">
            <v>2507089</v>
          </cell>
          <cell r="F3905">
            <v>253757</v>
          </cell>
          <cell r="G3905">
            <v>1756880</v>
          </cell>
          <cell r="H3905">
            <v>16230454</v>
          </cell>
          <cell r="I3905">
            <v>0</v>
          </cell>
          <cell r="J3905">
            <v>593570</v>
          </cell>
          <cell r="K3905">
            <v>602461</v>
          </cell>
          <cell r="L3905">
            <v>20027</v>
          </cell>
          <cell r="M3905">
            <v>51027</v>
          </cell>
          <cell r="N3905">
            <v>4305875</v>
          </cell>
          <cell r="O3905">
            <v>25129821</v>
          </cell>
          <cell r="P3905">
            <v>1181439</v>
          </cell>
          <cell r="Q3905">
            <v>1310733</v>
          </cell>
          <cell r="R3905">
            <v>35574756</v>
          </cell>
          <cell r="S3905">
            <v>2827567</v>
          </cell>
          <cell r="T3905">
            <v>12821253</v>
          </cell>
          <cell r="U3905">
            <v>0</v>
          </cell>
          <cell r="V3905">
            <v>7295548</v>
          </cell>
          <cell r="W3905">
            <v>1230450</v>
          </cell>
          <cell r="X3905">
            <v>5793168</v>
          </cell>
          <cell r="Y3905">
            <v>1002847</v>
          </cell>
          <cell r="Z3905">
            <v>2427784</v>
          </cell>
          <cell r="AA3905">
            <v>0</v>
          </cell>
          <cell r="AB3905">
            <v>16410230</v>
          </cell>
          <cell r="AC3905">
            <v>0</v>
          </cell>
          <cell r="AD3905">
            <v>18277455</v>
          </cell>
          <cell r="AE3905">
            <v>264564822</v>
          </cell>
          <cell r="AF3905">
            <v>496479</v>
          </cell>
          <cell r="AG3905">
            <v>50144</v>
          </cell>
          <cell r="AH3905">
            <v>0</v>
          </cell>
          <cell r="AI3905">
            <v>2972607</v>
          </cell>
        </row>
        <row r="3906">
          <cell r="A3906">
            <v>426011300</v>
          </cell>
          <cell r="C3906">
            <v>64398920</v>
          </cell>
          <cell r="D3906">
            <v>34424215</v>
          </cell>
          <cell r="E3906">
            <v>6041023</v>
          </cell>
          <cell r="F3906">
            <v>676093</v>
          </cell>
          <cell r="G3906">
            <v>84431868</v>
          </cell>
          <cell r="H3906">
            <v>65805509</v>
          </cell>
          <cell r="I3906">
            <v>0</v>
          </cell>
          <cell r="J3906">
            <v>1018346</v>
          </cell>
          <cell r="K3906">
            <v>0</v>
          </cell>
          <cell r="L3906">
            <v>222269</v>
          </cell>
          <cell r="M3906">
            <v>1085346</v>
          </cell>
          <cell r="N3906">
            <v>12918815</v>
          </cell>
          <cell r="O3906">
            <v>37765455</v>
          </cell>
          <cell r="P3906">
            <v>12032830</v>
          </cell>
          <cell r="Q3906">
            <v>29550820</v>
          </cell>
          <cell r="R3906">
            <v>29791114</v>
          </cell>
          <cell r="S3906">
            <v>35429322</v>
          </cell>
          <cell r="T3906">
            <v>13623685</v>
          </cell>
          <cell r="U3906">
            <v>0</v>
          </cell>
          <cell r="V3906">
            <v>16161459</v>
          </cell>
          <cell r="W3906">
            <v>4032271</v>
          </cell>
          <cell r="X3906">
            <v>5019097</v>
          </cell>
          <cell r="Y3906">
            <v>17259434</v>
          </cell>
          <cell r="Z3906">
            <v>1443735</v>
          </cell>
          <cell r="AA3906">
            <v>898317</v>
          </cell>
          <cell r="AB3906">
            <v>25500040</v>
          </cell>
          <cell r="AC3906">
            <v>2271116</v>
          </cell>
          <cell r="AD3906">
            <v>7291495</v>
          </cell>
          <cell r="AE3906">
            <v>29750767</v>
          </cell>
          <cell r="AF3906">
            <v>297153</v>
          </cell>
          <cell r="AG3906">
            <v>4109998</v>
          </cell>
          <cell r="AH3906">
            <v>3255152</v>
          </cell>
          <cell r="AI3906">
            <v>36764337</v>
          </cell>
        </row>
        <row r="3907">
          <cell r="A3907">
            <v>426011301</v>
          </cell>
          <cell r="C3907">
            <v>64398920</v>
          </cell>
          <cell r="D3907">
            <v>34424215</v>
          </cell>
          <cell r="E3907">
            <v>6041023</v>
          </cell>
          <cell r="F3907">
            <v>676093</v>
          </cell>
          <cell r="G3907">
            <v>84431868</v>
          </cell>
          <cell r="H3907">
            <v>65805509</v>
          </cell>
          <cell r="I3907">
            <v>0</v>
          </cell>
          <cell r="J3907">
            <v>1018346</v>
          </cell>
          <cell r="K3907">
            <v>0</v>
          </cell>
          <cell r="L3907">
            <v>222269</v>
          </cell>
          <cell r="M3907">
            <v>1085346</v>
          </cell>
          <cell r="N3907">
            <v>12918815</v>
          </cell>
          <cell r="O3907">
            <v>37765455</v>
          </cell>
          <cell r="P3907">
            <v>12032830</v>
          </cell>
          <cell r="Q3907">
            <v>29550820</v>
          </cell>
          <cell r="R3907">
            <v>29791114</v>
          </cell>
          <cell r="S3907">
            <v>35429322</v>
          </cell>
          <cell r="T3907">
            <v>13623685</v>
          </cell>
          <cell r="U3907">
            <v>0</v>
          </cell>
          <cell r="V3907">
            <v>16161459</v>
          </cell>
          <cell r="W3907">
            <v>4032271</v>
          </cell>
          <cell r="X3907">
            <v>5019097</v>
          </cell>
          <cell r="Y3907">
            <v>17259434</v>
          </cell>
          <cell r="Z3907">
            <v>1443735</v>
          </cell>
          <cell r="AA3907">
            <v>898317</v>
          </cell>
          <cell r="AB3907">
            <v>25500040</v>
          </cell>
          <cell r="AC3907">
            <v>2271116</v>
          </cell>
          <cell r="AD3907">
            <v>7291495</v>
          </cell>
          <cell r="AE3907">
            <v>29750767</v>
          </cell>
          <cell r="AF3907">
            <v>297153</v>
          </cell>
          <cell r="AG3907">
            <v>4109998</v>
          </cell>
          <cell r="AH3907">
            <v>3255152</v>
          </cell>
          <cell r="AI3907">
            <v>36764337</v>
          </cell>
        </row>
        <row r="3908">
          <cell r="A3908">
            <v>426012000</v>
          </cell>
          <cell r="C3908">
            <v>39667072</v>
          </cell>
          <cell r="D3908">
            <v>37338077</v>
          </cell>
          <cell r="E3908">
            <v>106167</v>
          </cell>
          <cell r="F3908">
            <v>1679229</v>
          </cell>
          <cell r="G3908">
            <v>1031339</v>
          </cell>
          <cell r="H3908">
            <v>38140528</v>
          </cell>
          <cell r="I3908">
            <v>0</v>
          </cell>
          <cell r="J3908">
            <v>0</v>
          </cell>
          <cell r="K3908">
            <v>108273324</v>
          </cell>
          <cell r="L3908">
            <v>12693799</v>
          </cell>
          <cell r="M3908">
            <v>0</v>
          </cell>
          <cell r="N3908">
            <v>33673003</v>
          </cell>
          <cell r="O3908">
            <v>2221594</v>
          </cell>
          <cell r="P3908">
            <v>705386</v>
          </cell>
          <cell r="Q3908">
            <v>0</v>
          </cell>
          <cell r="R3908">
            <v>303818734</v>
          </cell>
          <cell r="S3908">
            <v>0</v>
          </cell>
          <cell r="T3908">
            <v>80014108</v>
          </cell>
          <cell r="U3908">
            <v>0</v>
          </cell>
          <cell r="V3908">
            <v>851428</v>
          </cell>
          <cell r="W3908">
            <v>4103830</v>
          </cell>
          <cell r="X3908">
            <v>34364799</v>
          </cell>
          <cell r="Y3908">
            <v>0</v>
          </cell>
          <cell r="Z3908">
            <v>0</v>
          </cell>
          <cell r="AA3908">
            <v>0</v>
          </cell>
          <cell r="AB3908">
            <v>96262231</v>
          </cell>
          <cell r="AC3908">
            <v>2949070</v>
          </cell>
          <cell r="AD3908">
            <v>1777465</v>
          </cell>
          <cell r="AE3908">
            <v>0</v>
          </cell>
          <cell r="AF3908">
            <v>23623250</v>
          </cell>
          <cell r="AG3908">
            <v>3215010</v>
          </cell>
          <cell r="AH3908">
            <v>14446934</v>
          </cell>
          <cell r="AI3908">
            <v>1650065</v>
          </cell>
        </row>
        <row r="3909">
          <cell r="A3909">
            <v>426012001</v>
          </cell>
          <cell r="C3909">
            <v>0</v>
          </cell>
          <cell r="D3909">
            <v>37338077</v>
          </cell>
          <cell r="E3909">
            <v>0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33673003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0</v>
          </cell>
          <cell r="T3909">
            <v>80014108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</row>
        <row r="3910">
          <cell r="A3910">
            <v>426012002</v>
          </cell>
          <cell r="C3910">
            <v>4186273</v>
          </cell>
          <cell r="D3910">
            <v>0</v>
          </cell>
          <cell r="E3910">
            <v>0</v>
          </cell>
          <cell r="F3910">
            <v>742</v>
          </cell>
          <cell r="G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</row>
        <row r="3911">
          <cell r="A3911">
            <v>426012003</v>
          </cell>
          <cell r="C3911">
            <v>35480799</v>
          </cell>
          <cell r="D3911">
            <v>0</v>
          </cell>
          <cell r="E3911">
            <v>106167</v>
          </cell>
          <cell r="F3911">
            <v>1678487</v>
          </cell>
          <cell r="G3911">
            <v>1031339</v>
          </cell>
          <cell r="H3911">
            <v>38140528</v>
          </cell>
          <cell r="I3911">
            <v>0</v>
          </cell>
          <cell r="J3911">
            <v>0</v>
          </cell>
          <cell r="K3911">
            <v>108273324</v>
          </cell>
          <cell r="L3911">
            <v>12693799</v>
          </cell>
          <cell r="M3911">
            <v>0</v>
          </cell>
          <cell r="N3911">
            <v>0</v>
          </cell>
          <cell r="O3911">
            <v>2221594</v>
          </cell>
          <cell r="P3911">
            <v>705386</v>
          </cell>
          <cell r="Q3911">
            <v>0</v>
          </cell>
          <cell r="R3911">
            <v>303818734</v>
          </cell>
          <cell r="S3911">
            <v>0</v>
          </cell>
          <cell r="T3911">
            <v>0</v>
          </cell>
          <cell r="U3911">
            <v>0</v>
          </cell>
          <cell r="V3911">
            <v>851428</v>
          </cell>
          <cell r="W3911">
            <v>4103830</v>
          </cell>
          <cell r="X3911">
            <v>34364799</v>
          </cell>
          <cell r="Y3911">
            <v>0</v>
          </cell>
          <cell r="Z3911">
            <v>0</v>
          </cell>
          <cell r="AA3911">
            <v>0</v>
          </cell>
          <cell r="AB3911">
            <v>96262231</v>
          </cell>
          <cell r="AC3911">
            <v>2949070</v>
          </cell>
          <cell r="AD3911">
            <v>1777465</v>
          </cell>
          <cell r="AE3911">
            <v>0</v>
          </cell>
          <cell r="AF3911">
            <v>23623250</v>
          </cell>
          <cell r="AG3911">
            <v>3215010</v>
          </cell>
          <cell r="AH3911">
            <v>14446934</v>
          </cell>
          <cell r="AI3911">
            <v>1650065</v>
          </cell>
        </row>
        <row r="3912">
          <cell r="A3912">
            <v>426012004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</row>
        <row r="3913">
          <cell r="A3913">
            <v>426012005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</row>
        <row r="3914">
          <cell r="A3914">
            <v>426012006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</row>
        <row r="3915">
          <cell r="A3915">
            <v>426012007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</row>
        <row r="3916">
          <cell r="A3916">
            <v>426012008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</row>
        <row r="3917">
          <cell r="A3917">
            <v>426012009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</row>
        <row r="3918">
          <cell r="A3918">
            <v>426020000</v>
          </cell>
          <cell r="C3918">
            <v>0</v>
          </cell>
          <cell r="D3918">
            <v>232785</v>
          </cell>
          <cell r="E3918">
            <v>8892713</v>
          </cell>
          <cell r="F3918">
            <v>0</v>
          </cell>
          <cell r="G3918">
            <v>0</v>
          </cell>
          <cell r="H3918">
            <v>0</v>
          </cell>
          <cell r="I3918">
            <v>10734609</v>
          </cell>
          <cell r="J3918">
            <v>8433799</v>
          </cell>
          <cell r="K3918">
            <v>0</v>
          </cell>
          <cell r="L3918">
            <v>2455846</v>
          </cell>
          <cell r="M3918">
            <v>0</v>
          </cell>
          <cell r="N3918">
            <v>0</v>
          </cell>
          <cell r="O3918">
            <v>86234903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26017212</v>
          </cell>
          <cell r="W3918">
            <v>0</v>
          </cell>
          <cell r="X3918">
            <v>171924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</row>
        <row r="3919">
          <cell r="A3919">
            <v>426020100</v>
          </cell>
          <cell r="C3919">
            <v>0</v>
          </cell>
          <cell r="D3919">
            <v>0</v>
          </cell>
          <cell r="E3919">
            <v>8892713</v>
          </cell>
          <cell r="F3919">
            <v>0</v>
          </cell>
          <cell r="G3919">
            <v>0</v>
          </cell>
          <cell r="H3919">
            <v>0</v>
          </cell>
          <cell r="I3919">
            <v>10734609</v>
          </cell>
          <cell r="J3919">
            <v>8433799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171924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</row>
        <row r="3920">
          <cell r="A3920">
            <v>426020101</v>
          </cell>
          <cell r="C3920">
            <v>0</v>
          </cell>
          <cell r="D3920">
            <v>0</v>
          </cell>
          <cell r="E3920">
            <v>8892713</v>
          </cell>
          <cell r="F3920">
            <v>0</v>
          </cell>
          <cell r="G3920">
            <v>0</v>
          </cell>
          <cell r="H3920">
            <v>0</v>
          </cell>
          <cell r="I3920">
            <v>10734609</v>
          </cell>
          <cell r="J3920">
            <v>3143135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</row>
        <row r="3921">
          <cell r="A3921">
            <v>426020102</v>
          </cell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5290664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171924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</row>
        <row r="3922">
          <cell r="A3922">
            <v>426020200</v>
          </cell>
          <cell r="C3922">
            <v>0</v>
          </cell>
          <cell r="D3922">
            <v>232785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2455846</v>
          </cell>
          <cell r="M3922">
            <v>0</v>
          </cell>
          <cell r="N3922">
            <v>0</v>
          </cell>
          <cell r="O3922">
            <v>86234903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26017212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</row>
        <row r="3923">
          <cell r="A3923">
            <v>426020201</v>
          </cell>
          <cell r="C3923">
            <v>0</v>
          </cell>
          <cell r="D3923">
            <v>232785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2455846</v>
          </cell>
          <cell r="M3923">
            <v>0</v>
          </cell>
          <cell r="N3923">
            <v>0</v>
          </cell>
          <cell r="O3923">
            <v>86234903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26017212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</row>
        <row r="3924">
          <cell r="A3924">
            <v>426020202</v>
          </cell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</row>
        <row r="3925">
          <cell r="A3925">
            <v>426030000</v>
          </cell>
          <cell r="C3925">
            <v>0</v>
          </cell>
          <cell r="D3925">
            <v>69345323</v>
          </cell>
          <cell r="E3925">
            <v>0</v>
          </cell>
          <cell r="F3925">
            <v>25688571</v>
          </cell>
          <cell r="G3925">
            <v>0</v>
          </cell>
          <cell r="H3925">
            <v>0</v>
          </cell>
          <cell r="I3925">
            <v>359383051</v>
          </cell>
          <cell r="J3925">
            <v>0</v>
          </cell>
          <cell r="K3925">
            <v>29039659</v>
          </cell>
          <cell r="L3925">
            <v>12337317</v>
          </cell>
          <cell r="M3925">
            <v>29225593</v>
          </cell>
          <cell r="N3925">
            <v>0</v>
          </cell>
          <cell r="O3925">
            <v>211592139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10052632</v>
          </cell>
          <cell r="U3925">
            <v>0</v>
          </cell>
          <cell r="V3925">
            <v>10779811</v>
          </cell>
          <cell r="W3925">
            <v>4682982</v>
          </cell>
          <cell r="X3925">
            <v>97108909</v>
          </cell>
          <cell r="Y3925">
            <v>29153452</v>
          </cell>
          <cell r="Z3925">
            <v>0</v>
          </cell>
          <cell r="AA3925">
            <v>24035750</v>
          </cell>
          <cell r="AB3925">
            <v>416853636</v>
          </cell>
          <cell r="AC3925">
            <v>0</v>
          </cell>
          <cell r="AD3925">
            <v>18362232</v>
          </cell>
          <cell r="AE3925">
            <v>6774193</v>
          </cell>
          <cell r="AF3925">
            <v>9415800</v>
          </cell>
          <cell r="AG3925">
            <v>0</v>
          </cell>
          <cell r="AH3925">
            <v>0</v>
          </cell>
          <cell r="AI3925">
            <v>0</v>
          </cell>
        </row>
        <row r="3926">
          <cell r="A3926">
            <v>426030100</v>
          </cell>
          <cell r="C3926">
            <v>0</v>
          </cell>
          <cell r="D3926">
            <v>5465940</v>
          </cell>
          <cell r="E3926">
            <v>0</v>
          </cell>
          <cell r="F3926">
            <v>250263</v>
          </cell>
          <cell r="G3926">
            <v>0</v>
          </cell>
          <cell r="H3926">
            <v>0</v>
          </cell>
          <cell r="I3926">
            <v>122063509</v>
          </cell>
          <cell r="J3926">
            <v>0</v>
          </cell>
          <cell r="K3926">
            <v>229421</v>
          </cell>
          <cell r="L3926">
            <v>5288031</v>
          </cell>
          <cell r="M3926">
            <v>862725</v>
          </cell>
          <cell r="N3926">
            <v>0</v>
          </cell>
          <cell r="O3926">
            <v>174985092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4561444</v>
          </cell>
          <cell r="W3926">
            <v>82623</v>
          </cell>
          <cell r="X3926">
            <v>35415845</v>
          </cell>
          <cell r="Y3926">
            <v>395238</v>
          </cell>
          <cell r="Z3926">
            <v>0</v>
          </cell>
          <cell r="AA3926">
            <v>527302</v>
          </cell>
          <cell r="AB3926">
            <v>97730568</v>
          </cell>
          <cell r="AC3926">
            <v>0</v>
          </cell>
          <cell r="AD3926">
            <v>6747562</v>
          </cell>
          <cell r="AE3926">
            <v>6774193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</row>
        <row r="3927">
          <cell r="A3927">
            <v>426030101</v>
          </cell>
          <cell r="C3927">
            <v>0</v>
          </cell>
          <cell r="D3927">
            <v>5465940</v>
          </cell>
          <cell r="E3927">
            <v>0</v>
          </cell>
          <cell r="F3927">
            <v>250263</v>
          </cell>
          <cell r="G3927">
            <v>0</v>
          </cell>
          <cell r="H3927">
            <v>0</v>
          </cell>
          <cell r="I3927">
            <v>122063509</v>
          </cell>
          <cell r="J3927">
            <v>0</v>
          </cell>
          <cell r="K3927">
            <v>0</v>
          </cell>
          <cell r="L3927">
            <v>5288031</v>
          </cell>
          <cell r="M3927">
            <v>862725</v>
          </cell>
          <cell r="N3927">
            <v>0</v>
          </cell>
          <cell r="O3927">
            <v>15118744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4561444</v>
          </cell>
          <cell r="W3927">
            <v>82623</v>
          </cell>
          <cell r="X3927">
            <v>35415845</v>
          </cell>
          <cell r="Y3927">
            <v>0</v>
          </cell>
          <cell r="Z3927">
            <v>0</v>
          </cell>
          <cell r="AA3927">
            <v>196351</v>
          </cell>
          <cell r="AB3927">
            <v>97730568</v>
          </cell>
          <cell r="AC3927">
            <v>0</v>
          </cell>
          <cell r="AD3927">
            <v>6747562</v>
          </cell>
          <cell r="AE3927">
            <v>6774193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</row>
        <row r="3928">
          <cell r="A3928">
            <v>426030102</v>
          </cell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229421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395238</v>
          </cell>
          <cell r="Z3928">
            <v>0</v>
          </cell>
          <cell r="AA3928">
            <v>330951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</row>
        <row r="3929">
          <cell r="A3929">
            <v>426030103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</row>
        <row r="3930">
          <cell r="A3930">
            <v>426030104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159866348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</row>
        <row r="3931">
          <cell r="A3931">
            <v>426030200</v>
          </cell>
          <cell r="C3931">
            <v>0</v>
          </cell>
          <cell r="D3931">
            <v>28459788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  <cell r="I3931">
            <v>6153365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4234927</v>
          </cell>
          <cell r="P3931">
            <v>0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3416763</v>
          </cell>
          <cell r="W3931">
            <v>0</v>
          </cell>
          <cell r="X3931">
            <v>11105562</v>
          </cell>
          <cell r="Y3931">
            <v>117479</v>
          </cell>
          <cell r="Z3931">
            <v>0</v>
          </cell>
          <cell r="AA3931">
            <v>0</v>
          </cell>
          <cell r="AB3931">
            <v>5250336</v>
          </cell>
          <cell r="AC3931">
            <v>0</v>
          </cell>
          <cell r="AD3931">
            <v>991254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</row>
        <row r="3932">
          <cell r="A3932">
            <v>426030201</v>
          </cell>
          <cell r="C3932">
            <v>0</v>
          </cell>
          <cell r="D3932">
            <v>159488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  <cell r="I3932">
            <v>6153365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4234927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3416763</v>
          </cell>
          <cell r="W3932">
            <v>0</v>
          </cell>
          <cell r="X3932">
            <v>11105562</v>
          </cell>
          <cell r="Y3932">
            <v>0</v>
          </cell>
          <cell r="Z3932">
            <v>0</v>
          </cell>
          <cell r="AA3932">
            <v>0</v>
          </cell>
          <cell r="AB3932">
            <v>5250336</v>
          </cell>
          <cell r="AC3932">
            <v>0</v>
          </cell>
          <cell r="AD3932">
            <v>991254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</row>
        <row r="3933">
          <cell r="A3933">
            <v>426030202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117479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</row>
        <row r="3934">
          <cell r="A3934">
            <v>426030203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</row>
        <row r="3935">
          <cell r="A3935">
            <v>426030204</v>
          </cell>
          <cell r="C3935">
            <v>0</v>
          </cell>
          <cell r="D3935">
            <v>28300300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</row>
        <row r="3936">
          <cell r="A3936">
            <v>426030300</v>
          </cell>
          <cell r="C3936">
            <v>0</v>
          </cell>
          <cell r="D3936">
            <v>65196</v>
          </cell>
          <cell r="E3936">
            <v>0</v>
          </cell>
          <cell r="F3936">
            <v>36075</v>
          </cell>
          <cell r="G3936">
            <v>0</v>
          </cell>
          <cell r="H3936">
            <v>0</v>
          </cell>
          <cell r="I3936">
            <v>129600</v>
          </cell>
          <cell r="J3936">
            <v>0</v>
          </cell>
          <cell r="K3936">
            <v>56205</v>
          </cell>
          <cell r="L3936">
            <v>132000</v>
          </cell>
          <cell r="M3936">
            <v>81863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408524</v>
          </cell>
          <cell r="W3936">
            <v>0</v>
          </cell>
          <cell r="X3936">
            <v>0</v>
          </cell>
          <cell r="Y3936">
            <v>75101</v>
          </cell>
          <cell r="Z3936">
            <v>0</v>
          </cell>
          <cell r="AA3936">
            <v>64809</v>
          </cell>
          <cell r="AB3936">
            <v>9895962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</row>
        <row r="3937">
          <cell r="A3937">
            <v>426030301</v>
          </cell>
          <cell r="C3937">
            <v>0</v>
          </cell>
          <cell r="D3937">
            <v>65196</v>
          </cell>
          <cell r="E3937">
            <v>0</v>
          </cell>
          <cell r="F3937">
            <v>36075</v>
          </cell>
          <cell r="G3937">
            <v>0</v>
          </cell>
          <cell r="H3937">
            <v>0</v>
          </cell>
          <cell r="I3937">
            <v>129600</v>
          </cell>
          <cell r="J3937">
            <v>0</v>
          </cell>
          <cell r="K3937">
            <v>0</v>
          </cell>
          <cell r="L3937">
            <v>132000</v>
          </cell>
          <cell r="M3937">
            <v>81863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408524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9895962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</row>
        <row r="3938">
          <cell r="A3938">
            <v>426030302</v>
          </cell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56205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75101</v>
          </cell>
          <cell r="Z3938">
            <v>0</v>
          </cell>
          <cell r="AA3938">
            <v>64809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</row>
        <row r="3939">
          <cell r="A3939">
            <v>426030303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</row>
        <row r="3940">
          <cell r="A3940">
            <v>426030304</v>
          </cell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</row>
        <row r="3941">
          <cell r="A3941">
            <v>426030400</v>
          </cell>
          <cell r="C3941">
            <v>0</v>
          </cell>
          <cell r="D3941">
            <v>33132000</v>
          </cell>
          <cell r="E3941">
            <v>0</v>
          </cell>
          <cell r="F3941">
            <v>24688132</v>
          </cell>
          <cell r="G3941">
            <v>0</v>
          </cell>
          <cell r="H3941">
            <v>0</v>
          </cell>
          <cell r="I3941">
            <v>165406662</v>
          </cell>
          <cell r="J3941">
            <v>0</v>
          </cell>
          <cell r="K3941">
            <v>27875344</v>
          </cell>
          <cell r="L3941">
            <v>3269203</v>
          </cell>
          <cell r="M3941">
            <v>26091054</v>
          </cell>
          <cell r="N3941">
            <v>0</v>
          </cell>
          <cell r="O3941">
            <v>1552680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623280</v>
          </cell>
          <cell r="W3941">
            <v>2635731</v>
          </cell>
          <cell r="X3941">
            <v>19607295</v>
          </cell>
          <cell r="Y3941">
            <v>27612679</v>
          </cell>
          <cell r="Z3941">
            <v>0</v>
          </cell>
          <cell r="AA3941">
            <v>22898956</v>
          </cell>
          <cell r="AB3941">
            <v>176778963</v>
          </cell>
          <cell r="AC3941">
            <v>0</v>
          </cell>
          <cell r="AD3941">
            <v>0</v>
          </cell>
          <cell r="AE3941">
            <v>0</v>
          </cell>
          <cell r="AF3941">
            <v>9415800</v>
          </cell>
          <cell r="AG3941">
            <v>0</v>
          </cell>
          <cell r="AH3941">
            <v>0</v>
          </cell>
          <cell r="AI3941">
            <v>0</v>
          </cell>
        </row>
        <row r="3942">
          <cell r="A3942">
            <v>426030401</v>
          </cell>
          <cell r="C3942">
            <v>0</v>
          </cell>
          <cell r="D3942">
            <v>0</v>
          </cell>
          <cell r="E3942">
            <v>0</v>
          </cell>
          <cell r="F3942">
            <v>24688132</v>
          </cell>
          <cell r="G3942">
            <v>0</v>
          </cell>
          <cell r="H3942">
            <v>0</v>
          </cell>
          <cell r="I3942">
            <v>165406662</v>
          </cell>
          <cell r="J3942">
            <v>0</v>
          </cell>
          <cell r="K3942">
            <v>0</v>
          </cell>
          <cell r="L3942">
            <v>3269203</v>
          </cell>
          <cell r="M3942">
            <v>26091054</v>
          </cell>
          <cell r="N3942">
            <v>0</v>
          </cell>
          <cell r="O3942">
            <v>1552680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2635731</v>
          </cell>
          <cell r="X3942">
            <v>19607295</v>
          </cell>
          <cell r="Y3942">
            <v>0</v>
          </cell>
          <cell r="Z3942">
            <v>0</v>
          </cell>
          <cell r="AA3942">
            <v>0</v>
          </cell>
          <cell r="AB3942">
            <v>176778963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</row>
        <row r="3943">
          <cell r="A3943">
            <v>426030402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27875344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27612679</v>
          </cell>
          <cell r="Z3943">
            <v>0</v>
          </cell>
          <cell r="AA3943">
            <v>22898956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9415800</v>
          </cell>
          <cell r="AG3943">
            <v>0</v>
          </cell>
          <cell r="AH3943">
            <v>0</v>
          </cell>
          <cell r="AI3943">
            <v>0</v>
          </cell>
        </row>
        <row r="3944">
          <cell r="A3944">
            <v>426030403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</row>
        <row r="3945">
          <cell r="A3945">
            <v>426030404</v>
          </cell>
          <cell r="C3945">
            <v>0</v>
          </cell>
          <cell r="D3945">
            <v>33132000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623280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</row>
        <row r="3946">
          <cell r="A3946">
            <v>426030500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</row>
        <row r="3947">
          <cell r="A3947">
            <v>426030501</v>
          </cell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</row>
        <row r="3948">
          <cell r="A3948">
            <v>426030502</v>
          </cell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</row>
        <row r="3949">
          <cell r="A3949">
            <v>426030503</v>
          </cell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</row>
        <row r="3950">
          <cell r="A3950">
            <v>426030504</v>
          </cell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</row>
        <row r="3951">
          <cell r="A3951">
            <v>426030600</v>
          </cell>
          <cell r="C3951">
            <v>0</v>
          </cell>
          <cell r="D3951">
            <v>0</v>
          </cell>
          <cell r="E3951">
            <v>0</v>
          </cell>
          <cell r="F3951">
            <v>146600</v>
          </cell>
          <cell r="G3951">
            <v>0</v>
          </cell>
          <cell r="H3951">
            <v>0</v>
          </cell>
          <cell r="I3951">
            <v>17203865</v>
          </cell>
          <cell r="J3951">
            <v>0</v>
          </cell>
          <cell r="K3951">
            <v>146599</v>
          </cell>
          <cell r="L3951">
            <v>0</v>
          </cell>
          <cell r="M3951">
            <v>550822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4087279</v>
          </cell>
          <cell r="Y3951">
            <v>385458</v>
          </cell>
          <cell r="Z3951">
            <v>0</v>
          </cell>
          <cell r="AA3951">
            <v>120085</v>
          </cell>
          <cell r="AB3951">
            <v>20068481</v>
          </cell>
          <cell r="AC3951">
            <v>0</v>
          </cell>
          <cell r="AD3951">
            <v>225041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</row>
        <row r="3952">
          <cell r="A3952">
            <v>426030601</v>
          </cell>
          <cell r="C3952">
            <v>0</v>
          </cell>
          <cell r="D3952">
            <v>0</v>
          </cell>
          <cell r="E3952">
            <v>0</v>
          </cell>
          <cell r="F3952">
            <v>146600</v>
          </cell>
          <cell r="G3952">
            <v>0</v>
          </cell>
          <cell r="H3952">
            <v>0</v>
          </cell>
          <cell r="I3952">
            <v>17203865</v>
          </cell>
          <cell r="J3952">
            <v>0</v>
          </cell>
          <cell r="K3952">
            <v>0</v>
          </cell>
          <cell r="L3952">
            <v>0</v>
          </cell>
          <cell r="M3952">
            <v>550822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4087279</v>
          </cell>
          <cell r="Y3952">
            <v>0</v>
          </cell>
          <cell r="Z3952">
            <v>0</v>
          </cell>
          <cell r="AA3952">
            <v>0</v>
          </cell>
          <cell r="AB3952">
            <v>20068481</v>
          </cell>
          <cell r="AC3952">
            <v>0</v>
          </cell>
          <cell r="AD3952">
            <v>225041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</row>
        <row r="3953">
          <cell r="A3953">
            <v>426030602</v>
          </cell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146599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385458</v>
          </cell>
          <cell r="Z3953">
            <v>0</v>
          </cell>
          <cell r="AA3953">
            <v>120085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</row>
        <row r="3954">
          <cell r="A3954">
            <v>426030603</v>
          </cell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</row>
        <row r="3955">
          <cell r="A3955">
            <v>426030604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</row>
        <row r="3956">
          <cell r="A3956">
            <v>426030700</v>
          </cell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  <cell r="I3956">
            <v>2863552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2331725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1986376</v>
          </cell>
          <cell r="Y3956">
            <v>0</v>
          </cell>
          <cell r="Z3956">
            <v>0</v>
          </cell>
          <cell r="AA3956">
            <v>0</v>
          </cell>
          <cell r="AB3956">
            <v>3168849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</row>
        <row r="3957">
          <cell r="A3957">
            <v>426030701</v>
          </cell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  <cell r="I3957">
            <v>2863552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2331725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1986376</v>
          </cell>
          <cell r="Y3957">
            <v>0</v>
          </cell>
          <cell r="Z3957">
            <v>0</v>
          </cell>
          <cell r="AA3957">
            <v>0</v>
          </cell>
          <cell r="AB3957">
            <v>3168849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</row>
        <row r="3958">
          <cell r="A3958">
            <v>426030702</v>
          </cell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G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</row>
        <row r="3959">
          <cell r="A3959">
            <v>426030703</v>
          </cell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</row>
        <row r="3960">
          <cell r="A3960">
            <v>426030704</v>
          </cell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G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</row>
        <row r="3961">
          <cell r="A3961">
            <v>426030800</v>
          </cell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</row>
        <row r="3962">
          <cell r="A3962">
            <v>426030801</v>
          </cell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</row>
        <row r="3963">
          <cell r="A3963">
            <v>426030802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</row>
        <row r="3964">
          <cell r="A3964">
            <v>426030803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</row>
        <row r="3965">
          <cell r="A3965">
            <v>426030804</v>
          </cell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</row>
        <row r="3966">
          <cell r="A3966">
            <v>426030900</v>
          </cell>
          <cell r="C3966">
            <v>0</v>
          </cell>
          <cell r="D3966">
            <v>0</v>
          </cell>
          <cell r="E3966">
            <v>0</v>
          </cell>
          <cell r="F3966">
            <v>507298</v>
          </cell>
          <cell r="G3966">
            <v>0</v>
          </cell>
          <cell r="H3966">
            <v>0</v>
          </cell>
          <cell r="I3966">
            <v>4368571</v>
          </cell>
          <cell r="J3966">
            <v>0</v>
          </cell>
          <cell r="K3966">
            <v>507298</v>
          </cell>
          <cell r="L3966">
            <v>0</v>
          </cell>
          <cell r="M3966">
            <v>1624241</v>
          </cell>
          <cell r="N3966">
            <v>0</v>
          </cell>
          <cell r="O3966">
            <v>73094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1769800</v>
          </cell>
          <cell r="W3966">
            <v>0</v>
          </cell>
          <cell r="X3966">
            <v>0</v>
          </cell>
          <cell r="Y3966">
            <v>507293</v>
          </cell>
          <cell r="Z3966">
            <v>0</v>
          </cell>
          <cell r="AA3966">
            <v>379283</v>
          </cell>
          <cell r="AB3966">
            <v>18265505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</row>
        <row r="3967">
          <cell r="A3967">
            <v>426030901</v>
          </cell>
          <cell r="C3967">
            <v>0</v>
          </cell>
          <cell r="D3967">
            <v>0</v>
          </cell>
          <cell r="E3967">
            <v>0</v>
          </cell>
          <cell r="F3967">
            <v>507298</v>
          </cell>
          <cell r="G3967">
            <v>0</v>
          </cell>
          <cell r="H3967">
            <v>0</v>
          </cell>
          <cell r="I3967">
            <v>4368571</v>
          </cell>
          <cell r="J3967">
            <v>0</v>
          </cell>
          <cell r="K3967">
            <v>0</v>
          </cell>
          <cell r="L3967">
            <v>0</v>
          </cell>
          <cell r="M3967">
            <v>1624241</v>
          </cell>
          <cell r="N3967">
            <v>0</v>
          </cell>
          <cell r="O3967">
            <v>73094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18265505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</row>
        <row r="3968">
          <cell r="A3968">
            <v>426030902</v>
          </cell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507298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507293</v>
          </cell>
          <cell r="Z3968">
            <v>0</v>
          </cell>
          <cell r="AA3968">
            <v>379283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</row>
        <row r="3969">
          <cell r="A3969">
            <v>426030903</v>
          </cell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</row>
        <row r="3970">
          <cell r="A3970">
            <v>426030904</v>
          </cell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1769800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</row>
        <row r="3971">
          <cell r="A3971">
            <v>426031000</v>
          </cell>
          <cell r="C3971">
            <v>0</v>
          </cell>
          <cell r="D3971">
            <v>0</v>
          </cell>
          <cell r="E3971">
            <v>0</v>
          </cell>
          <cell r="F3971">
            <v>45315</v>
          </cell>
          <cell r="G3971">
            <v>0</v>
          </cell>
          <cell r="H3971">
            <v>0</v>
          </cell>
          <cell r="I3971">
            <v>980000</v>
          </cell>
          <cell r="J3971">
            <v>0</v>
          </cell>
          <cell r="K3971">
            <v>45315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1964628</v>
          </cell>
          <cell r="X3971">
            <v>0</v>
          </cell>
          <cell r="Y3971">
            <v>45315</v>
          </cell>
          <cell r="Z3971">
            <v>0</v>
          </cell>
          <cell r="AA3971">
            <v>45315</v>
          </cell>
          <cell r="AB3971">
            <v>2536874</v>
          </cell>
          <cell r="AC3971">
            <v>0</v>
          </cell>
          <cell r="AD3971">
            <v>3243182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</row>
        <row r="3972">
          <cell r="A3972">
            <v>426031001</v>
          </cell>
          <cell r="C3972">
            <v>0</v>
          </cell>
          <cell r="D3972">
            <v>0</v>
          </cell>
          <cell r="E3972">
            <v>0</v>
          </cell>
          <cell r="F3972">
            <v>45315</v>
          </cell>
          <cell r="G3972">
            <v>0</v>
          </cell>
          <cell r="H3972">
            <v>0</v>
          </cell>
          <cell r="I3972">
            <v>980000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1964628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2536874</v>
          </cell>
          <cell r="AC3972">
            <v>0</v>
          </cell>
          <cell r="AD3972">
            <v>3243182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</row>
        <row r="3973">
          <cell r="A3973">
            <v>426031002</v>
          </cell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45315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45315</v>
          </cell>
          <cell r="Z3973">
            <v>0</v>
          </cell>
          <cell r="AA3973">
            <v>45315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</row>
        <row r="3974">
          <cell r="A3974">
            <v>426031003</v>
          </cell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</row>
        <row r="3975">
          <cell r="A3975">
            <v>426031004</v>
          </cell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</row>
        <row r="3976">
          <cell r="A3976">
            <v>426031100</v>
          </cell>
          <cell r="C3976">
            <v>0</v>
          </cell>
          <cell r="D3976">
            <v>2222399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  <cell r="I3976">
            <v>2549602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657506</v>
          </cell>
          <cell r="Y3976">
            <v>0</v>
          </cell>
          <cell r="Z3976">
            <v>0</v>
          </cell>
          <cell r="AA3976">
            <v>0</v>
          </cell>
          <cell r="AB3976">
            <v>13288170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</row>
        <row r="3977">
          <cell r="A3977">
            <v>426031101</v>
          </cell>
          <cell r="C3977">
            <v>0</v>
          </cell>
          <cell r="D3977">
            <v>2222399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  <cell r="I3977">
            <v>2549602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657506</v>
          </cell>
          <cell r="Y3977">
            <v>0</v>
          </cell>
          <cell r="Z3977">
            <v>0</v>
          </cell>
          <cell r="AA3977">
            <v>0</v>
          </cell>
          <cell r="AB3977">
            <v>13288170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</row>
        <row r="3978">
          <cell r="A3978">
            <v>426031102</v>
          </cell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</row>
        <row r="3979">
          <cell r="A3979">
            <v>426031103</v>
          </cell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</row>
        <row r="3980">
          <cell r="A3980">
            <v>426031104</v>
          </cell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</row>
        <row r="3981">
          <cell r="A3981">
            <v>426031200</v>
          </cell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G3981">
            <v>0</v>
          </cell>
          <cell r="H3981">
            <v>0</v>
          </cell>
          <cell r="I3981">
            <v>34037285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9701795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19911411</v>
          </cell>
          <cell r="Y3981">
            <v>0</v>
          </cell>
          <cell r="Z3981">
            <v>0</v>
          </cell>
          <cell r="AA3981">
            <v>0</v>
          </cell>
          <cell r="AB3981">
            <v>61689829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</row>
        <row r="3982">
          <cell r="A3982">
            <v>426031201</v>
          </cell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  <cell r="I3982">
            <v>34037285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9701795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19911411</v>
          </cell>
          <cell r="Y3982">
            <v>0</v>
          </cell>
          <cell r="Z3982">
            <v>0</v>
          </cell>
          <cell r="AA3982">
            <v>0</v>
          </cell>
          <cell r="AB3982">
            <v>61689829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</row>
        <row r="3983">
          <cell r="A3983">
            <v>426031202</v>
          </cell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</row>
        <row r="3984">
          <cell r="A3984">
            <v>426031203</v>
          </cell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G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</row>
        <row r="3985">
          <cell r="A3985">
            <v>426031204</v>
          </cell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</row>
        <row r="3986">
          <cell r="A3986">
            <v>426031300</v>
          </cell>
          <cell r="C3986">
            <v>0</v>
          </cell>
          <cell r="D3986">
            <v>0</v>
          </cell>
          <cell r="E3986">
            <v>0</v>
          </cell>
          <cell r="F3986">
            <v>14888</v>
          </cell>
          <cell r="G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179477</v>
          </cell>
          <cell r="L3986">
            <v>3648083</v>
          </cell>
          <cell r="M3986">
            <v>14888</v>
          </cell>
          <cell r="N3986">
            <v>0</v>
          </cell>
          <cell r="O3986">
            <v>18712826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4337635</v>
          </cell>
          <cell r="Y3986">
            <v>14889</v>
          </cell>
          <cell r="Z3986">
            <v>0</v>
          </cell>
          <cell r="AA3986">
            <v>0</v>
          </cell>
          <cell r="AB3986">
            <v>1089599</v>
          </cell>
          <cell r="AC3986">
            <v>0</v>
          </cell>
          <cell r="AD3986">
            <v>7155193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</row>
        <row r="3987">
          <cell r="A3987">
            <v>426031301</v>
          </cell>
          <cell r="C3987">
            <v>0</v>
          </cell>
          <cell r="D3987">
            <v>0</v>
          </cell>
          <cell r="E3987">
            <v>0</v>
          </cell>
          <cell r="F3987">
            <v>14888</v>
          </cell>
          <cell r="G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3648083</v>
          </cell>
          <cell r="M3987">
            <v>14888</v>
          </cell>
          <cell r="N3987">
            <v>0</v>
          </cell>
          <cell r="O3987">
            <v>18712826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4337635</v>
          </cell>
          <cell r="Y3987">
            <v>0</v>
          </cell>
          <cell r="Z3987">
            <v>0</v>
          </cell>
          <cell r="AA3987">
            <v>0</v>
          </cell>
          <cell r="AB3987">
            <v>1089599</v>
          </cell>
          <cell r="AC3987">
            <v>0</v>
          </cell>
          <cell r="AD3987">
            <v>7155193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</row>
        <row r="3988">
          <cell r="A3988">
            <v>426031302</v>
          </cell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179477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14889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</row>
        <row r="3989">
          <cell r="A3989">
            <v>426031303</v>
          </cell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</row>
        <row r="3990">
          <cell r="A3990">
            <v>426031304</v>
          </cell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</row>
        <row r="3991">
          <cell r="A3991">
            <v>426032000</v>
          </cell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G3991">
            <v>0</v>
          </cell>
          <cell r="H3991">
            <v>0</v>
          </cell>
          <cell r="I3991">
            <v>3627040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0</v>
          </cell>
          <cell r="T3991">
            <v>10052632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7090500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</row>
        <row r="3992">
          <cell r="A3992">
            <v>426032001</v>
          </cell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  <cell r="I3992">
            <v>3627040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7090500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</row>
        <row r="3993">
          <cell r="A3993">
            <v>426032002</v>
          </cell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</row>
        <row r="3994">
          <cell r="A3994">
            <v>426032003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R3994">
            <v>0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</row>
        <row r="3995">
          <cell r="A3995">
            <v>426032004</v>
          </cell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G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10052632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</row>
        <row r="3996">
          <cell r="A3996">
            <v>426040000</v>
          </cell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7922723</v>
          </cell>
          <cell r="T3996">
            <v>0</v>
          </cell>
          <cell r="U3996">
            <v>0</v>
          </cell>
          <cell r="V3996">
            <v>0</v>
          </cell>
          <cell r="W3996">
            <v>780640</v>
          </cell>
          <cell r="X3996">
            <v>0</v>
          </cell>
          <cell r="Y3996">
            <v>392829</v>
          </cell>
          <cell r="Z3996">
            <v>0</v>
          </cell>
          <cell r="AA3996">
            <v>0</v>
          </cell>
          <cell r="AB3996">
            <v>1374707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</row>
        <row r="3997">
          <cell r="A3997">
            <v>426040100</v>
          </cell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780640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1207207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</row>
        <row r="3998">
          <cell r="A3998">
            <v>426040101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780640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1207207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</row>
        <row r="3999">
          <cell r="A3999">
            <v>426040200</v>
          </cell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</row>
        <row r="4000">
          <cell r="A4000">
            <v>426040201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</row>
        <row r="4001">
          <cell r="A4001">
            <v>426040300</v>
          </cell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</row>
        <row r="4002">
          <cell r="A4002">
            <v>426040301</v>
          </cell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</row>
        <row r="4003">
          <cell r="A4003">
            <v>426040400</v>
          </cell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7922723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167500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</row>
        <row r="4004">
          <cell r="A4004">
            <v>426040401</v>
          </cell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7922723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167500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</row>
        <row r="4005">
          <cell r="A4005">
            <v>426040500</v>
          </cell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G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392829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</row>
        <row r="4006">
          <cell r="A4006">
            <v>426040501</v>
          </cell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392829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</row>
        <row r="4007">
          <cell r="A4007">
            <v>426040600</v>
          </cell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</row>
        <row r="4008">
          <cell r="A4008">
            <v>426040601</v>
          </cell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</row>
        <row r="4009">
          <cell r="A4009">
            <v>426040700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</row>
        <row r="4010">
          <cell r="A4010">
            <v>426040701</v>
          </cell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</row>
        <row r="4011">
          <cell r="A4011">
            <v>426040800</v>
          </cell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</row>
        <row r="4012">
          <cell r="A4012">
            <v>426040801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</row>
        <row r="4013">
          <cell r="A4013">
            <v>426040900</v>
          </cell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G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</row>
        <row r="4014">
          <cell r="A4014">
            <v>426040901</v>
          </cell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</row>
        <row r="4015">
          <cell r="A4015">
            <v>426041000</v>
          </cell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</row>
        <row r="4016">
          <cell r="A4016">
            <v>426041001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</row>
        <row r="4017">
          <cell r="A4017">
            <v>426041100</v>
          </cell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</row>
        <row r="4018">
          <cell r="A4018">
            <v>426041101</v>
          </cell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</row>
        <row r="4019">
          <cell r="A4019">
            <v>426041200</v>
          </cell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</row>
        <row r="4020">
          <cell r="A4020">
            <v>426041201</v>
          </cell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</row>
        <row r="4021">
          <cell r="A4021">
            <v>426041300</v>
          </cell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</row>
        <row r="4022">
          <cell r="A4022">
            <v>426041301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</row>
        <row r="4023">
          <cell r="A4023">
            <v>426042000</v>
          </cell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</row>
        <row r="4024">
          <cell r="A4024">
            <v>426042001</v>
          </cell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</row>
        <row r="4025">
          <cell r="A4025">
            <v>426042002</v>
          </cell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</row>
        <row r="4026">
          <cell r="A4026">
            <v>426042003</v>
          </cell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</row>
        <row r="4027">
          <cell r="A4027">
            <v>426042004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</row>
        <row r="4028">
          <cell r="A4028">
            <v>426042005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</row>
        <row r="4029">
          <cell r="A4029">
            <v>426042006</v>
          </cell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</row>
        <row r="4030">
          <cell r="A4030">
            <v>426042007</v>
          </cell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</row>
        <row r="4031">
          <cell r="A4031">
            <v>426042008</v>
          </cell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</row>
        <row r="4032">
          <cell r="A4032">
            <v>426042009</v>
          </cell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</row>
        <row r="4033">
          <cell r="A4033">
            <v>426050000</v>
          </cell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421836</v>
          </cell>
          <cell r="W4033">
            <v>0</v>
          </cell>
          <cell r="X4033">
            <v>0</v>
          </cell>
          <cell r="Y4033">
            <v>285680</v>
          </cell>
          <cell r="Z4033">
            <v>0</v>
          </cell>
          <cell r="AA4033">
            <v>0</v>
          </cell>
          <cell r="AB4033">
            <v>2312780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</row>
        <row r="4034">
          <cell r="A4034">
            <v>426050100</v>
          </cell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</row>
        <row r="4035">
          <cell r="A4035">
            <v>426050101</v>
          </cell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</row>
        <row r="4036">
          <cell r="A4036">
            <v>426050200</v>
          </cell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</row>
        <row r="4037">
          <cell r="A4037">
            <v>426050201</v>
          </cell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</row>
        <row r="4038">
          <cell r="A4038">
            <v>426050300</v>
          </cell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</row>
        <row r="4039">
          <cell r="A4039">
            <v>426050301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</row>
        <row r="4040">
          <cell r="A4040">
            <v>426050400</v>
          </cell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421836</v>
          </cell>
          <cell r="W4040">
            <v>0</v>
          </cell>
          <cell r="X4040">
            <v>0</v>
          </cell>
          <cell r="Y4040">
            <v>285680</v>
          </cell>
          <cell r="Z4040">
            <v>0</v>
          </cell>
          <cell r="AA4040">
            <v>0</v>
          </cell>
          <cell r="AB4040">
            <v>2312780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</row>
        <row r="4041">
          <cell r="A4041">
            <v>426050401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421836</v>
          </cell>
          <cell r="W4041">
            <v>0</v>
          </cell>
          <cell r="X4041">
            <v>0</v>
          </cell>
          <cell r="Y4041">
            <v>285680</v>
          </cell>
          <cell r="Z4041">
            <v>0</v>
          </cell>
          <cell r="AA4041">
            <v>0</v>
          </cell>
          <cell r="AB4041">
            <v>2312780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</row>
        <row r="4042">
          <cell r="A4042">
            <v>426050500</v>
          </cell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</row>
        <row r="4043">
          <cell r="A4043">
            <v>426050501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</row>
        <row r="4044">
          <cell r="A4044">
            <v>426050600</v>
          </cell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</row>
        <row r="4045">
          <cell r="A4045">
            <v>426050601</v>
          </cell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</row>
        <row r="4046">
          <cell r="A4046">
            <v>426050700</v>
          </cell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</row>
        <row r="4047">
          <cell r="A4047">
            <v>426050701</v>
          </cell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</row>
        <row r="4048">
          <cell r="A4048">
            <v>426050800</v>
          </cell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</row>
        <row r="4049">
          <cell r="A4049">
            <v>426050801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</row>
        <row r="4050">
          <cell r="A4050">
            <v>426050900</v>
          </cell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</row>
        <row r="4051">
          <cell r="A4051">
            <v>426050901</v>
          </cell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</row>
        <row r="4052">
          <cell r="A4052">
            <v>426051000</v>
          </cell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</row>
        <row r="4053">
          <cell r="A4053">
            <v>426051001</v>
          </cell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</row>
        <row r="4054">
          <cell r="A4054">
            <v>426051100</v>
          </cell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</row>
        <row r="4055">
          <cell r="A4055">
            <v>426051101</v>
          </cell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</row>
        <row r="4056">
          <cell r="A4056">
            <v>426051200</v>
          </cell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</row>
        <row r="4057">
          <cell r="A4057">
            <v>426051201</v>
          </cell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</row>
        <row r="4058">
          <cell r="A4058">
            <v>426051300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</row>
        <row r="4059">
          <cell r="A4059">
            <v>426051301</v>
          </cell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</row>
        <row r="4060">
          <cell r="A4060">
            <v>426052000</v>
          </cell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</row>
        <row r="4061">
          <cell r="A4061">
            <v>426052001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</row>
        <row r="4062">
          <cell r="A4062">
            <v>426052002</v>
          </cell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</row>
        <row r="4063">
          <cell r="A4063">
            <v>426052003</v>
          </cell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</row>
        <row r="4064">
          <cell r="A4064">
            <v>426052004</v>
          </cell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</row>
        <row r="4065">
          <cell r="A4065">
            <v>426052005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</row>
        <row r="4066">
          <cell r="A4066">
            <v>426052006</v>
          </cell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</row>
        <row r="4067">
          <cell r="A4067">
            <v>426052007</v>
          </cell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</row>
        <row r="4068">
          <cell r="A4068">
            <v>426052008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</row>
        <row r="4069">
          <cell r="A4069">
            <v>426052009</v>
          </cell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</row>
        <row r="4070">
          <cell r="A4070">
            <v>426060000</v>
          </cell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8759117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10066950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</row>
        <row r="4071">
          <cell r="A4071">
            <v>426060100</v>
          </cell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8759117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10066950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</row>
        <row r="4072">
          <cell r="A4072">
            <v>426060101</v>
          </cell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8759117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</row>
        <row r="4073">
          <cell r="A4073">
            <v>426060102</v>
          </cell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10066950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</row>
        <row r="4074">
          <cell r="A4074">
            <v>426060103</v>
          </cell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</row>
        <row r="4075">
          <cell r="A4075">
            <v>426070000</v>
          </cell>
          <cell r="C4075">
            <v>2</v>
          </cell>
          <cell r="D4075">
            <v>8583364</v>
          </cell>
          <cell r="E4075">
            <v>1841896</v>
          </cell>
          <cell r="F4075">
            <v>9437477</v>
          </cell>
          <cell r="G4075">
            <v>2534005</v>
          </cell>
          <cell r="H4075">
            <v>229671960</v>
          </cell>
          <cell r="I4075">
            <v>20569185</v>
          </cell>
          <cell r="J4075">
            <v>97813688</v>
          </cell>
          <cell r="K4075">
            <v>1841896</v>
          </cell>
          <cell r="L4075">
            <v>1841896</v>
          </cell>
          <cell r="M4075">
            <v>117568</v>
          </cell>
          <cell r="N4075">
            <v>0</v>
          </cell>
          <cell r="O4075">
            <v>16866803</v>
          </cell>
          <cell r="P4075">
            <v>1841981</v>
          </cell>
          <cell r="Q4075">
            <v>1841896</v>
          </cell>
          <cell r="R4075">
            <v>7871684</v>
          </cell>
          <cell r="S4075">
            <v>28200670</v>
          </cell>
          <cell r="T4075">
            <v>2237559</v>
          </cell>
          <cell r="U4075">
            <v>28833131</v>
          </cell>
          <cell r="V4075">
            <v>7870000</v>
          </cell>
          <cell r="W4075">
            <v>42010477</v>
          </cell>
          <cell r="X4075">
            <v>1942218</v>
          </cell>
          <cell r="Y4075">
            <v>8039024</v>
          </cell>
          <cell r="Z4075">
            <v>29882603</v>
          </cell>
          <cell r="AA4075">
            <v>1841896</v>
          </cell>
          <cell r="AB4075">
            <v>16259051</v>
          </cell>
          <cell r="AC4075">
            <v>64334356</v>
          </cell>
          <cell r="AD4075">
            <v>1841896</v>
          </cell>
          <cell r="AE4075">
            <v>68041432</v>
          </cell>
          <cell r="AF4075">
            <v>80671361</v>
          </cell>
          <cell r="AG4075">
            <v>7540934</v>
          </cell>
          <cell r="AH4075">
            <v>300124</v>
          </cell>
          <cell r="AI4075">
            <v>0</v>
          </cell>
        </row>
        <row r="4076">
          <cell r="A4076">
            <v>426070100</v>
          </cell>
          <cell r="C4076">
            <v>2</v>
          </cell>
          <cell r="D4076">
            <v>8583364</v>
          </cell>
          <cell r="E4076">
            <v>1841896</v>
          </cell>
          <cell r="F4076">
            <v>9437477</v>
          </cell>
          <cell r="G4076">
            <v>2534005</v>
          </cell>
          <cell r="H4076">
            <v>229671960</v>
          </cell>
          <cell r="I4076">
            <v>20569185</v>
          </cell>
          <cell r="J4076">
            <v>97813688</v>
          </cell>
          <cell r="K4076">
            <v>1841896</v>
          </cell>
          <cell r="L4076">
            <v>1841896</v>
          </cell>
          <cell r="M4076">
            <v>117568</v>
          </cell>
          <cell r="N4076">
            <v>0</v>
          </cell>
          <cell r="O4076">
            <v>16866803</v>
          </cell>
          <cell r="P4076">
            <v>1841981</v>
          </cell>
          <cell r="Q4076">
            <v>1841896</v>
          </cell>
          <cell r="R4076">
            <v>7871684</v>
          </cell>
          <cell r="S4076">
            <v>28200670</v>
          </cell>
          <cell r="T4076">
            <v>2237559</v>
          </cell>
          <cell r="U4076">
            <v>28833131</v>
          </cell>
          <cell r="V4076">
            <v>7870000</v>
          </cell>
          <cell r="W4076">
            <v>42010477</v>
          </cell>
          <cell r="X4076">
            <v>1942218</v>
          </cell>
          <cell r="Y4076">
            <v>8039024</v>
          </cell>
          <cell r="Z4076">
            <v>29882603</v>
          </cell>
          <cell r="AA4076">
            <v>1841896</v>
          </cell>
          <cell r="AB4076">
            <v>16259051</v>
          </cell>
          <cell r="AC4076">
            <v>64334356</v>
          </cell>
          <cell r="AD4076">
            <v>1841896</v>
          </cell>
          <cell r="AE4076">
            <v>68041432</v>
          </cell>
          <cell r="AF4076">
            <v>80671361</v>
          </cell>
          <cell r="AG4076">
            <v>7540934</v>
          </cell>
          <cell r="AH4076">
            <v>300124</v>
          </cell>
          <cell r="AI4076">
            <v>0</v>
          </cell>
        </row>
        <row r="4077">
          <cell r="A4077">
            <v>426070101</v>
          </cell>
          <cell r="C4077">
            <v>2</v>
          </cell>
          <cell r="D4077">
            <v>8583364</v>
          </cell>
          <cell r="E4077">
            <v>1841896</v>
          </cell>
          <cell r="F4077">
            <v>9437477</v>
          </cell>
          <cell r="G4077">
            <v>2534005</v>
          </cell>
          <cell r="H4077">
            <v>229671960</v>
          </cell>
          <cell r="I4077">
            <v>20569185</v>
          </cell>
          <cell r="J4077">
            <v>97813688</v>
          </cell>
          <cell r="K4077">
            <v>1841896</v>
          </cell>
          <cell r="L4077">
            <v>1841896</v>
          </cell>
          <cell r="M4077">
            <v>117568</v>
          </cell>
          <cell r="N4077">
            <v>0</v>
          </cell>
          <cell r="O4077">
            <v>16866803</v>
          </cell>
          <cell r="P4077">
            <v>1841981</v>
          </cell>
          <cell r="Q4077">
            <v>1841896</v>
          </cell>
          <cell r="R4077">
            <v>7871684</v>
          </cell>
          <cell r="S4077">
            <v>28200670</v>
          </cell>
          <cell r="T4077">
            <v>2237559</v>
          </cell>
          <cell r="U4077">
            <v>28833131</v>
          </cell>
          <cell r="V4077">
            <v>7870000</v>
          </cell>
          <cell r="W4077">
            <v>42010477</v>
          </cell>
          <cell r="X4077">
            <v>1942218</v>
          </cell>
          <cell r="Y4077">
            <v>8039024</v>
          </cell>
          <cell r="Z4077">
            <v>29882603</v>
          </cell>
          <cell r="AA4077">
            <v>1841896</v>
          </cell>
          <cell r="AB4077">
            <v>16259051</v>
          </cell>
          <cell r="AC4077">
            <v>64334356</v>
          </cell>
          <cell r="AD4077">
            <v>1841896</v>
          </cell>
          <cell r="AE4077">
            <v>68041432</v>
          </cell>
          <cell r="AF4077">
            <v>80671361</v>
          </cell>
          <cell r="AG4077">
            <v>7540934</v>
          </cell>
          <cell r="AH4077">
            <v>300124</v>
          </cell>
          <cell r="AI4077">
            <v>0</v>
          </cell>
        </row>
        <row r="4078">
          <cell r="A4078">
            <v>435000000</v>
          </cell>
          <cell r="C4078">
            <v>16915371</v>
          </cell>
          <cell r="D4078">
            <v>7949284</v>
          </cell>
          <cell r="E4078">
            <v>5280038</v>
          </cell>
          <cell r="F4078">
            <v>39754793</v>
          </cell>
          <cell r="G4078">
            <v>290581463</v>
          </cell>
          <cell r="H4078">
            <v>1507269937</v>
          </cell>
          <cell r="I4078">
            <v>69034006</v>
          </cell>
          <cell r="J4078">
            <v>119067629</v>
          </cell>
          <cell r="K4078">
            <v>42510948</v>
          </cell>
          <cell r="L4078">
            <v>41753473</v>
          </cell>
          <cell r="M4078">
            <v>82342181</v>
          </cell>
          <cell r="N4078">
            <v>725792507</v>
          </cell>
          <cell r="O4078">
            <v>72966221</v>
          </cell>
          <cell r="P4078">
            <v>36384826</v>
          </cell>
          <cell r="Q4078">
            <v>12216408</v>
          </cell>
          <cell r="R4078">
            <v>131167287</v>
          </cell>
          <cell r="S4078">
            <v>17647226</v>
          </cell>
          <cell r="T4078">
            <v>142699760</v>
          </cell>
          <cell r="U4078">
            <v>246982091</v>
          </cell>
          <cell r="V4078">
            <v>208130709</v>
          </cell>
          <cell r="W4078">
            <v>60843693</v>
          </cell>
          <cell r="X4078">
            <v>168593537</v>
          </cell>
          <cell r="Y4078">
            <v>33348170</v>
          </cell>
          <cell r="Z4078">
            <v>47146989</v>
          </cell>
          <cell r="AA4078">
            <v>5628548</v>
          </cell>
          <cell r="AB4078">
            <v>298582529</v>
          </cell>
          <cell r="AC4078">
            <v>86727937</v>
          </cell>
          <cell r="AD4078">
            <v>798953446</v>
          </cell>
          <cell r="AE4078">
            <v>1054246335</v>
          </cell>
          <cell r="AF4078">
            <v>333130116</v>
          </cell>
          <cell r="AG4078">
            <v>144208110</v>
          </cell>
          <cell r="AH4078">
            <v>205255638</v>
          </cell>
          <cell r="AI4078">
            <v>46386348</v>
          </cell>
        </row>
        <row r="4079">
          <cell r="A4079">
            <v>435010000</v>
          </cell>
          <cell r="C4079">
            <v>0</v>
          </cell>
          <cell r="D4079">
            <v>313633</v>
          </cell>
          <cell r="E4079">
            <v>0</v>
          </cell>
          <cell r="F4079">
            <v>0</v>
          </cell>
          <cell r="G4079">
            <v>80012</v>
          </cell>
          <cell r="H4079">
            <v>24461790</v>
          </cell>
          <cell r="I4079">
            <v>7839593</v>
          </cell>
          <cell r="J4079">
            <v>0</v>
          </cell>
          <cell r="K4079">
            <v>22727273</v>
          </cell>
          <cell r="L4079">
            <v>0</v>
          </cell>
          <cell r="M4079">
            <v>0</v>
          </cell>
          <cell r="N4079">
            <v>0</v>
          </cell>
          <cell r="O4079">
            <v>200000</v>
          </cell>
          <cell r="P4079">
            <v>0</v>
          </cell>
          <cell r="Q4079">
            <v>0</v>
          </cell>
          <cell r="R4079">
            <v>2918182</v>
          </cell>
          <cell r="S4079">
            <v>0</v>
          </cell>
          <cell r="T4079">
            <v>20000000</v>
          </cell>
          <cell r="U4079">
            <v>0</v>
          </cell>
          <cell r="V4079">
            <v>2954546</v>
          </cell>
          <cell r="W4079">
            <v>0</v>
          </cell>
          <cell r="X4079">
            <v>0</v>
          </cell>
          <cell r="Y4079">
            <v>1909091</v>
          </cell>
          <cell r="Z4079">
            <v>18727272</v>
          </cell>
          <cell r="AA4079">
            <v>0</v>
          </cell>
          <cell r="AB4079">
            <v>6344097</v>
          </cell>
          <cell r="AC4079">
            <v>0</v>
          </cell>
          <cell r="AD4079">
            <v>636397</v>
          </cell>
          <cell r="AE4079">
            <v>36570046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</row>
        <row r="4080">
          <cell r="A4080">
            <v>435010100</v>
          </cell>
          <cell r="C4080">
            <v>0</v>
          </cell>
          <cell r="D4080">
            <v>313633</v>
          </cell>
          <cell r="E4080">
            <v>0</v>
          </cell>
          <cell r="F4080">
            <v>0</v>
          </cell>
          <cell r="G4080">
            <v>80012</v>
          </cell>
          <cell r="H4080">
            <v>24461790</v>
          </cell>
          <cell r="I4080">
            <v>7839593</v>
          </cell>
          <cell r="J4080">
            <v>0</v>
          </cell>
          <cell r="K4080">
            <v>22727273</v>
          </cell>
          <cell r="L4080">
            <v>0</v>
          </cell>
          <cell r="M4080">
            <v>0</v>
          </cell>
          <cell r="N4080">
            <v>0</v>
          </cell>
          <cell r="O4080">
            <v>200000</v>
          </cell>
          <cell r="P4080">
            <v>0</v>
          </cell>
          <cell r="Q4080">
            <v>0</v>
          </cell>
          <cell r="R4080">
            <v>2918182</v>
          </cell>
          <cell r="S4080">
            <v>0</v>
          </cell>
          <cell r="T4080">
            <v>20000000</v>
          </cell>
          <cell r="U4080">
            <v>0</v>
          </cell>
          <cell r="V4080">
            <v>2954546</v>
          </cell>
          <cell r="W4080">
            <v>0</v>
          </cell>
          <cell r="X4080">
            <v>0</v>
          </cell>
          <cell r="Y4080">
            <v>1909091</v>
          </cell>
          <cell r="Z4080">
            <v>18727272</v>
          </cell>
          <cell r="AA4080">
            <v>0</v>
          </cell>
          <cell r="AB4080">
            <v>6344097</v>
          </cell>
          <cell r="AC4080">
            <v>0</v>
          </cell>
          <cell r="AD4080">
            <v>636397</v>
          </cell>
          <cell r="AE4080">
            <v>36570046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</row>
        <row r="4081">
          <cell r="A4081">
            <v>435010101</v>
          </cell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2818182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6344097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</row>
        <row r="4082">
          <cell r="A4082">
            <v>435010102</v>
          </cell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  <cell r="I4082">
            <v>3039593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2272727</v>
          </cell>
          <cell r="W4082">
            <v>0</v>
          </cell>
          <cell r="X4082">
            <v>0</v>
          </cell>
          <cell r="Y4082">
            <v>1909091</v>
          </cell>
          <cell r="Z4082">
            <v>545454</v>
          </cell>
          <cell r="AA4082">
            <v>0</v>
          </cell>
          <cell r="AB4082">
            <v>0</v>
          </cell>
          <cell r="AC4082">
            <v>0</v>
          </cell>
          <cell r="AD4082">
            <v>289903</v>
          </cell>
          <cell r="AE4082">
            <v>5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</row>
        <row r="4083">
          <cell r="A4083">
            <v>435010103</v>
          </cell>
          <cell r="C4083">
            <v>0</v>
          </cell>
          <cell r="D4083">
            <v>181818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  <cell r="I4083">
            <v>4063636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681819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346494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</row>
        <row r="4084">
          <cell r="A4084">
            <v>435010104</v>
          </cell>
          <cell r="C4084">
            <v>0</v>
          </cell>
          <cell r="D4084">
            <v>131815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  <cell r="I4084">
            <v>736364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200000</v>
          </cell>
          <cell r="P4084">
            <v>0</v>
          </cell>
          <cell r="Q4084">
            <v>0</v>
          </cell>
          <cell r="R4084">
            <v>100000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</row>
        <row r="4085">
          <cell r="A4085">
            <v>435010105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80012</v>
          </cell>
          <cell r="H4085">
            <v>24461790</v>
          </cell>
          <cell r="I4085">
            <v>0</v>
          </cell>
          <cell r="J4085">
            <v>0</v>
          </cell>
          <cell r="K4085">
            <v>22727273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20000000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18181818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36570041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</row>
        <row r="4086">
          <cell r="A4086">
            <v>435010200</v>
          </cell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</row>
        <row r="4087">
          <cell r="A4087">
            <v>435010201</v>
          </cell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</row>
        <row r="4088">
          <cell r="A4088">
            <v>435010202</v>
          </cell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</row>
        <row r="4089">
          <cell r="A4089">
            <v>435010203</v>
          </cell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</row>
        <row r="4090">
          <cell r="A4090">
            <v>435020000</v>
          </cell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G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40000000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</row>
        <row r="4091">
          <cell r="A4091">
            <v>435020100</v>
          </cell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40000000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</row>
        <row r="4092">
          <cell r="A4092">
            <v>435020101</v>
          </cell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40000000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</row>
        <row r="4093">
          <cell r="A4093">
            <v>435030000</v>
          </cell>
          <cell r="C4093">
            <v>16915371</v>
          </cell>
          <cell r="D4093">
            <v>7635651</v>
          </cell>
          <cell r="E4093">
            <v>5280038</v>
          </cell>
          <cell r="F4093">
            <v>39754793</v>
          </cell>
          <cell r="G4093">
            <v>290501451</v>
          </cell>
          <cell r="H4093">
            <v>1482808147</v>
          </cell>
          <cell r="I4093">
            <v>61194413</v>
          </cell>
          <cell r="J4093">
            <v>119067629</v>
          </cell>
          <cell r="K4093">
            <v>19783675</v>
          </cell>
          <cell r="L4093">
            <v>41753473</v>
          </cell>
          <cell r="M4093">
            <v>82342181</v>
          </cell>
          <cell r="N4093">
            <v>725792507</v>
          </cell>
          <cell r="O4093">
            <v>72766221</v>
          </cell>
          <cell r="P4093">
            <v>36384826</v>
          </cell>
          <cell r="Q4093">
            <v>12216408</v>
          </cell>
          <cell r="R4093">
            <v>88249105</v>
          </cell>
          <cell r="S4093">
            <v>17647226</v>
          </cell>
          <cell r="T4093">
            <v>122699760</v>
          </cell>
          <cell r="U4093">
            <v>246982091</v>
          </cell>
          <cell r="V4093">
            <v>205176163</v>
          </cell>
          <cell r="W4093">
            <v>60843693</v>
          </cell>
          <cell r="X4093">
            <v>168593537</v>
          </cell>
          <cell r="Y4093">
            <v>31439079</v>
          </cell>
          <cell r="Z4093">
            <v>28419717</v>
          </cell>
          <cell r="AA4093">
            <v>5628548</v>
          </cell>
          <cell r="AB4093">
            <v>292238432</v>
          </cell>
          <cell r="AC4093">
            <v>86727937</v>
          </cell>
          <cell r="AD4093">
            <v>798317049</v>
          </cell>
          <cell r="AE4093">
            <v>1017676289</v>
          </cell>
          <cell r="AF4093">
            <v>333130116</v>
          </cell>
          <cell r="AG4093">
            <v>144208110</v>
          </cell>
          <cell r="AH4093">
            <v>205255638</v>
          </cell>
          <cell r="AI4093">
            <v>46386348</v>
          </cell>
        </row>
        <row r="4094">
          <cell r="A4094">
            <v>435030100</v>
          </cell>
          <cell r="C4094">
            <v>16915371</v>
          </cell>
          <cell r="D4094">
            <v>7635651</v>
          </cell>
          <cell r="E4094">
            <v>5280038</v>
          </cell>
          <cell r="F4094">
            <v>39754793</v>
          </cell>
          <cell r="G4094">
            <v>290501451</v>
          </cell>
          <cell r="H4094">
            <v>1482808147</v>
          </cell>
          <cell r="I4094">
            <v>61194413</v>
          </cell>
          <cell r="J4094">
            <v>119067629</v>
          </cell>
          <cell r="K4094">
            <v>19783675</v>
          </cell>
          <cell r="L4094">
            <v>41753473</v>
          </cell>
          <cell r="M4094">
            <v>82342181</v>
          </cell>
          <cell r="N4094">
            <v>725792507</v>
          </cell>
          <cell r="O4094">
            <v>72766221</v>
          </cell>
          <cell r="P4094">
            <v>36384826</v>
          </cell>
          <cell r="Q4094">
            <v>12216408</v>
          </cell>
          <cell r="R4094">
            <v>88249105</v>
          </cell>
          <cell r="S4094">
            <v>17647226</v>
          </cell>
          <cell r="T4094">
            <v>122699760</v>
          </cell>
          <cell r="U4094">
            <v>246982091</v>
          </cell>
          <cell r="V4094">
            <v>205176163</v>
          </cell>
          <cell r="W4094">
            <v>60843693</v>
          </cell>
          <cell r="X4094">
            <v>168593537</v>
          </cell>
          <cell r="Y4094">
            <v>31439079</v>
          </cell>
          <cell r="Z4094">
            <v>28419717</v>
          </cell>
          <cell r="AA4094">
            <v>5628548</v>
          </cell>
          <cell r="AB4094">
            <v>292238432</v>
          </cell>
          <cell r="AC4094">
            <v>86727937</v>
          </cell>
          <cell r="AD4094">
            <v>798317049</v>
          </cell>
          <cell r="AE4094">
            <v>1017676289</v>
          </cell>
          <cell r="AF4094">
            <v>333130116</v>
          </cell>
          <cell r="AG4094">
            <v>144208110</v>
          </cell>
          <cell r="AH4094">
            <v>205255638</v>
          </cell>
          <cell r="AI4094">
            <v>46386348</v>
          </cell>
        </row>
        <row r="4095">
          <cell r="A4095">
            <v>435030101</v>
          </cell>
          <cell r="C4095">
            <v>175454</v>
          </cell>
          <cell r="D4095">
            <v>0</v>
          </cell>
          <cell r="E4095">
            <v>5280038</v>
          </cell>
          <cell r="F4095">
            <v>175454</v>
          </cell>
          <cell r="G4095">
            <v>0</v>
          </cell>
          <cell r="H4095">
            <v>107084828</v>
          </cell>
          <cell r="I4095">
            <v>61194413</v>
          </cell>
          <cell r="J4095">
            <v>7884370</v>
          </cell>
          <cell r="K4095">
            <v>175454</v>
          </cell>
          <cell r="L4095">
            <v>175454</v>
          </cell>
          <cell r="M4095">
            <v>570548</v>
          </cell>
          <cell r="N4095">
            <v>574929977</v>
          </cell>
          <cell r="O4095">
            <v>0</v>
          </cell>
          <cell r="P4095">
            <v>2675454</v>
          </cell>
          <cell r="Q4095">
            <v>570</v>
          </cell>
          <cell r="R4095">
            <v>175482</v>
          </cell>
          <cell r="S4095">
            <v>175454</v>
          </cell>
          <cell r="T4095">
            <v>0</v>
          </cell>
          <cell r="U4095">
            <v>22477273</v>
          </cell>
          <cell r="V4095">
            <v>34966356</v>
          </cell>
          <cell r="W4095">
            <v>10312113</v>
          </cell>
          <cell r="X4095">
            <v>75132</v>
          </cell>
          <cell r="Y4095">
            <v>2773949</v>
          </cell>
          <cell r="Z4095">
            <v>175454</v>
          </cell>
          <cell r="AA4095">
            <v>175460</v>
          </cell>
          <cell r="AB4095">
            <v>124488</v>
          </cell>
          <cell r="AC4095">
            <v>45215949</v>
          </cell>
          <cell r="AD4095">
            <v>0</v>
          </cell>
          <cell r="AE4095">
            <v>0</v>
          </cell>
          <cell r="AF4095">
            <v>0</v>
          </cell>
          <cell r="AG4095">
            <v>33553446</v>
          </cell>
          <cell r="AH4095">
            <v>300000</v>
          </cell>
          <cell r="AI4095">
            <v>0</v>
          </cell>
        </row>
        <row r="4096">
          <cell r="A4096">
            <v>435030102</v>
          </cell>
          <cell r="C4096">
            <v>16739917</v>
          </cell>
          <cell r="D4096">
            <v>7635651</v>
          </cell>
          <cell r="E4096">
            <v>0</v>
          </cell>
          <cell r="F4096">
            <v>39579339</v>
          </cell>
          <cell r="G4096">
            <v>290501451</v>
          </cell>
          <cell r="H4096">
            <v>1375723319</v>
          </cell>
          <cell r="I4096">
            <v>0</v>
          </cell>
          <cell r="J4096">
            <v>111183259</v>
          </cell>
          <cell r="K4096">
            <v>19608221</v>
          </cell>
          <cell r="L4096">
            <v>41578019</v>
          </cell>
          <cell r="M4096">
            <v>81771633</v>
          </cell>
          <cell r="N4096">
            <v>150862530</v>
          </cell>
          <cell r="O4096">
            <v>72766221</v>
          </cell>
          <cell r="P4096">
            <v>33709372</v>
          </cell>
          <cell r="Q4096">
            <v>12215838</v>
          </cell>
          <cell r="R4096">
            <v>88073623</v>
          </cell>
          <cell r="S4096">
            <v>17471772</v>
          </cell>
          <cell r="T4096">
            <v>122699760</v>
          </cell>
          <cell r="U4096">
            <v>224504818</v>
          </cell>
          <cell r="V4096">
            <v>170209807</v>
          </cell>
          <cell r="W4096">
            <v>50531580</v>
          </cell>
          <cell r="X4096">
            <v>168518405</v>
          </cell>
          <cell r="Y4096">
            <v>28665130</v>
          </cell>
          <cell r="Z4096">
            <v>28244263</v>
          </cell>
          <cell r="AA4096">
            <v>5453088</v>
          </cell>
          <cell r="AB4096">
            <v>292113944</v>
          </cell>
          <cell r="AC4096">
            <v>41511988</v>
          </cell>
          <cell r="AD4096">
            <v>798317049</v>
          </cell>
          <cell r="AE4096">
            <v>1017676289</v>
          </cell>
          <cell r="AF4096">
            <v>333130116</v>
          </cell>
          <cell r="AG4096">
            <v>110654664</v>
          </cell>
          <cell r="AH4096">
            <v>204955638</v>
          </cell>
          <cell r="AI4096">
            <v>46386348</v>
          </cell>
        </row>
        <row r="4097">
          <cell r="A4097">
            <v>500000000</v>
          </cell>
          <cell r="C4097">
            <v>42732046220</v>
          </cell>
          <cell r="D4097">
            <v>40536575831</v>
          </cell>
          <cell r="E4097">
            <v>21162116226</v>
          </cell>
          <cell r="F4097">
            <v>14126100347</v>
          </cell>
          <cell r="G4097">
            <v>50402746841</v>
          </cell>
          <cell r="H4097">
            <v>101196842285</v>
          </cell>
          <cell r="I4097">
            <v>30747598665</v>
          </cell>
          <cell r="J4097">
            <v>8057158145</v>
          </cell>
          <cell r="K4097">
            <v>6796460735</v>
          </cell>
          <cell r="L4097">
            <v>4765819757</v>
          </cell>
          <cell r="M4097">
            <v>14811522533</v>
          </cell>
          <cell r="N4097">
            <v>81793581909</v>
          </cell>
          <cell r="O4097">
            <v>25423594840</v>
          </cell>
          <cell r="P4097">
            <v>14341210503</v>
          </cell>
          <cell r="Q4097">
            <v>14592941991</v>
          </cell>
          <cell r="R4097">
            <v>20137031221</v>
          </cell>
          <cell r="S4097">
            <v>4511806316</v>
          </cell>
          <cell r="T4097">
            <v>51424678781</v>
          </cell>
          <cell r="U4097">
            <v>599511414</v>
          </cell>
          <cell r="V4097">
            <v>85457449208</v>
          </cell>
          <cell r="W4097">
            <v>18737476583</v>
          </cell>
          <cell r="X4097">
            <v>26261524633</v>
          </cell>
          <cell r="Y4097">
            <v>6663097031</v>
          </cell>
          <cell r="Z4097">
            <v>22332262694</v>
          </cell>
          <cell r="AA4097">
            <v>6915229057</v>
          </cell>
          <cell r="AB4097">
            <v>64055892316</v>
          </cell>
          <cell r="AC4097">
            <v>8515452746</v>
          </cell>
          <cell r="AD4097">
            <v>30721742395</v>
          </cell>
          <cell r="AE4097">
            <v>256579517191</v>
          </cell>
          <cell r="AF4097">
            <v>24119153755</v>
          </cell>
          <cell r="AG4097">
            <v>15848882540</v>
          </cell>
          <cell r="AH4097">
            <v>34342972879</v>
          </cell>
          <cell r="AI4097">
            <v>37433813417</v>
          </cell>
        </row>
        <row r="4098">
          <cell r="A4098">
            <v>501000000</v>
          </cell>
          <cell r="C4098">
            <v>3074658</v>
          </cell>
          <cell r="D4098">
            <v>1057044547</v>
          </cell>
          <cell r="E4098">
            <v>993542003</v>
          </cell>
          <cell r="F4098">
            <v>204355507</v>
          </cell>
          <cell r="G4098">
            <v>225359561</v>
          </cell>
          <cell r="H4098">
            <v>989410764</v>
          </cell>
          <cell r="I4098">
            <v>1700525972</v>
          </cell>
          <cell r="J4098">
            <v>190402798</v>
          </cell>
          <cell r="K4098">
            <v>37038729</v>
          </cell>
          <cell r="L4098">
            <v>51810862</v>
          </cell>
          <cell r="M4098">
            <v>30998762</v>
          </cell>
          <cell r="N4098">
            <v>2536059269</v>
          </cell>
          <cell r="O4098">
            <v>412171568</v>
          </cell>
          <cell r="P4098">
            <v>89007688</v>
          </cell>
          <cell r="Q4098">
            <v>419835354</v>
          </cell>
          <cell r="R4098">
            <v>272035424</v>
          </cell>
          <cell r="S4098">
            <v>14446471</v>
          </cell>
          <cell r="T4098">
            <v>99771</v>
          </cell>
          <cell r="U4098">
            <v>0</v>
          </cell>
          <cell r="V4098">
            <v>449566753</v>
          </cell>
          <cell r="W4098">
            <v>251108601</v>
          </cell>
          <cell r="X4098">
            <v>196020985</v>
          </cell>
          <cell r="Y4098">
            <v>20138300</v>
          </cell>
          <cell r="Z4098">
            <v>174410569</v>
          </cell>
          <cell r="AA4098">
            <v>262178872</v>
          </cell>
          <cell r="AB4098">
            <v>1009272760</v>
          </cell>
          <cell r="AC4098">
            <v>1495139</v>
          </cell>
          <cell r="AD4098">
            <v>10409067</v>
          </cell>
          <cell r="AE4098">
            <v>0</v>
          </cell>
          <cell r="AF4098">
            <v>0</v>
          </cell>
          <cell r="AG4098">
            <v>68424784</v>
          </cell>
          <cell r="AH4098">
            <v>36872105</v>
          </cell>
          <cell r="AI4098">
            <v>0</v>
          </cell>
        </row>
        <row r="4099">
          <cell r="A4099">
            <v>501010000</v>
          </cell>
          <cell r="C4099">
            <v>3074658</v>
          </cell>
          <cell r="D4099">
            <v>1057044547</v>
          </cell>
          <cell r="E4099">
            <v>993542003</v>
          </cell>
          <cell r="F4099">
            <v>204355507</v>
          </cell>
          <cell r="G4099">
            <v>225359561</v>
          </cell>
          <cell r="H4099">
            <v>989410764</v>
          </cell>
          <cell r="I4099">
            <v>1700525972</v>
          </cell>
          <cell r="J4099">
            <v>190402798</v>
          </cell>
          <cell r="K4099">
            <v>37038729</v>
          </cell>
          <cell r="L4099">
            <v>51810862</v>
          </cell>
          <cell r="M4099">
            <v>30998762</v>
          </cell>
          <cell r="N4099">
            <v>2536059269</v>
          </cell>
          <cell r="O4099">
            <v>412171568</v>
          </cell>
          <cell r="P4099">
            <v>89007688</v>
          </cell>
          <cell r="Q4099">
            <v>419835354</v>
          </cell>
          <cell r="R4099">
            <v>272035424</v>
          </cell>
          <cell r="S4099">
            <v>14446471</v>
          </cell>
          <cell r="T4099">
            <v>99771</v>
          </cell>
          <cell r="U4099">
            <v>0</v>
          </cell>
          <cell r="V4099">
            <v>449566753</v>
          </cell>
          <cell r="W4099">
            <v>251108601</v>
          </cell>
          <cell r="X4099">
            <v>196020985</v>
          </cell>
          <cell r="Y4099">
            <v>20138300</v>
          </cell>
          <cell r="Z4099">
            <v>174410569</v>
          </cell>
          <cell r="AA4099">
            <v>262178872</v>
          </cell>
          <cell r="AB4099">
            <v>1009272760</v>
          </cell>
          <cell r="AC4099">
            <v>1495139</v>
          </cell>
          <cell r="AD4099">
            <v>10409067</v>
          </cell>
          <cell r="AE4099">
            <v>0</v>
          </cell>
          <cell r="AF4099">
            <v>0</v>
          </cell>
          <cell r="AG4099">
            <v>68424784</v>
          </cell>
          <cell r="AH4099">
            <v>36872105</v>
          </cell>
          <cell r="AI4099">
            <v>0</v>
          </cell>
        </row>
        <row r="4100">
          <cell r="A4100">
            <v>501010100</v>
          </cell>
          <cell r="C4100">
            <v>0</v>
          </cell>
          <cell r="D4100">
            <v>347334730</v>
          </cell>
          <cell r="E4100">
            <v>459473193</v>
          </cell>
          <cell r="F4100">
            <v>123090164</v>
          </cell>
          <cell r="G4100">
            <v>23682592</v>
          </cell>
          <cell r="H4100">
            <v>463766917</v>
          </cell>
          <cell r="I4100">
            <v>170887606</v>
          </cell>
          <cell r="J4100">
            <v>115100717</v>
          </cell>
          <cell r="K4100">
            <v>23524269</v>
          </cell>
          <cell r="L4100">
            <v>36291781</v>
          </cell>
          <cell r="M4100">
            <v>11425226</v>
          </cell>
          <cell r="N4100">
            <v>515596055</v>
          </cell>
          <cell r="O4100">
            <v>122245094</v>
          </cell>
          <cell r="P4100">
            <v>62328068</v>
          </cell>
          <cell r="Q4100">
            <v>111067125</v>
          </cell>
          <cell r="R4100">
            <v>37863540</v>
          </cell>
          <cell r="S4100">
            <v>2833185</v>
          </cell>
          <cell r="T4100">
            <v>0</v>
          </cell>
          <cell r="U4100">
            <v>0</v>
          </cell>
          <cell r="V4100">
            <v>181354573</v>
          </cell>
          <cell r="W4100">
            <v>77059458</v>
          </cell>
          <cell r="X4100">
            <v>47070179</v>
          </cell>
          <cell r="Y4100">
            <v>13397560</v>
          </cell>
          <cell r="Z4100">
            <v>61910569</v>
          </cell>
          <cell r="AA4100">
            <v>182221265</v>
          </cell>
          <cell r="AB4100">
            <v>46816755</v>
          </cell>
          <cell r="AC4100">
            <v>1495139</v>
          </cell>
          <cell r="AD4100">
            <v>5372814</v>
          </cell>
          <cell r="AE4100">
            <v>0</v>
          </cell>
          <cell r="AF4100">
            <v>0</v>
          </cell>
          <cell r="AG4100">
            <v>10438315</v>
          </cell>
          <cell r="AH4100">
            <v>8720321</v>
          </cell>
          <cell r="AI4100">
            <v>0</v>
          </cell>
        </row>
        <row r="4101">
          <cell r="A4101">
            <v>501010101</v>
          </cell>
          <cell r="C4101">
            <v>0</v>
          </cell>
          <cell r="D4101">
            <v>347334730</v>
          </cell>
          <cell r="E4101">
            <v>459473193</v>
          </cell>
          <cell r="F4101">
            <v>123090164</v>
          </cell>
          <cell r="G4101">
            <v>23682592</v>
          </cell>
          <cell r="H4101">
            <v>463766917</v>
          </cell>
          <cell r="I4101">
            <v>170887606</v>
          </cell>
          <cell r="J4101">
            <v>115100717</v>
          </cell>
          <cell r="K4101">
            <v>23524269</v>
          </cell>
          <cell r="L4101">
            <v>36291781</v>
          </cell>
          <cell r="M4101">
            <v>11425226</v>
          </cell>
          <cell r="N4101">
            <v>515596055</v>
          </cell>
          <cell r="O4101">
            <v>122245094</v>
          </cell>
          <cell r="P4101">
            <v>62328068</v>
          </cell>
          <cell r="Q4101">
            <v>111067125</v>
          </cell>
          <cell r="R4101">
            <v>37863540</v>
          </cell>
          <cell r="S4101">
            <v>2833185</v>
          </cell>
          <cell r="T4101">
            <v>0</v>
          </cell>
          <cell r="U4101">
            <v>0</v>
          </cell>
          <cell r="V4101">
            <v>181354573</v>
          </cell>
          <cell r="W4101">
            <v>77059458</v>
          </cell>
          <cell r="X4101">
            <v>47070179</v>
          </cell>
          <cell r="Y4101">
            <v>13397560</v>
          </cell>
          <cell r="Z4101">
            <v>61910569</v>
          </cell>
          <cell r="AA4101">
            <v>182221265</v>
          </cell>
          <cell r="AB4101">
            <v>46816755</v>
          </cell>
          <cell r="AC4101">
            <v>1495139</v>
          </cell>
          <cell r="AD4101">
            <v>5372814</v>
          </cell>
          <cell r="AE4101">
            <v>0</v>
          </cell>
          <cell r="AF4101">
            <v>0</v>
          </cell>
          <cell r="AG4101">
            <v>10438315</v>
          </cell>
          <cell r="AH4101">
            <v>8720321</v>
          </cell>
          <cell r="AI4101">
            <v>0</v>
          </cell>
        </row>
        <row r="4102">
          <cell r="A4102">
            <v>501010200</v>
          </cell>
          <cell r="C4102">
            <v>0</v>
          </cell>
          <cell r="D4102">
            <v>5870449</v>
          </cell>
          <cell r="E4102">
            <v>46898608</v>
          </cell>
          <cell r="F4102">
            <v>1061775</v>
          </cell>
          <cell r="G4102">
            <v>15292979</v>
          </cell>
          <cell r="H4102">
            <v>14009334</v>
          </cell>
          <cell r="I4102">
            <v>8695320</v>
          </cell>
          <cell r="J4102">
            <v>1189461</v>
          </cell>
          <cell r="K4102">
            <v>327299</v>
          </cell>
          <cell r="L4102">
            <v>3817503</v>
          </cell>
          <cell r="M4102">
            <v>2771004</v>
          </cell>
          <cell r="N4102">
            <v>141295330</v>
          </cell>
          <cell r="O4102">
            <v>22154696</v>
          </cell>
          <cell r="P4102">
            <v>19905252</v>
          </cell>
          <cell r="Q4102">
            <v>96192364</v>
          </cell>
          <cell r="R4102">
            <v>44885882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20435874</v>
          </cell>
          <cell r="Y4102">
            <v>515061</v>
          </cell>
          <cell r="Z4102">
            <v>0</v>
          </cell>
          <cell r="AA4102">
            <v>34305448</v>
          </cell>
          <cell r="AB4102">
            <v>19767323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</row>
        <row r="4103">
          <cell r="A4103">
            <v>501010201</v>
          </cell>
          <cell r="C4103">
            <v>0</v>
          </cell>
          <cell r="D4103">
            <v>5870449</v>
          </cell>
          <cell r="E4103">
            <v>46898608</v>
          </cell>
          <cell r="F4103">
            <v>1061775</v>
          </cell>
          <cell r="G4103">
            <v>15292979</v>
          </cell>
          <cell r="H4103">
            <v>14009334</v>
          </cell>
          <cell r="I4103">
            <v>8695320</v>
          </cell>
          <cell r="J4103">
            <v>1189461</v>
          </cell>
          <cell r="K4103">
            <v>327299</v>
          </cell>
          <cell r="L4103">
            <v>3817503</v>
          </cell>
          <cell r="M4103">
            <v>2771004</v>
          </cell>
          <cell r="N4103">
            <v>141295330</v>
          </cell>
          <cell r="O4103">
            <v>22154696</v>
          </cell>
          <cell r="P4103">
            <v>19905252</v>
          </cell>
          <cell r="Q4103">
            <v>96192364</v>
          </cell>
          <cell r="R4103">
            <v>44885882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20435874</v>
          </cell>
          <cell r="Y4103">
            <v>515061</v>
          </cell>
          <cell r="Z4103">
            <v>0</v>
          </cell>
          <cell r="AA4103">
            <v>34305448</v>
          </cell>
          <cell r="AB4103">
            <v>19767323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</row>
        <row r="4104">
          <cell r="A4104">
            <v>501010300</v>
          </cell>
          <cell r="C4104">
            <v>0</v>
          </cell>
          <cell r="D4104">
            <v>2248278</v>
          </cell>
          <cell r="E4104">
            <v>18241483</v>
          </cell>
          <cell r="F4104">
            <v>3657594</v>
          </cell>
          <cell r="G4104">
            <v>0</v>
          </cell>
          <cell r="H4104">
            <v>34203662</v>
          </cell>
          <cell r="I4104">
            <v>348991</v>
          </cell>
          <cell r="J4104">
            <v>3934404</v>
          </cell>
          <cell r="K4104">
            <v>706304</v>
          </cell>
          <cell r="L4104">
            <v>0</v>
          </cell>
          <cell r="M4104">
            <v>165850</v>
          </cell>
          <cell r="N4104">
            <v>68365218</v>
          </cell>
          <cell r="O4104">
            <v>1991011</v>
          </cell>
          <cell r="P4104">
            <v>0</v>
          </cell>
          <cell r="Q4104">
            <v>450000</v>
          </cell>
          <cell r="R4104">
            <v>0</v>
          </cell>
          <cell r="S4104">
            <v>1523338</v>
          </cell>
          <cell r="T4104">
            <v>0</v>
          </cell>
          <cell r="U4104">
            <v>0</v>
          </cell>
          <cell r="V4104">
            <v>16531351</v>
          </cell>
          <cell r="W4104">
            <v>266448</v>
          </cell>
          <cell r="X4104">
            <v>0</v>
          </cell>
          <cell r="Y4104">
            <v>0</v>
          </cell>
          <cell r="Z4104">
            <v>0</v>
          </cell>
          <cell r="AA4104">
            <v>290322</v>
          </cell>
          <cell r="AB4104">
            <v>3348963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149335</v>
          </cell>
          <cell r="AI4104">
            <v>0</v>
          </cell>
        </row>
        <row r="4105">
          <cell r="A4105">
            <v>501010301</v>
          </cell>
          <cell r="C4105">
            <v>0</v>
          </cell>
          <cell r="D4105">
            <v>2248278</v>
          </cell>
          <cell r="E4105">
            <v>18241483</v>
          </cell>
          <cell r="F4105">
            <v>3657594</v>
          </cell>
          <cell r="G4105">
            <v>0</v>
          </cell>
          <cell r="H4105">
            <v>34203662</v>
          </cell>
          <cell r="I4105">
            <v>348991</v>
          </cell>
          <cell r="J4105">
            <v>3934404</v>
          </cell>
          <cell r="K4105">
            <v>706304</v>
          </cell>
          <cell r="L4105">
            <v>0</v>
          </cell>
          <cell r="M4105">
            <v>165850</v>
          </cell>
          <cell r="N4105">
            <v>68365218</v>
          </cell>
          <cell r="O4105">
            <v>1991011</v>
          </cell>
          <cell r="P4105">
            <v>0</v>
          </cell>
          <cell r="Q4105">
            <v>450000</v>
          </cell>
          <cell r="R4105">
            <v>0</v>
          </cell>
          <cell r="S4105">
            <v>1523338</v>
          </cell>
          <cell r="T4105">
            <v>0</v>
          </cell>
          <cell r="U4105">
            <v>0</v>
          </cell>
          <cell r="V4105">
            <v>16531351</v>
          </cell>
          <cell r="W4105">
            <v>266448</v>
          </cell>
          <cell r="X4105">
            <v>0</v>
          </cell>
          <cell r="Y4105">
            <v>0</v>
          </cell>
          <cell r="Z4105">
            <v>0</v>
          </cell>
          <cell r="AA4105">
            <v>290322</v>
          </cell>
          <cell r="AB4105">
            <v>3348963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149335</v>
          </cell>
          <cell r="AI4105">
            <v>0</v>
          </cell>
        </row>
        <row r="4106">
          <cell r="A4106">
            <v>501010400</v>
          </cell>
          <cell r="C4106">
            <v>0</v>
          </cell>
          <cell r="D4106">
            <v>516127509</v>
          </cell>
          <cell r="E4106">
            <v>138565811</v>
          </cell>
          <cell r="F4106">
            <v>181977</v>
          </cell>
          <cell r="G4106">
            <v>72081709</v>
          </cell>
          <cell r="H4106">
            <v>167764493</v>
          </cell>
          <cell r="I4106">
            <v>1173981875</v>
          </cell>
          <cell r="J4106">
            <v>67636019</v>
          </cell>
          <cell r="K4106">
            <v>0</v>
          </cell>
          <cell r="L4106">
            <v>9380926</v>
          </cell>
          <cell r="M4106">
            <v>262951</v>
          </cell>
          <cell r="N4106">
            <v>763808060</v>
          </cell>
          <cell r="O4106">
            <v>0</v>
          </cell>
          <cell r="P4106">
            <v>5085777</v>
          </cell>
          <cell r="Q4106">
            <v>5878346</v>
          </cell>
          <cell r="R4106">
            <v>46202551</v>
          </cell>
          <cell r="S4106">
            <v>0</v>
          </cell>
          <cell r="T4106">
            <v>99771</v>
          </cell>
          <cell r="U4106">
            <v>0</v>
          </cell>
          <cell r="V4106">
            <v>219645012</v>
          </cell>
          <cell r="W4106">
            <v>158041538</v>
          </cell>
          <cell r="X4106">
            <v>69519368</v>
          </cell>
          <cell r="Y4106">
            <v>237768</v>
          </cell>
          <cell r="Z4106">
            <v>0</v>
          </cell>
          <cell r="AA4106">
            <v>-133972</v>
          </cell>
          <cell r="AB4106">
            <v>157077554</v>
          </cell>
          <cell r="AC4106">
            <v>0</v>
          </cell>
          <cell r="AD4106">
            <v>2163027</v>
          </cell>
          <cell r="AE4106">
            <v>0</v>
          </cell>
          <cell r="AF4106">
            <v>0</v>
          </cell>
          <cell r="AG4106">
            <v>13762162</v>
          </cell>
          <cell r="AH4106">
            <v>3656751</v>
          </cell>
          <cell r="AI4106">
            <v>0</v>
          </cell>
        </row>
        <row r="4107">
          <cell r="A4107">
            <v>501010401</v>
          </cell>
          <cell r="C4107">
            <v>0</v>
          </cell>
          <cell r="D4107">
            <v>516127509</v>
          </cell>
          <cell r="E4107">
            <v>138565811</v>
          </cell>
          <cell r="F4107">
            <v>181977</v>
          </cell>
          <cell r="G4107">
            <v>72081709</v>
          </cell>
          <cell r="H4107">
            <v>167764493</v>
          </cell>
          <cell r="I4107">
            <v>1173981875</v>
          </cell>
          <cell r="J4107">
            <v>67636019</v>
          </cell>
          <cell r="K4107">
            <v>0</v>
          </cell>
          <cell r="L4107">
            <v>9380926</v>
          </cell>
          <cell r="M4107">
            <v>262951</v>
          </cell>
          <cell r="N4107">
            <v>763808060</v>
          </cell>
          <cell r="O4107">
            <v>0</v>
          </cell>
          <cell r="P4107">
            <v>5085777</v>
          </cell>
          <cell r="Q4107">
            <v>5878346</v>
          </cell>
          <cell r="R4107">
            <v>46202551</v>
          </cell>
          <cell r="S4107">
            <v>0</v>
          </cell>
          <cell r="T4107">
            <v>99771</v>
          </cell>
          <cell r="U4107">
            <v>0</v>
          </cell>
          <cell r="V4107">
            <v>219645012</v>
          </cell>
          <cell r="W4107">
            <v>158041538</v>
          </cell>
          <cell r="X4107">
            <v>69519368</v>
          </cell>
          <cell r="Y4107">
            <v>237768</v>
          </cell>
          <cell r="Z4107">
            <v>0</v>
          </cell>
          <cell r="AA4107">
            <v>-133972</v>
          </cell>
          <cell r="AB4107">
            <v>157077554</v>
          </cell>
          <cell r="AC4107">
            <v>0</v>
          </cell>
          <cell r="AD4107">
            <v>2163027</v>
          </cell>
          <cell r="AE4107">
            <v>0</v>
          </cell>
          <cell r="AF4107">
            <v>0</v>
          </cell>
          <cell r="AG4107">
            <v>13762162</v>
          </cell>
          <cell r="AH4107">
            <v>3656751</v>
          </cell>
          <cell r="AI4107">
            <v>0</v>
          </cell>
        </row>
        <row r="4108">
          <cell r="A4108">
            <v>501010500</v>
          </cell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  <cell r="I4108">
            <v>0</v>
          </cell>
          <cell r="J4108">
            <v>630000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</row>
        <row r="4109">
          <cell r="A4109">
            <v>501010501</v>
          </cell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  <cell r="I4109">
            <v>0</v>
          </cell>
          <cell r="J4109">
            <v>630000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</row>
        <row r="4110">
          <cell r="A4110">
            <v>501010600</v>
          </cell>
          <cell r="C4110">
            <v>0</v>
          </cell>
          <cell r="D4110">
            <v>19138771</v>
          </cell>
          <cell r="E4110">
            <v>145201035</v>
          </cell>
          <cell r="F4110">
            <v>12479999</v>
          </cell>
          <cell r="G4110">
            <v>23563174</v>
          </cell>
          <cell r="H4110">
            <v>30851217</v>
          </cell>
          <cell r="I4110">
            <v>105051457</v>
          </cell>
          <cell r="J4110">
            <v>425381</v>
          </cell>
          <cell r="K4110">
            <v>5822557</v>
          </cell>
          <cell r="L4110">
            <v>0</v>
          </cell>
          <cell r="M4110">
            <v>15869817</v>
          </cell>
          <cell r="N4110">
            <v>189926627</v>
          </cell>
          <cell r="O4110">
            <v>10576202</v>
          </cell>
          <cell r="P4110">
            <v>789072</v>
          </cell>
          <cell r="Q4110">
            <v>55908494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2547935</v>
          </cell>
          <cell r="W4110">
            <v>7900400</v>
          </cell>
          <cell r="X4110">
            <v>33888770</v>
          </cell>
          <cell r="Y4110">
            <v>0</v>
          </cell>
          <cell r="Z4110">
            <v>112500000</v>
          </cell>
          <cell r="AA4110">
            <v>10053075</v>
          </cell>
          <cell r="AB4110">
            <v>23918667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309905</v>
          </cell>
          <cell r="AH4110">
            <v>20970716</v>
          </cell>
          <cell r="AI4110">
            <v>0</v>
          </cell>
        </row>
        <row r="4111">
          <cell r="A4111">
            <v>501010601</v>
          </cell>
          <cell r="C4111">
            <v>0</v>
          </cell>
          <cell r="D4111">
            <v>19138771</v>
          </cell>
          <cell r="E4111">
            <v>145201035</v>
          </cell>
          <cell r="F4111">
            <v>12479999</v>
          </cell>
          <cell r="G4111">
            <v>23563174</v>
          </cell>
          <cell r="H4111">
            <v>30851217</v>
          </cell>
          <cell r="I4111">
            <v>105051457</v>
          </cell>
          <cell r="J4111">
            <v>425381</v>
          </cell>
          <cell r="K4111">
            <v>5822557</v>
          </cell>
          <cell r="L4111">
            <v>0</v>
          </cell>
          <cell r="M4111">
            <v>15869817</v>
          </cell>
          <cell r="N4111">
            <v>189926627</v>
          </cell>
          <cell r="O4111">
            <v>10576202</v>
          </cell>
          <cell r="P4111">
            <v>789072</v>
          </cell>
          <cell r="Q4111">
            <v>55908494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2547935</v>
          </cell>
          <cell r="W4111">
            <v>7900400</v>
          </cell>
          <cell r="X4111">
            <v>33888770</v>
          </cell>
          <cell r="Y4111">
            <v>0</v>
          </cell>
          <cell r="Z4111">
            <v>112500000</v>
          </cell>
          <cell r="AA4111">
            <v>10053075</v>
          </cell>
          <cell r="AB4111">
            <v>23918667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309905</v>
          </cell>
          <cell r="AH4111">
            <v>20970716</v>
          </cell>
          <cell r="AI4111">
            <v>0</v>
          </cell>
        </row>
        <row r="4112">
          <cell r="A4112">
            <v>501010700</v>
          </cell>
          <cell r="C4112">
            <v>0</v>
          </cell>
          <cell r="D4112">
            <v>0</v>
          </cell>
          <cell r="E4112">
            <v>0</v>
          </cell>
          <cell r="F4112">
            <v>3368369</v>
          </cell>
          <cell r="G4112">
            <v>0</v>
          </cell>
          <cell r="H4112">
            <v>20720437</v>
          </cell>
          <cell r="I4112">
            <v>4587469</v>
          </cell>
          <cell r="J4112">
            <v>0</v>
          </cell>
          <cell r="K4112">
            <v>480822</v>
          </cell>
          <cell r="L4112">
            <v>0</v>
          </cell>
          <cell r="M4112">
            <v>0</v>
          </cell>
          <cell r="N4112">
            <v>218583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6455203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</row>
        <row r="4113">
          <cell r="A4113">
            <v>501010701</v>
          </cell>
          <cell r="C4113">
            <v>0</v>
          </cell>
          <cell r="D4113">
            <v>0</v>
          </cell>
          <cell r="E4113">
            <v>0</v>
          </cell>
          <cell r="F4113">
            <v>3368369</v>
          </cell>
          <cell r="G4113">
            <v>0</v>
          </cell>
          <cell r="H4113">
            <v>20720437</v>
          </cell>
          <cell r="I4113">
            <v>4587469</v>
          </cell>
          <cell r="J4113">
            <v>0</v>
          </cell>
          <cell r="K4113">
            <v>480822</v>
          </cell>
          <cell r="L4113">
            <v>0</v>
          </cell>
          <cell r="M4113">
            <v>0</v>
          </cell>
          <cell r="N4113">
            <v>218583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6455203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</row>
        <row r="4114">
          <cell r="A4114">
            <v>501010800</v>
          </cell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</row>
        <row r="4115">
          <cell r="A4115">
            <v>501010801</v>
          </cell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</row>
        <row r="4116">
          <cell r="A4116">
            <v>501010900</v>
          </cell>
          <cell r="C4116">
            <v>0</v>
          </cell>
          <cell r="D4116">
            <v>0</v>
          </cell>
          <cell r="E4116">
            <v>4099265</v>
          </cell>
          <cell r="F4116">
            <v>0</v>
          </cell>
          <cell r="G4116">
            <v>30516347</v>
          </cell>
          <cell r="H4116">
            <v>6049902</v>
          </cell>
          <cell r="I4116">
            <v>43865907</v>
          </cell>
          <cell r="J4116">
            <v>0</v>
          </cell>
          <cell r="K4116">
            <v>482890</v>
          </cell>
          <cell r="L4116">
            <v>0</v>
          </cell>
          <cell r="M4116">
            <v>0</v>
          </cell>
          <cell r="N4116">
            <v>66287902</v>
          </cell>
          <cell r="O4116">
            <v>25922469</v>
          </cell>
          <cell r="P4116">
            <v>0</v>
          </cell>
          <cell r="Q4116">
            <v>0</v>
          </cell>
          <cell r="R4116">
            <v>0</v>
          </cell>
          <cell r="S4116">
            <v>0</v>
          </cell>
          <cell r="T4116">
            <v>0</v>
          </cell>
          <cell r="U4116">
            <v>0</v>
          </cell>
          <cell r="V4116">
            <v>18880148</v>
          </cell>
          <cell r="W4116">
            <v>2544083</v>
          </cell>
          <cell r="X4116">
            <v>2808969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</row>
        <row r="4117">
          <cell r="A4117">
            <v>501010901</v>
          </cell>
          <cell r="C4117">
            <v>0</v>
          </cell>
          <cell r="D4117">
            <v>0</v>
          </cell>
          <cell r="E4117">
            <v>4099265</v>
          </cell>
          <cell r="F4117">
            <v>0</v>
          </cell>
          <cell r="G4117">
            <v>30516347</v>
          </cell>
          <cell r="H4117">
            <v>6049902</v>
          </cell>
          <cell r="I4117">
            <v>43865907</v>
          </cell>
          <cell r="J4117">
            <v>0</v>
          </cell>
          <cell r="K4117">
            <v>482890</v>
          </cell>
          <cell r="L4117">
            <v>0</v>
          </cell>
          <cell r="M4117">
            <v>0</v>
          </cell>
          <cell r="N4117">
            <v>66287902</v>
          </cell>
          <cell r="O4117">
            <v>25922469</v>
          </cell>
          <cell r="P4117">
            <v>0</v>
          </cell>
          <cell r="Q4117">
            <v>0</v>
          </cell>
          <cell r="R4117">
            <v>0</v>
          </cell>
          <cell r="S4117">
            <v>0</v>
          </cell>
          <cell r="T4117">
            <v>0</v>
          </cell>
          <cell r="U4117">
            <v>0</v>
          </cell>
          <cell r="V4117">
            <v>18880148</v>
          </cell>
          <cell r="W4117">
            <v>2544083</v>
          </cell>
          <cell r="X4117">
            <v>2808969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</row>
        <row r="4118">
          <cell r="A4118">
            <v>501011000</v>
          </cell>
          <cell r="C4118">
            <v>0</v>
          </cell>
          <cell r="D4118">
            <v>0</v>
          </cell>
          <cell r="E4118">
            <v>92238118</v>
          </cell>
          <cell r="F4118">
            <v>1960000</v>
          </cell>
          <cell r="G4118">
            <v>7922466</v>
          </cell>
          <cell r="H4118">
            <v>14783244</v>
          </cell>
          <cell r="I4118">
            <v>4346485</v>
          </cell>
          <cell r="J4118">
            <v>3218452</v>
          </cell>
          <cell r="K4118">
            <v>320208</v>
          </cell>
          <cell r="L4118">
            <v>71989</v>
          </cell>
          <cell r="M4118">
            <v>165851</v>
          </cell>
          <cell r="N4118">
            <v>37240191</v>
          </cell>
          <cell r="O4118">
            <v>85080222</v>
          </cell>
          <cell r="P4118">
            <v>0</v>
          </cell>
          <cell r="Q4118">
            <v>1229794</v>
          </cell>
          <cell r="R4118">
            <v>33554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127981</v>
          </cell>
          <cell r="X4118">
            <v>0</v>
          </cell>
          <cell r="Y4118">
            <v>0</v>
          </cell>
          <cell r="Z4118">
            <v>0</v>
          </cell>
          <cell r="AA4118">
            <v>20125000</v>
          </cell>
          <cell r="AB4118">
            <v>8423850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11735657</v>
          </cell>
          <cell r="AH4118">
            <v>0</v>
          </cell>
          <cell r="AI4118">
            <v>0</v>
          </cell>
        </row>
        <row r="4119">
          <cell r="A4119">
            <v>501011001</v>
          </cell>
          <cell r="C4119">
            <v>0</v>
          </cell>
          <cell r="D4119">
            <v>0</v>
          </cell>
          <cell r="E4119">
            <v>92238118</v>
          </cell>
          <cell r="F4119">
            <v>1960000</v>
          </cell>
          <cell r="G4119">
            <v>7922466</v>
          </cell>
          <cell r="H4119">
            <v>14783244</v>
          </cell>
          <cell r="I4119">
            <v>4346485</v>
          </cell>
          <cell r="J4119">
            <v>3218452</v>
          </cell>
          <cell r="K4119">
            <v>320208</v>
          </cell>
          <cell r="L4119">
            <v>71989</v>
          </cell>
          <cell r="M4119">
            <v>165851</v>
          </cell>
          <cell r="N4119">
            <v>37240191</v>
          </cell>
          <cell r="O4119">
            <v>85080222</v>
          </cell>
          <cell r="P4119">
            <v>0</v>
          </cell>
          <cell r="Q4119">
            <v>1229794</v>
          </cell>
          <cell r="R4119">
            <v>33554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127981</v>
          </cell>
          <cell r="X4119">
            <v>0</v>
          </cell>
          <cell r="Y4119">
            <v>0</v>
          </cell>
          <cell r="Z4119">
            <v>0</v>
          </cell>
          <cell r="AA4119">
            <v>20125000</v>
          </cell>
          <cell r="AB4119">
            <v>8423850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11735657</v>
          </cell>
          <cell r="AH4119">
            <v>0</v>
          </cell>
          <cell r="AI4119">
            <v>0</v>
          </cell>
        </row>
        <row r="4120">
          <cell r="A4120">
            <v>501011100</v>
          </cell>
          <cell r="C4120">
            <v>0</v>
          </cell>
          <cell r="D4120">
            <v>5577801</v>
          </cell>
          <cell r="E4120">
            <v>0</v>
          </cell>
          <cell r="F4120">
            <v>0</v>
          </cell>
          <cell r="G4120">
            <v>12468962</v>
          </cell>
          <cell r="H4120">
            <v>0</v>
          </cell>
          <cell r="I4120">
            <v>114951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128696091</v>
          </cell>
          <cell r="O4120">
            <v>7392919</v>
          </cell>
          <cell r="P4120">
            <v>0</v>
          </cell>
          <cell r="Q4120">
            <v>19209027</v>
          </cell>
          <cell r="R4120">
            <v>0</v>
          </cell>
          <cell r="S4120">
            <v>0</v>
          </cell>
          <cell r="T4120">
            <v>0</v>
          </cell>
          <cell r="U4120">
            <v>0</v>
          </cell>
          <cell r="V4120">
            <v>10607734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602659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</row>
        <row r="4121">
          <cell r="A4121">
            <v>501011101</v>
          </cell>
          <cell r="C4121">
            <v>0</v>
          </cell>
          <cell r="D4121">
            <v>5577801</v>
          </cell>
          <cell r="E4121">
            <v>0</v>
          </cell>
          <cell r="F4121">
            <v>0</v>
          </cell>
          <cell r="G4121">
            <v>12468962</v>
          </cell>
          <cell r="H4121">
            <v>0</v>
          </cell>
          <cell r="I4121">
            <v>114951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128696091</v>
          </cell>
          <cell r="O4121">
            <v>7392919</v>
          </cell>
          <cell r="P4121">
            <v>0</v>
          </cell>
          <cell r="Q4121">
            <v>19209027</v>
          </cell>
          <cell r="R4121">
            <v>0</v>
          </cell>
          <cell r="S4121">
            <v>0</v>
          </cell>
          <cell r="T4121">
            <v>0</v>
          </cell>
          <cell r="U4121">
            <v>0</v>
          </cell>
          <cell r="V4121">
            <v>10607734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602659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</row>
        <row r="4122">
          <cell r="A4122">
            <v>501011200</v>
          </cell>
          <cell r="C4122">
            <v>3074658</v>
          </cell>
          <cell r="D4122">
            <v>0</v>
          </cell>
          <cell r="E4122">
            <v>17234901</v>
          </cell>
          <cell r="F4122">
            <v>5557850</v>
          </cell>
          <cell r="G4122">
            <v>1679112</v>
          </cell>
          <cell r="H4122">
            <v>218764542</v>
          </cell>
          <cell r="I4122">
            <v>117538477</v>
          </cell>
          <cell r="J4122">
            <v>0</v>
          </cell>
          <cell r="K4122">
            <v>5374380</v>
          </cell>
          <cell r="L4122">
            <v>0</v>
          </cell>
          <cell r="M4122">
            <v>338063</v>
          </cell>
          <cell r="N4122">
            <v>132114427</v>
          </cell>
          <cell r="O4122">
            <v>6842065</v>
          </cell>
          <cell r="P4122">
            <v>325479</v>
          </cell>
          <cell r="Q4122">
            <v>21871253</v>
          </cell>
          <cell r="R4122">
            <v>43190299</v>
          </cell>
          <cell r="S4122">
            <v>235762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20389480</v>
          </cell>
          <cell r="Y4122">
            <v>0</v>
          </cell>
          <cell r="Z4122">
            <v>0</v>
          </cell>
          <cell r="AA4122">
            <v>2071587</v>
          </cell>
          <cell r="AB4122">
            <v>27736296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</row>
        <row r="4123">
          <cell r="A4123">
            <v>501011201</v>
          </cell>
          <cell r="C4123">
            <v>3074658</v>
          </cell>
          <cell r="D4123">
            <v>0</v>
          </cell>
          <cell r="E4123">
            <v>17234901</v>
          </cell>
          <cell r="F4123">
            <v>5557850</v>
          </cell>
          <cell r="G4123">
            <v>1679112</v>
          </cell>
          <cell r="H4123">
            <v>218764542</v>
          </cell>
          <cell r="I4123">
            <v>117538477</v>
          </cell>
          <cell r="J4123">
            <v>0</v>
          </cell>
          <cell r="K4123">
            <v>5374380</v>
          </cell>
          <cell r="L4123">
            <v>0</v>
          </cell>
          <cell r="M4123">
            <v>338063</v>
          </cell>
          <cell r="N4123">
            <v>132114427</v>
          </cell>
          <cell r="O4123">
            <v>6842065</v>
          </cell>
          <cell r="P4123">
            <v>325479</v>
          </cell>
          <cell r="Q4123">
            <v>21871253</v>
          </cell>
          <cell r="R4123">
            <v>43190299</v>
          </cell>
          <cell r="S4123">
            <v>235762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20389480</v>
          </cell>
          <cell r="Y4123">
            <v>0</v>
          </cell>
          <cell r="Z4123">
            <v>0</v>
          </cell>
          <cell r="AA4123">
            <v>2071587</v>
          </cell>
          <cell r="AB4123">
            <v>27736296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</row>
        <row r="4124">
          <cell r="A4124">
            <v>501011300</v>
          </cell>
          <cell r="C4124">
            <v>0</v>
          </cell>
          <cell r="D4124">
            <v>160747009</v>
          </cell>
          <cell r="E4124">
            <v>71589589</v>
          </cell>
          <cell r="F4124">
            <v>52997779</v>
          </cell>
          <cell r="G4124">
            <v>34054707</v>
          </cell>
          <cell r="H4124">
            <v>4224912</v>
          </cell>
          <cell r="I4124">
            <v>2211685</v>
          </cell>
          <cell r="J4124">
            <v>-1731636</v>
          </cell>
          <cell r="K4124">
            <v>0</v>
          </cell>
          <cell r="L4124">
            <v>2248663</v>
          </cell>
          <cell r="M4124">
            <v>0</v>
          </cell>
          <cell r="N4124">
            <v>243299772</v>
          </cell>
          <cell r="O4124">
            <v>129966890</v>
          </cell>
          <cell r="P4124">
            <v>574040</v>
          </cell>
          <cell r="Q4124">
            <v>108028951</v>
          </cell>
          <cell r="R4124">
            <v>99859598</v>
          </cell>
          <cell r="S4124">
            <v>9854186</v>
          </cell>
          <cell r="T4124">
            <v>0</v>
          </cell>
          <cell r="U4124">
            <v>0</v>
          </cell>
          <cell r="V4124">
            <v>0</v>
          </cell>
          <cell r="W4124">
            <v>5168693</v>
          </cell>
          <cell r="X4124">
            <v>1908345</v>
          </cell>
          <cell r="Y4124">
            <v>5987911</v>
          </cell>
          <cell r="Z4124">
            <v>0</v>
          </cell>
          <cell r="AA4124">
            <v>13246147</v>
          </cell>
          <cell r="AB4124">
            <v>96106348</v>
          </cell>
          <cell r="AC4124">
            <v>0</v>
          </cell>
          <cell r="AD4124">
            <v>2873226</v>
          </cell>
          <cell r="AE4124">
            <v>0</v>
          </cell>
          <cell r="AF4124">
            <v>0</v>
          </cell>
          <cell r="AG4124">
            <v>32178745</v>
          </cell>
          <cell r="AH4124">
            <v>3374982</v>
          </cell>
          <cell r="AI4124">
            <v>0</v>
          </cell>
        </row>
        <row r="4125">
          <cell r="A4125">
            <v>501011301</v>
          </cell>
          <cell r="C4125">
            <v>0</v>
          </cell>
          <cell r="D4125">
            <v>160747009</v>
          </cell>
          <cell r="E4125">
            <v>71589589</v>
          </cell>
          <cell r="F4125">
            <v>52997779</v>
          </cell>
          <cell r="G4125">
            <v>34054707</v>
          </cell>
          <cell r="H4125">
            <v>4224912</v>
          </cell>
          <cell r="I4125">
            <v>2211685</v>
          </cell>
          <cell r="J4125">
            <v>-1731636</v>
          </cell>
          <cell r="K4125">
            <v>0</v>
          </cell>
          <cell r="L4125">
            <v>2248663</v>
          </cell>
          <cell r="M4125">
            <v>0</v>
          </cell>
          <cell r="N4125">
            <v>243299772</v>
          </cell>
          <cell r="O4125">
            <v>129966890</v>
          </cell>
          <cell r="P4125">
            <v>574040</v>
          </cell>
          <cell r="Q4125">
            <v>108028951</v>
          </cell>
          <cell r="R4125">
            <v>99859598</v>
          </cell>
          <cell r="S4125">
            <v>9854186</v>
          </cell>
          <cell r="T4125">
            <v>0</v>
          </cell>
          <cell r="U4125">
            <v>0</v>
          </cell>
          <cell r="V4125">
            <v>0</v>
          </cell>
          <cell r="W4125">
            <v>5168693</v>
          </cell>
          <cell r="X4125">
            <v>1908345</v>
          </cell>
          <cell r="Y4125">
            <v>5987911</v>
          </cell>
          <cell r="Z4125">
            <v>0</v>
          </cell>
          <cell r="AA4125">
            <v>13246147</v>
          </cell>
          <cell r="AB4125">
            <v>96106348</v>
          </cell>
          <cell r="AC4125">
            <v>0</v>
          </cell>
          <cell r="AD4125">
            <v>2873226</v>
          </cell>
          <cell r="AE4125">
            <v>0</v>
          </cell>
          <cell r="AF4125">
            <v>0</v>
          </cell>
          <cell r="AG4125">
            <v>32178745</v>
          </cell>
          <cell r="AH4125">
            <v>3374982</v>
          </cell>
          <cell r="AI4125">
            <v>0</v>
          </cell>
        </row>
        <row r="4126">
          <cell r="A4126">
            <v>501012000</v>
          </cell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G4126">
            <v>4097513</v>
          </cell>
          <cell r="H4126">
            <v>14272104</v>
          </cell>
          <cell r="I4126">
            <v>68895749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249211013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619019142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</row>
        <row r="4127">
          <cell r="A4127">
            <v>501012001</v>
          </cell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</row>
        <row r="4128">
          <cell r="A4128">
            <v>501012002</v>
          </cell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</row>
        <row r="4129">
          <cell r="A4129">
            <v>501012003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4097513</v>
          </cell>
          <cell r="H4129">
            <v>14272104</v>
          </cell>
          <cell r="I4129">
            <v>68895749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249211013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619019142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</row>
        <row r="4130">
          <cell r="A4130">
            <v>501012004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</row>
        <row r="4131">
          <cell r="A4131">
            <v>501012005</v>
          </cell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</row>
        <row r="4132">
          <cell r="A4132">
            <v>501012006</v>
          </cell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G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</row>
        <row r="4133">
          <cell r="A4133">
            <v>501012007</v>
          </cell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</row>
        <row r="4134">
          <cell r="A4134">
            <v>501012008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</row>
        <row r="4135">
          <cell r="A4135">
            <v>501012009</v>
          </cell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</row>
        <row r="4136">
          <cell r="A4136">
            <v>502000000</v>
          </cell>
          <cell r="C4136">
            <v>7996854827</v>
          </cell>
          <cell r="D4136">
            <v>1484260114</v>
          </cell>
          <cell r="E4136">
            <v>2042877184</v>
          </cell>
          <cell r="F4136">
            <v>2929344437</v>
          </cell>
          <cell r="G4136">
            <v>9591562936</v>
          </cell>
          <cell r="H4136">
            <v>13501634069</v>
          </cell>
          <cell r="I4136">
            <v>5115631682</v>
          </cell>
          <cell r="J4136">
            <v>15445995</v>
          </cell>
          <cell r="K4136">
            <v>652777070</v>
          </cell>
          <cell r="L4136">
            <v>1274492950</v>
          </cell>
          <cell r="M4136">
            <v>6622066649</v>
          </cell>
          <cell r="N4136">
            <v>15032301271</v>
          </cell>
          <cell r="O4136">
            <v>6244148715</v>
          </cell>
          <cell r="P4136">
            <v>520413254</v>
          </cell>
          <cell r="Q4136">
            <v>31990328</v>
          </cell>
          <cell r="R4136">
            <v>3474122480</v>
          </cell>
          <cell r="S4136">
            <v>284695096</v>
          </cell>
          <cell r="T4136">
            <v>4792635407</v>
          </cell>
          <cell r="U4136">
            <v>0</v>
          </cell>
          <cell r="V4136">
            <v>34086296900</v>
          </cell>
          <cell r="W4136">
            <v>327104469</v>
          </cell>
          <cell r="X4136">
            <v>249966841</v>
          </cell>
          <cell r="Y4136">
            <v>22826351</v>
          </cell>
          <cell r="Z4136">
            <v>805184109</v>
          </cell>
          <cell r="AA4136">
            <v>1187797591</v>
          </cell>
          <cell r="AB4136">
            <v>2251968459</v>
          </cell>
          <cell r="AC4136">
            <v>131332923</v>
          </cell>
          <cell r="AD4136">
            <v>2627456000</v>
          </cell>
          <cell r="AE4136">
            <v>63783548048</v>
          </cell>
          <cell r="AF4136">
            <v>1916276027</v>
          </cell>
          <cell r="AG4136">
            <v>6687340</v>
          </cell>
          <cell r="AH4136">
            <v>4358717790</v>
          </cell>
          <cell r="AI4136">
            <v>7699419544</v>
          </cell>
        </row>
        <row r="4137">
          <cell r="A4137">
            <v>502010000</v>
          </cell>
          <cell r="C4137">
            <v>7996854827</v>
          </cell>
          <cell r="D4137">
            <v>1484260114</v>
          </cell>
          <cell r="E4137">
            <v>2042877184</v>
          </cell>
          <cell r="F4137">
            <v>2929344437</v>
          </cell>
          <cell r="G4137">
            <v>9591562936</v>
          </cell>
          <cell r="H4137">
            <v>13501634069</v>
          </cell>
          <cell r="I4137">
            <v>5115631682</v>
          </cell>
          <cell r="J4137">
            <v>15445995</v>
          </cell>
          <cell r="K4137">
            <v>652777070</v>
          </cell>
          <cell r="L4137">
            <v>1274492950</v>
          </cell>
          <cell r="M4137">
            <v>6622066649</v>
          </cell>
          <cell r="N4137">
            <v>15032301271</v>
          </cell>
          <cell r="O4137">
            <v>6244148715</v>
          </cell>
          <cell r="P4137">
            <v>520413254</v>
          </cell>
          <cell r="Q4137">
            <v>31990328</v>
          </cell>
          <cell r="R4137">
            <v>3474122480</v>
          </cell>
          <cell r="S4137">
            <v>284695096</v>
          </cell>
          <cell r="T4137">
            <v>4792635407</v>
          </cell>
          <cell r="U4137">
            <v>0</v>
          </cell>
          <cell r="V4137">
            <v>34086296900</v>
          </cell>
          <cell r="W4137">
            <v>327104469</v>
          </cell>
          <cell r="X4137">
            <v>249966841</v>
          </cell>
          <cell r="Y4137">
            <v>22826351</v>
          </cell>
          <cell r="Z4137">
            <v>805184109</v>
          </cell>
          <cell r="AA4137">
            <v>1187797591</v>
          </cell>
          <cell r="AB4137">
            <v>2251968459</v>
          </cell>
          <cell r="AC4137">
            <v>131332923</v>
          </cell>
          <cell r="AD4137">
            <v>2627456000</v>
          </cell>
          <cell r="AE4137">
            <v>63783548048</v>
          </cell>
          <cell r="AF4137">
            <v>1916276027</v>
          </cell>
          <cell r="AG4137">
            <v>6687340</v>
          </cell>
          <cell r="AH4137">
            <v>4358717790</v>
          </cell>
          <cell r="AI4137">
            <v>7699419544</v>
          </cell>
        </row>
        <row r="4138">
          <cell r="A4138">
            <v>502010100</v>
          </cell>
          <cell r="C4138">
            <v>1156663640</v>
          </cell>
          <cell r="D4138">
            <v>126810252</v>
          </cell>
          <cell r="E4138">
            <v>1191656040</v>
          </cell>
          <cell r="F4138">
            <v>1186744868</v>
          </cell>
          <cell r="G4138">
            <v>795183568</v>
          </cell>
          <cell r="H4138">
            <v>526305322</v>
          </cell>
          <cell r="I4138">
            <v>841813112</v>
          </cell>
          <cell r="J4138">
            <v>8758655</v>
          </cell>
          <cell r="K4138">
            <v>0</v>
          </cell>
          <cell r="L4138">
            <v>464101550</v>
          </cell>
          <cell r="M4138">
            <v>58119403</v>
          </cell>
          <cell r="N4138">
            <v>2859300010</v>
          </cell>
          <cell r="O4138">
            <v>2987673957</v>
          </cell>
          <cell r="P4138">
            <v>82444772</v>
          </cell>
          <cell r="Q4138">
            <v>8823000</v>
          </cell>
          <cell r="R4138">
            <v>157551797</v>
          </cell>
          <cell r="S4138">
            <v>143008248</v>
          </cell>
          <cell r="T4138">
            <v>0</v>
          </cell>
          <cell r="U4138">
            <v>0</v>
          </cell>
          <cell r="V4138">
            <v>4107019786</v>
          </cell>
          <cell r="W4138">
            <v>0</v>
          </cell>
          <cell r="X4138">
            <v>113251987</v>
          </cell>
          <cell r="Y4138">
            <v>16139011</v>
          </cell>
          <cell r="Z4138">
            <v>0</v>
          </cell>
          <cell r="AA4138">
            <v>477534873</v>
          </cell>
          <cell r="AB4138">
            <v>705917914</v>
          </cell>
          <cell r="AC4138">
            <v>115311515</v>
          </cell>
          <cell r="AD4138">
            <v>329069744</v>
          </cell>
          <cell r="AE4138">
            <v>20540744900</v>
          </cell>
          <cell r="AF4138">
            <v>60811881</v>
          </cell>
          <cell r="AG4138">
            <v>0</v>
          </cell>
          <cell r="AH4138">
            <v>135560423</v>
          </cell>
          <cell r="AI4138">
            <v>14977484</v>
          </cell>
        </row>
        <row r="4139">
          <cell r="A4139">
            <v>502010101</v>
          </cell>
          <cell r="C4139">
            <v>1156663640</v>
          </cell>
          <cell r="D4139">
            <v>126810252</v>
          </cell>
          <cell r="E4139">
            <v>1191656040</v>
          </cell>
          <cell r="F4139">
            <v>1186744868</v>
          </cell>
          <cell r="G4139">
            <v>795183568</v>
          </cell>
          <cell r="H4139">
            <v>526305322</v>
          </cell>
          <cell r="I4139">
            <v>841813112</v>
          </cell>
          <cell r="J4139">
            <v>8758655</v>
          </cell>
          <cell r="K4139">
            <v>0</v>
          </cell>
          <cell r="L4139">
            <v>464101550</v>
          </cell>
          <cell r="M4139">
            <v>58119403</v>
          </cell>
          <cell r="N4139">
            <v>2859300010</v>
          </cell>
          <cell r="O4139">
            <v>2987673957</v>
          </cell>
          <cell r="P4139">
            <v>82444772</v>
          </cell>
          <cell r="Q4139">
            <v>8823000</v>
          </cell>
          <cell r="R4139">
            <v>157551797</v>
          </cell>
          <cell r="S4139">
            <v>143008248</v>
          </cell>
          <cell r="T4139">
            <v>0</v>
          </cell>
          <cell r="U4139">
            <v>0</v>
          </cell>
          <cell r="V4139">
            <v>4107019786</v>
          </cell>
          <cell r="W4139">
            <v>0</v>
          </cell>
          <cell r="X4139">
            <v>113251987</v>
          </cell>
          <cell r="Y4139">
            <v>16139011</v>
          </cell>
          <cell r="Z4139">
            <v>0</v>
          </cell>
          <cell r="AA4139">
            <v>477534873</v>
          </cell>
          <cell r="AB4139">
            <v>705917914</v>
          </cell>
          <cell r="AC4139">
            <v>115311515</v>
          </cell>
          <cell r="AD4139">
            <v>329069744</v>
          </cell>
          <cell r="AE4139">
            <v>20540744900</v>
          </cell>
          <cell r="AF4139">
            <v>60811881</v>
          </cell>
          <cell r="AG4139">
            <v>0</v>
          </cell>
          <cell r="AH4139">
            <v>135560423</v>
          </cell>
          <cell r="AI4139">
            <v>14977484</v>
          </cell>
        </row>
        <row r="4140">
          <cell r="A4140">
            <v>502010200</v>
          </cell>
          <cell r="C4140">
            <v>621234210</v>
          </cell>
          <cell r="D4140">
            <v>0</v>
          </cell>
          <cell r="E4140">
            <v>0</v>
          </cell>
          <cell r="F4140">
            <v>453858492</v>
          </cell>
          <cell r="G4140">
            <v>811634001</v>
          </cell>
          <cell r="H4140">
            <v>518663821</v>
          </cell>
          <cell r="I4140">
            <v>325817654</v>
          </cell>
          <cell r="J4140">
            <v>0</v>
          </cell>
          <cell r="K4140">
            <v>0</v>
          </cell>
          <cell r="L4140">
            <v>34838100</v>
          </cell>
          <cell r="M4140">
            <v>57229962</v>
          </cell>
          <cell r="N4140">
            <v>728599647</v>
          </cell>
          <cell r="O4140">
            <v>897022182</v>
          </cell>
          <cell r="P4140">
            <v>400608770</v>
          </cell>
          <cell r="Q4140">
            <v>0</v>
          </cell>
          <cell r="R4140">
            <v>0</v>
          </cell>
          <cell r="S4140">
            <v>0</v>
          </cell>
          <cell r="T4140">
            <v>935064</v>
          </cell>
          <cell r="U4140">
            <v>0</v>
          </cell>
          <cell r="V4140">
            <v>1212713469</v>
          </cell>
          <cell r="W4140">
            <v>0</v>
          </cell>
          <cell r="X4140">
            <v>16500604</v>
          </cell>
          <cell r="Y4140">
            <v>0</v>
          </cell>
          <cell r="Z4140">
            <v>0</v>
          </cell>
          <cell r="AA4140">
            <v>221164287</v>
          </cell>
          <cell r="AB4140">
            <v>82654902</v>
          </cell>
          <cell r="AC4140">
            <v>0</v>
          </cell>
          <cell r="AD4140">
            <v>74526441</v>
          </cell>
          <cell r="AE4140">
            <v>8224984352</v>
          </cell>
          <cell r="AF4140">
            <v>0</v>
          </cell>
          <cell r="AG4140">
            <v>0</v>
          </cell>
          <cell r="AH4140">
            <v>0</v>
          </cell>
          <cell r="AI4140">
            <v>629902</v>
          </cell>
        </row>
        <row r="4141">
          <cell r="A4141">
            <v>502010201</v>
          </cell>
          <cell r="C4141">
            <v>621234210</v>
          </cell>
          <cell r="D4141">
            <v>0</v>
          </cell>
          <cell r="E4141">
            <v>0</v>
          </cell>
          <cell r="F4141">
            <v>453858492</v>
          </cell>
          <cell r="G4141">
            <v>811634001</v>
          </cell>
          <cell r="H4141">
            <v>518663821</v>
          </cell>
          <cell r="I4141">
            <v>325817654</v>
          </cell>
          <cell r="J4141">
            <v>0</v>
          </cell>
          <cell r="K4141">
            <v>0</v>
          </cell>
          <cell r="L4141">
            <v>34838100</v>
          </cell>
          <cell r="M4141">
            <v>57229962</v>
          </cell>
          <cell r="N4141">
            <v>728599647</v>
          </cell>
          <cell r="O4141">
            <v>897022182</v>
          </cell>
          <cell r="P4141">
            <v>400608770</v>
          </cell>
          <cell r="Q4141">
            <v>0</v>
          </cell>
          <cell r="R4141">
            <v>0</v>
          </cell>
          <cell r="S4141">
            <v>0</v>
          </cell>
          <cell r="T4141">
            <v>935064</v>
          </cell>
          <cell r="U4141">
            <v>0</v>
          </cell>
          <cell r="V4141">
            <v>1212713469</v>
          </cell>
          <cell r="W4141">
            <v>0</v>
          </cell>
          <cell r="X4141">
            <v>16500604</v>
          </cell>
          <cell r="Y4141">
            <v>0</v>
          </cell>
          <cell r="Z4141">
            <v>0</v>
          </cell>
          <cell r="AA4141">
            <v>221164287</v>
          </cell>
          <cell r="AB4141">
            <v>82654902</v>
          </cell>
          <cell r="AC4141">
            <v>0</v>
          </cell>
          <cell r="AD4141">
            <v>74526441</v>
          </cell>
          <cell r="AE4141">
            <v>8224984352</v>
          </cell>
          <cell r="AF4141">
            <v>0</v>
          </cell>
          <cell r="AG4141">
            <v>0</v>
          </cell>
          <cell r="AH4141">
            <v>0</v>
          </cell>
          <cell r="AI4141">
            <v>629902</v>
          </cell>
        </row>
        <row r="4142">
          <cell r="A4142">
            <v>502010300</v>
          </cell>
          <cell r="C4142">
            <v>118321442</v>
          </cell>
          <cell r="D4142">
            <v>0</v>
          </cell>
          <cell r="E4142">
            <v>0</v>
          </cell>
          <cell r="F4142">
            <v>19268309</v>
          </cell>
          <cell r="G4142">
            <v>70511979</v>
          </cell>
          <cell r="H4142">
            <v>112783</v>
          </cell>
          <cell r="I4142">
            <v>30453219</v>
          </cell>
          <cell r="J4142">
            <v>0</v>
          </cell>
          <cell r="K4142">
            <v>0</v>
          </cell>
          <cell r="L4142">
            <v>8458668</v>
          </cell>
          <cell r="M4142">
            <v>9172129</v>
          </cell>
          <cell r="N4142">
            <v>201676697</v>
          </cell>
          <cell r="O4142">
            <v>140469413</v>
          </cell>
          <cell r="P4142">
            <v>30672218</v>
          </cell>
          <cell r="Q4142">
            <v>0</v>
          </cell>
          <cell r="R4142">
            <v>6312548</v>
          </cell>
          <cell r="S4142">
            <v>0</v>
          </cell>
          <cell r="T4142">
            <v>2138322</v>
          </cell>
          <cell r="U4142">
            <v>0</v>
          </cell>
          <cell r="V4142">
            <v>938290635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29567615</v>
          </cell>
          <cell r="AB4142">
            <v>104915137</v>
          </cell>
          <cell r="AC4142">
            <v>0</v>
          </cell>
          <cell r="AD4142">
            <v>13397761</v>
          </cell>
          <cell r="AE4142">
            <v>953657453</v>
          </cell>
          <cell r="AF4142">
            <v>0</v>
          </cell>
          <cell r="AG4142">
            <v>0</v>
          </cell>
          <cell r="AH4142">
            <v>0</v>
          </cell>
          <cell r="AI4142">
            <v>2823420</v>
          </cell>
        </row>
        <row r="4143">
          <cell r="A4143">
            <v>502010301</v>
          </cell>
          <cell r="C4143">
            <v>118321442</v>
          </cell>
          <cell r="D4143">
            <v>0</v>
          </cell>
          <cell r="E4143">
            <v>0</v>
          </cell>
          <cell r="F4143">
            <v>19268309</v>
          </cell>
          <cell r="G4143">
            <v>70511979</v>
          </cell>
          <cell r="H4143">
            <v>112783</v>
          </cell>
          <cell r="I4143">
            <v>30453219</v>
          </cell>
          <cell r="J4143">
            <v>0</v>
          </cell>
          <cell r="K4143">
            <v>0</v>
          </cell>
          <cell r="L4143">
            <v>8458668</v>
          </cell>
          <cell r="M4143">
            <v>9172129</v>
          </cell>
          <cell r="N4143">
            <v>201676697</v>
          </cell>
          <cell r="O4143">
            <v>140469413</v>
          </cell>
          <cell r="P4143">
            <v>30672218</v>
          </cell>
          <cell r="Q4143">
            <v>0</v>
          </cell>
          <cell r="R4143">
            <v>6312548</v>
          </cell>
          <cell r="S4143">
            <v>0</v>
          </cell>
          <cell r="T4143">
            <v>2138322</v>
          </cell>
          <cell r="U4143">
            <v>0</v>
          </cell>
          <cell r="V4143">
            <v>938290635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29567615</v>
          </cell>
          <cell r="AB4143">
            <v>104915137</v>
          </cell>
          <cell r="AC4143">
            <v>0</v>
          </cell>
          <cell r="AD4143">
            <v>13397761</v>
          </cell>
          <cell r="AE4143">
            <v>953657453</v>
          </cell>
          <cell r="AF4143">
            <v>0</v>
          </cell>
          <cell r="AG4143">
            <v>0</v>
          </cell>
          <cell r="AH4143">
            <v>0</v>
          </cell>
          <cell r="AI4143">
            <v>2823420</v>
          </cell>
        </row>
        <row r="4144">
          <cell r="A4144">
            <v>502010400</v>
          </cell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154107328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130777839</v>
          </cell>
          <cell r="T4144">
            <v>0</v>
          </cell>
          <cell r="U4144">
            <v>0</v>
          </cell>
          <cell r="V4144">
            <v>14069844400</v>
          </cell>
          <cell r="W4144">
            <v>0</v>
          </cell>
          <cell r="X4144">
            <v>0</v>
          </cell>
          <cell r="Y4144">
            <v>0</v>
          </cell>
          <cell r="Z4144">
            <v>108245853</v>
          </cell>
          <cell r="AA4144">
            <v>0</v>
          </cell>
          <cell r="AB4144">
            <v>0</v>
          </cell>
          <cell r="AC4144">
            <v>9334068</v>
          </cell>
          <cell r="AD4144">
            <v>104846795</v>
          </cell>
          <cell r="AE4144">
            <v>390784498</v>
          </cell>
          <cell r="AF4144">
            <v>0</v>
          </cell>
          <cell r="AG4144">
            <v>0</v>
          </cell>
          <cell r="AH4144">
            <v>0</v>
          </cell>
          <cell r="AI4144">
            <v>-58914</v>
          </cell>
        </row>
        <row r="4145">
          <cell r="A4145">
            <v>502010401</v>
          </cell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G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154107328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130777839</v>
          </cell>
          <cell r="T4145">
            <v>0</v>
          </cell>
          <cell r="U4145">
            <v>0</v>
          </cell>
          <cell r="V4145">
            <v>14069844400</v>
          </cell>
          <cell r="W4145">
            <v>0</v>
          </cell>
          <cell r="X4145">
            <v>0</v>
          </cell>
          <cell r="Y4145">
            <v>0</v>
          </cell>
          <cell r="Z4145">
            <v>108245853</v>
          </cell>
          <cell r="AA4145">
            <v>0</v>
          </cell>
          <cell r="AB4145">
            <v>0</v>
          </cell>
          <cell r="AC4145">
            <v>9334068</v>
          </cell>
          <cell r="AD4145">
            <v>104846795</v>
          </cell>
          <cell r="AE4145">
            <v>390784498</v>
          </cell>
          <cell r="AF4145">
            <v>0</v>
          </cell>
          <cell r="AG4145">
            <v>0</v>
          </cell>
          <cell r="AH4145">
            <v>0</v>
          </cell>
          <cell r="AI4145">
            <v>-58914</v>
          </cell>
        </row>
        <row r="4146">
          <cell r="A4146">
            <v>502010500</v>
          </cell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</row>
        <row r="4147">
          <cell r="A4147">
            <v>502010501</v>
          </cell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</row>
        <row r="4148">
          <cell r="A4148">
            <v>502010600</v>
          </cell>
          <cell r="C4148">
            <v>188906192</v>
          </cell>
          <cell r="D4148">
            <v>0</v>
          </cell>
          <cell r="E4148">
            <v>0</v>
          </cell>
          <cell r="F4148">
            <v>252342067</v>
          </cell>
          <cell r="G4148">
            <v>310241244</v>
          </cell>
          <cell r="H4148">
            <v>6441928</v>
          </cell>
          <cell r="I4148">
            <v>511605927</v>
          </cell>
          <cell r="J4148">
            <v>0</v>
          </cell>
          <cell r="K4148">
            <v>0</v>
          </cell>
          <cell r="L4148">
            <v>83094759</v>
          </cell>
          <cell r="M4148">
            <v>107144377</v>
          </cell>
          <cell r="N4148">
            <v>775328209</v>
          </cell>
          <cell r="O4148">
            <v>694375505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  <cell r="T4148">
            <v>0</v>
          </cell>
          <cell r="U4148">
            <v>0</v>
          </cell>
          <cell r="V4148">
            <v>677241295</v>
          </cell>
          <cell r="W4148">
            <v>320417129</v>
          </cell>
          <cell r="X4148">
            <v>0</v>
          </cell>
          <cell r="Y4148">
            <v>0</v>
          </cell>
          <cell r="Z4148">
            <v>679882675</v>
          </cell>
          <cell r="AA4148">
            <v>126463594</v>
          </cell>
          <cell r="AB4148">
            <v>10176494</v>
          </cell>
          <cell r="AC4148">
            <v>0</v>
          </cell>
          <cell r="AD4148">
            <v>851394521</v>
          </cell>
          <cell r="AE4148">
            <v>3278442991</v>
          </cell>
          <cell r="AF4148">
            <v>0</v>
          </cell>
          <cell r="AG4148">
            <v>0</v>
          </cell>
          <cell r="AH4148">
            <v>25931119</v>
          </cell>
          <cell r="AI4148">
            <v>13207</v>
          </cell>
        </row>
        <row r="4149">
          <cell r="A4149">
            <v>502010601</v>
          </cell>
          <cell r="C4149">
            <v>188906192</v>
          </cell>
          <cell r="D4149">
            <v>0</v>
          </cell>
          <cell r="E4149">
            <v>0</v>
          </cell>
          <cell r="F4149">
            <v>252342067</v>
          </cell>
          <cell r="G4149">
            <v>310241244</v>
          </cell>
          <cell r="H4149">
            <v>6441928</v>
          </cell>
          <cell r="I4149">
            <v>511605927</v>
          </cell>
          <cell r="J4149">
            <v>0</v>
          </cell>
          <cell r="K4149">
            <v>0</v>
          </cell>
          <cell r="L4149">
            <v>83094759</v>
          </cell>
          <cell r="M4149">
            <v>107144377</v>
          </cell>
          <cell r="N4149">
            <v>775328209</v>
          </cell>
          <cell r="O4149">
            <v>694375505</v>
          </cell>
          <cell r="P4149">
            <v>0</v>
          </cell>
          <cell r="Q4149">
            <v>0</v>
          </cell>
          <cell r="R4149">
            <v>0</v>
          </cell>
          <cell r="S4149">
            <v>0</v>
          </cell>
          <cell r="T4149">
            <v>0</v>
          </cell>
          <cell r="U4149">
            <v>0</v>
          </cell>
          <cell r="V4149">
            <v>677241295</v>
          </cell>
          <cell r="W4149">
            <v>320417129</v>
          </cell>
          <cell r="X4149">
            <v>0</v>
          </cell>
          <cell r="Y4149">
            <v>0</v>
          </cell>
          <cell r="Z4149">
            <v>679882675</v>
          </cell>
          <cell r="AA4149">
            <v>126463594</v>
          </cell>
          <cell r="AB4149">
            <v>10176494</v>
          </cell>
          <cell r="AC4149">
            <v>0</v>
          </cell>
          <cell r="AD4149">
            <v>851394521</v>
          </cell>
          <cell r="AE4149">
            <v>3278442991</v>
          </cell>
          <cell r="AF4149">
            <v>0</v>
          </cell>
          <cell r="AG4149">
            <v>0</v>
          </cell>
          <cell r="AH4149">
            <v>25931119</v>
          </cell>
          <cell r="AI4149">
            <v>13207</v>
          </cell>
        </row>
        <row r="4150">
          <cell r="A4150">
            <v>502010700</v>
          </cell>
          <cell r="C4150">
            <v>6586343</v>
          </cell>
          <cell r="D4150">
            <v>0</v>
          </cell>
          <cell r="E4150">
            <v>0</v>
          </cell>
          <cell r="F4150">
            <v>14471615</v>
          </cell>
          <cell r="G4150">
            <v>8442309</v>
          </cell>
          <cell r="H4150">
            <v>0</v>
          </cell>
          <cell r="I4150">
            <v>36367568</v>
          </cell>
          <cell r="J4150">
            <v>0</v>
          </cell>
          <cell r="K4150">
            <v>0</v>
          </cell>
          <cell r="L4150">
            <v>691930</v>
          </cell>
          <cell r="M4150">
            <v>3743610</v>
          </cell>
          <cell r="N4150">
            <v>49612868</v>
          </cell>
          <cell r="O4150">
            <v>25858905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18257702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11809800</v>
          </cell>
          <cell r="AB4150">
            <v>0</v>
          </cell>
          <cell r="AC4150">
            <v>0</v>
          </cell>
          <cell r="AD4150">
            <v>3484887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</row>
        <row r="4151">
          <cell r="A4151">
            <v>502010701</v>
          </cell>
          <cell r="C4151">
            <v>6586343</v>
          </cell>
          <cell r="D4151">
            <v>0</v>
          </cell>
          <cell r="E4151">
            <v>0</v>
          </cell>
          <cell r="F4151">
            <v>14471615</v>
          </cell>
          <cell r="G4151">
            <v>8442309</v>
          </cell>
          <cell r="H4151">
            <v>0</v>
          </cell>
          <cell r="I4151">
            <v>36367568</v>
          </cell>
          <cell r="J4151">
            <v>0</v>
          </cell>
          <cell r="K4151">
            <v>0</v>
          </cell>
          <cell r="L4151">
            <v>691930</v>
          </cell>
          <cell r="M4151">
            <v>3743610</v>
          </cell>
          <cell r="N4151">
            <v>49612868</v>
          </cell>
          <cell r="O4151">
            <v>25858905</v>
          </cell>
          <cell r="P4151">
            <v>0</v>
          </cell>
          <cell r="Q4151">
            <v>0</v>
          </cell>
          <cell r="R4151">
            <v>0</v>
          </cell>
          <cell r="S4151">
            <v>0</v>
          </cell>
          <cell r="T4151">
            <v>0</v>
          </cell>
          <cell r="U4151">
            <v>0</v>
          </cell>
          <cell r="V4151">
            <v>18257702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11809800</v>
          </cell>
          <cell r="AB4151">
            <v>0</v>
          </cell>
          <cell r="AC4151">
            <v>0</v>
          </cell>
          <cell r="AD4151">
            <v>3484887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</row>
        <row r="4152">
          <cell r="A4152">
            <v>502010800</v>
          </cell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6296385458</v>
          </cell>
          <cell r="N4152">
            <v>2133051975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2868257282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19360882960</v>
          </cell>
          <cell r="AF4152">
            <v>1848776806</v>
          </cell>
          <cell r="AG4152">
            <v>0</v>
          </cell>
          <cell r="AH4152">
            <v>0</v>
          </cell>
          <cell r="AI4152">
            <v>7352478172</v>
          </cell>
        </row>
        <row r="4153">
          <cell r="A4153">
            <v>502010801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6296385458</v>
          </cell>
          <cell r="N4153">
            <v>2133051975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2868257282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19360882960</v>
          </cell>
          <cell r="AF4153">
            <v>1848776806</v>
          </cell>
          <cell r="AG4153">
            <v>0</v>
          </cell>
          <cell r="AH4153">
            <v>0</v>
          </cell>
          <cell r="AI4153">
            <v>7352478172</v>
          </cell>
        </row>
        <row r="4154">
          <cell r="A4154">
            <v>502010900</v>
          </cell>
          <cell r="C4154">
            <v>107265837</v>
          </cell>
          <cell r="D4154">
            <v>0</v>
          </cell>
          <cell r="E4154">
            <v>0</v>
          </cell>
          <cell r="F4154">
            <v>157388409</v>
          </cell>
          <cell r="G4154">
            <v>805642432</v>
          </cell>
          <cell r="H4154">
            <v>3494292153</v>
          </cell>
          <cell r="I4154">
            <v>2723880307</v>
          </cell>
          <cell r="J4154">
            <v>0</v>
          </cell>
          <cell r="K4154">
            <v>0</v>
          </cell>
          <cell r="L4154">
            <v>3606698</v>
          </cell>
          <cell r="M4154">
            <v>0</v>
          </cell>
          <cell r="N4154">
            <v>4524167749</v>
          </cell>
          <cell r="O4154">
            <v>643887300</v>
          </cell>
          <cell r="P4154">
            <v>0</v>
          </cell>
          <cell r="Q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9721960649</v>
          </cell>
          <cell r="W4154">
            <v>0</v>
          </cell>
          <cell r="X4154">
            <v>76882090</v>
          </cell>
          <cell r="Y4154">
            <v>0</v>
          </cell>
          <cell r="Z4154">
            <v>0</v>
          </cell>
          <cell r="AA4154">
            <v>215888169</v>
          </cell>
          <cell r="AB4154">
            <v>268520852</v>
          </cell>
          <cell r="AC4154">
            <v>0</v>
          </cell>
          <cell r="AD4154">
            <v>799376533</v>
          </cell>
          <cell r="AE4154">
            <v>3648939967</v>
          </cell>
          <cell r="AF4154">
            <v>0</v>
          </cell>
          <cell r="AG4154">
            <v>0</v>
          </cell>
          <cell r="AH4154">
            <v>337459413</v>
          </cell>
          <cell r="AI4154">
            <v>49604551</v>
          </cell>
        </row>
        <row r="4155">
          <cell r="A4155">
            <v>502010901</v>
          </cell>
          <cell r="C4155">
            <v>107265837</v>
          </cell>
          <cell r="D4155">
            <v>0</v>
          </cell>
          <cell r="E4155">
            <v>0</v>
          </cell>
          <cell r="F4155">
            <v>157388409</v>
          </cell>
          <cell r="G4155">
            <v>805642432</v>
          </cell>
          <cell r="H4155">
            <v>3494292153</v>
          </cell>
          <cell r="I4155">
            <v>2723880307</v>
          </cell>
          <cell r="J4155">
            <v>0</v>
          </cell>
          <cell r="K4155">
            <v>0</v>
          </cell>
          <cell r="L4155">
            <v>3606698</v>
          </cell>
          <cell r="M4155">
            <v>0</v>
          </cell>
          <cell r="N4155">
            <v>4524167749</v>
          </cell>
          <cell r="O4155">
            <v>643887300</v>
          </cell>
          <cell r="P4155">
            <v>0</v>
          </cell>
          <cell r="Q4155">
            <v>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9721960649</v>
          </cell>
          <cell r="W4155">
            <v>0</v>
          </cell>
          <cell r="X4155">
            <v>76882090</v>
          </cell>
          <cell r="Y4155">
            <v>0</v>
          </cell>
          <cell r="Z4155">
            <v>0</v>
          </cell>
          <cell r="AA4155">
            <v>215888169</v>
          </cell>
          <cell r="AB4155">
            <v>268520852</v>
          </cell>
          <cell r="AC4155">
            <v>0</v>
          </cell>
          <cell r="AD4155">
            <v>799376533</v>
          </cell>
          <cell r="AE4155">
            <v>3648939967</v>
          </cell>
          <cell r="AF4155">
            <v>0</v>
          </cell>
          <cell r="AG4155">
            <v>0</v>
          </cell>
          <cell r="AH4155">
            <v>337459413</v>
          </cell>
          <cell r="AI4155">
            <v>49604551</v>
          </cell>
        </row>
        <row r="4156">
          <cell r="A4156">
            <v>502011000</v>
          </cell>
          <cell r="C4156">
            <v>2228816433</v>
          </cell>
          <cell r="D4156">
            <v>50898419</v>
          </cell>
          <cell r="E4156">
            <v>38483262</v>
          </cell>
          <cell r="F4156">
            <v>50539349</v>
          </cell>
          <cell r="G4156">
            <v>1543717154</v>
          </cell>
          <cell r="H4156">
            <v>6687340</v>
          </cell>
          <cell r="I4156">
            <v>237039571</v>
          </cell>
          <cell r="J4156">
            <v>6687340</v>
          </cell>
          <cell r="K4156">
            <v>6687340</v>
          </cell>
          <cell r="L4156">
            <v>14962189</v>
          </cell>
          <cell r="M4156">
            <v>18073344</v>
          </cell>
          <cell r="N4156">
            <v>270511080</v>
          </cell>
          <cell r="O4156">
            <v>271346912</v>
          </cell>
          <cell r="P4156">
            <v>6687494</v>
          </cell>
          <cell r="Q4156">
            <v>6687340</v>
          </cell>
          <cell r="R4156">
            <v>6687340</v>
          </cell>
          <cell r="S4156">
            <v>8810181</v>
          </cell>
          <cell r="T4156">
            <v>4287605</v>
          </cell>
          <cell r="U4156">
            <v>0</v>
          </cell>
          <cell r="V4156">
            <v>508788504</v>
          </cell>
          <cell r="W4156">
            <v>6687340</v>
          </cell>
          <cell r="X4156">
            <v>6687340</v>
          </cell>
          <cell r="Y4156">
            <v>6687340</v>
          </cell>
          <cell r="Z4156">
            <v>6687340</v>
          </cell>
          <cell r="AA4156">
            <v>30066143</v>
          </cell>
          <cell r="AB4156">
            <v>136441340</v>
          </cell>
          <cell r="AC4156">
            <v>6687340</v>
          </cell>
          <cell r="AD4156">
            <v>20548002</v>
          </cell>
          <cell r="AE4156">
            <v>2820995715</v>
          </cell>
          <cell r="AF4156">
            <v>6687340</v>
          </cell>
          <cell r="AG4156">
            <v>6687340</v>
          </cell>
          <cell r="AH4156">
            <v>0</v>
          </cell>
          <cell r="AI4156">
            <v>7844048</v>
          </cell>
        </row>
        <row r="4157">
          <cell r="A4157">
            <v>502011001</v>
          </cell>
          <cell r="C4157">
            <v>2228816433</v>
          </cell>
          <cell r="D4157">
            <v>50898419</v>
          </cell>
          <cell r="E4157">
            <v>38483262</v>
          </cell>
          <cell r="F4157">
            <v>50539349</v>
          </cell>
          <cell r="G4157">
            <v>1543717154</v>
          </cell>
          <cell r="H4157">
            <v>6687340</v>
          </cell>
          <cell r="I4157">
            <v>237039571</v>
          </cell>
          <cell r="J4157">
            <v>6687340</v>
          </cell>
          <cell r="K4157">
            <v>6687340</v>
          </cell>
          <cell r="L4157">
            <v>14962189</v>
          </cell>
          <cell r="M4157">
            <v>18073344</v>
          </cell>
          <cell r="N4157">
            <v>270511080</v>
          </cell>
          <cell r="O4157">
            <v>271346912</v>
          </cell>
          <cell r="P4157">
            <v>6687494</v>
          </cell>
          <cell r="Q4157">
            <v>6687340</v>
          </cell>
          <cell r="R4157">
            <v>6687340</v>
          </cell>
          <cell r="S4157">
            <v>8810181</v>
          </cell>
          <cell r="T4157">
            <v>4287605</v>
          </cell>
          <cell r="U4157">
            <v>0</v>
          </cell>
          <cell r="V4157">
            <v>508788504</v>
          </cell>
          <cell r="W4157">
            <v>6687340</v>
          </cell>
          <cell r="X4157">
            <v>6687340</v>
          </cell>
          <cell r="Y4157">
            <v>6687340</v>
          </cell>
          <cell r="Z4157">
            <v>6687340</v>
          </cell>
          <cell r="AA4157">
            <v>30066143</v>
          </cell>
          <cell r="AB4157">
            <v>136441340</v>
          </cell>
          <cell r="AC4157">
            <v>6687340</v>
          </cell>
          <cell r="AD4157">
            <v>20548002</v>
          </cell>
          <cell r="AE4157">
            <v>2820995715</v>
          </cell>
          <cell r="AF4157">
            <v>6687340</v>
          </cell>
          <cell r="AG4157">
            <v>6687340</v>
          </cell>
          <cell r="AH4157">
            <v>0</v>
          </cell>
          <cell r="AI4157">
            <v>7844048</v>
          </cell>
        </row>
        <row r="4158">
          <cell r="A4158">
            <v>502011100</v>
          </cell>
          <cell r="C4158">
            <v>32921217</v>
          </cell>
          <cell r="D4158">
            <v>459005323</v>
          </cell>
          <cell r="E4158">
            <v>0</v>
          </cell>
          <cell r="F4158">
            <v>0</v>
          </cell>
          <cell r="G4158">
            <v>378538930</v>
          </cell>
          <cell r="H4158">
            <v>0</v>
          </cell>
          <cell r="I4158">
            <v>15238974</v>
          </cell>
          <cell r="J4158">
            <v>0</v>
          </cell>
          <cell r="K4158">
            <v>0</v>
          </cell>
          <cell r="L4158">
            <v>2594969</v>
          </cell>
          <cell r="M4158">
            <v>0</v>
          </cell>
          <cell r="N4158">
            <v>149979391</v>
          </cell>
          <cell r="O4158">
            <v>6284604</v>
          </cell>
          <cell r="P4158">
            <v>0</v>
          </cell>
          <cell r="Q4158">
            <v>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58221930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113296102</v>
          </cell>
          <cell r="AC4158">
            <v>0</v>
          </cell>
          <cell r="AD4158">
            <v>0</v>
          </cell>
          <cell r="AE4158">
            <v>328840486</v>
          </cell>
          <cell r="AF4158">
            <v>0</v>
          </cell>
          <cell r="AG4158">
            <v>0</v>
          </cell>
          <cell r="AH4158">
            <v>0</v>
          </cell>
          <cell r="AI4158">
            <v>1075687</v>
          </cell>
        </row>
        <row r="4159">
          <cell r="A4159">
            <v>502011101</v>
          </cell>
          <cell r="C4159">
            <v>32921217</v>
          </cell>
          <cell r="D4159">
            <v>459005323</v>
          </cell>
          <cell r="E4159">
            <v>0</v>
          </cell>
          <cell r="F4159">
            <v>0</v>
          </cell>
          <cell r="G4159">
            <v>378538930</v>
          </cell>
          <cell r="H4159">
            <v>0</v>
          </cell>
          <cell r="I4159">
            <v>15238974</v>
          </cell>
          <cell r="J4159">
            <v>0</v>
          </cell>
          <cell r="K4159">
            <v>0</v>
          </cell>
          <cell r="L4159">
            <v>2594969</v>
          </cell>
          <cell r="M4159">
            <v>0</v>
          </cell>
          <cell r="N4159">
            <v>149979391</v>
          </cell>
          <cell r="O4159">
            <v>6284604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58221930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113296102</v>
          </cell>
          <cell r="AC4159">
            <v>0</v>
          </cell>
          <cell r="AD4159">
            <v>0</v>
          </cell>
          <cell r="AE4159">
            <v>328840486</v>
          </cell>
          <cell r="AF4159">
            <v>0</v>
          </cell>
          <cell r="AG4159">
            <v>0</v>
          </cell>
          <cell r="AH4159">
            <v>0</v>
          </cell>
          <cell r="AI4159">
            <v>1075687</v>
          </cell>
        </row>
        <row r="4160">
          <cell r="A4160">
            <v>502011200</v>
          </cell>
          <cell r="C4160">
            <v>548987559</v>
          </cell>
          <cell r="D4160">
            <v>8760434</v>
          </cell>
          <cell r="E4160">
            <v>120444537</v>
          </cell>
          <cell r="F4160">
            <v>105171975</v>
          </cell>
          <cell r="G4160">
            <v>264701375</v>
          </cell>
          <cell r="H4160">
            <v>293457541</v>
          </cell>
          <cell r="I4160">
            <v>154344109</v>
          </cell>
          <cell r="J4160">
            <v>0</v>
          </cell>
          <cell r="K4160">
            <v>0</v>
          </cell>
          <cell r="L4160">
            <v>4668583</v>
          </cell>
          <cell r="M4160">
            <v>3959367</v>
          </cell>
          <cell r="N4160">
            <v>359121318</v>
          </cell>
          <cell r="O4160">
            <v>482675014</v>
          </cell>
          <cell r="P4160">
            <v>0</v>
          </cell>
          <cell r="Q4160">
            <v>16368496</v>
          </cell>
          <cell r="R4160">
            <v>1935249341</v>
          </cell>
          <cell r="S4160">
            <v>2098828</v>
          </cell>
          <cell r="T4160">
            <v>0</v>
          </cell>
          <cell r="U4160">
            <v>0</v>
          </cell>
          <cell r="V4160">
            <v>496182327</v>
          </cell>
          <cell r="W4160">
            <v>0</v>
          </cell>
          <cell r="X4160">
            <v>14842790</v>
          </cell>
          <cell r="Y4160">
            <v>0</v>
          </cell>
          <cell r="Z4160">
            <v>10368241</v>
          </cell>
          <cell r="AA4160">
            <v>1414794</v>
          </cell>
          <cell r="AB4160">
            <v>59161514</v>
          </cell>
          <cell r="AC4160">
            <v>0</v>
          </cell>
          <cell r="AD4160">
            <v>81184242</v>
          </cell>
          <cell r="AE4160">
            <v>1030749422</v>
          </cell>
          <cell r="AF4160">
            <v>0</v>
          </cell>
          <cell r="AG4160">
            <v>0</v>
          </cell>
          <cell r="AH4160">
            <v>87173531</v>
          </cell>
          <cell r="AI4160">
            <v>108769388</v>
          </cell>
        </row>
        <row r="4161">
          <cell r="A4161">
            <v>502011201</v>
          </cell>
          <cell r="C4161">
            <v>548987559</v>
          </cell>
          <cell r="D4161">
            <v>8760434</v>
          </cell>
          <cell r="E4161">
            <v>120444537</v>
          </cell>
          <cell r="F4161">
            <v>105171975</v>
          </cell>
          <cell r="G4161">
            <v>264701375</v>
          </cell>
          <cell r="H4161">
            <v>293457541</v>
          </cell>
          <cell r="I4161">
            <v>154344109</v>
          </cell>
          <cell r="J4161">
            <v>0</v>
          </cell>
          <cell r="K4161">
            <v>0</v>
          </cell>
          <cell r="L4161">
            <v>4668583</v>
          </cell>
          <cell r="M4161">
            <v>3959367</v>
          </cell>
          <cell r="N4161">
            <v>359121318</v>
          </cell>
          <cell r="O4161">
            <v>482675014</v>
          </cell>
          <cell r="P4161">
            <v>0</v>
          </cell>
          <cell r="Q4161">
            <v>16368496</v>
          </cell>
          <cell r="R4161">
            <v>1935249341</v>
          </cell>
          <cell r="S4161">
            <v>2098828</v>
          </cell>
          <cell r="T4161">
            <v>0</v>
          </cell>
          <cell r="U4161">
            <v>0</v>
          </cell>
          <cell r="V4161">
            <v>496182327</v>
          </cell>
          <cell r="W4161">
            <v>0</v>
          </cell>
          <cell r="X4161">
            <v>14842790</v>
          </cell>
          <cell r="Y4161">
            <v>0</v>
          </cell>
          <cell r="Z4161">
            <v>10368241</v>
          </cell>
          <cell r="AA4161">
            <v>1414794</v>
          </cell>
          <cell r="AB4161">
            <v>59161514</v>
          </cell>
          <cell r="AC4161">
            <v>0</v>
          </cell>
          <cell r="AD4161">
            <v>81184242</v>
          </cell>
          <cell r="AE4161">
            <v>1030749422</v>
          </cell>
          <cell r="AF4161">
            <v>0</v>
          </cell>
          <cell r="AG4161">
            <v>0</v>
          </cell>
          <cell r="AH4161">
            <v>87173531</v>
          </cell>
          <cell r="AI4161">
            <v>108769388</v>
          </cell>
        </row>
        <row r="4162">
          <cell r="A4162">
            <v>502011300</v>
          </cell>
          <cell r="C4162">
            <v>2792068354</v>
          </cell>
          <cell r="D4162">
            <v>0</v>
          </cell>
          <cell r="E4162">
            <v>0</v>
          </cell>
          <cell r="F4162">
            <v>636638435</v>
          </cell>
          <cell r="G4162">
            <v>723760282</v>
          </cell>
          <cell r="H4162">
            <v>4097495897</v>
          </cell>
          <cell r="I4162">
            <v>33923777</v>
          </cell>
          <cell r="J4162">
            <v>0</v>
          </cell>
          <cell r="K4162">
            <v>0</v>
          </cell>
          <cell r="L4162">
            <v>134481451</v>
          </cell>
          <cell r="M4162">
            <v>68238999</v>
          </cell>
          <cell r="N4162">
            <v>1784055820</v>
          </cell>
          <cell r="O4162">
            <v>78034204</v>
          </cell>
          <cell r="P4162">
            <v>0</v>
          </cell>
          <cell r="Q4162">
            <v>111492</v>
          </cell>
          <cell r="R4162">
            <v>1368321454</v>
          </cell>
          <cell r="S4162">
            <v>0</v>
          </cell>
          <cell r="T4162">
            <v>17824842</v>
          </cell>
          <cell r="U4162">
            <v>0</v>
          </cell>
          <cell r="V4162">
            <v>297562262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65651223</v>
          </cell>
          <cell r="AB4162">
            <v>0</v>
          </cell>
          <cell r="AC4162">
            <v>0</v>
          </cell>
          <cell r="AD4162">
            <v>50123509</v>
          </cell>
          <cell r="AE4162">
            <v>218663248</v>
          </cell>
          <cell r="AF4162">
            <v>0</v>
          </cell>
          <cell r="AG4162">
            <v>0</v>
          </cell>
          <cell r="AH4162">
            <v>0</v>
          </cell>
          <cell r="AI4162">
            <v>58778903</v>
          </cell>
        </row>
        <row r="4163">
          <cell r="A4163">
            <v>502011301</v>
          </cell>
          <cell r="C4163">
            <v>2792068354</v>
          </cell>
          <cell r="D4163">
            <v>0</v>
          </cell>
          <cell r="E4163">
            <v>0</v>
          </cell>
          <cell r="F4163">
            <v>636638435</v>
          </cell>
          <cell r="G4163">
            <v>723760282</v>
          </cell>
          <cell r="H4163">
            <v>4097495897</v>
          </cell>
          <cell r="I4163">
            <v>33923777</v>
          </cell>
          <cell r="J4163">
            <v>0</v>
          </cell>
          <cell r="K4163">
            <v>0</v>
          </cell>
          <cell r="L4163">
            <v>134481451</v>
          </cell>
          <cell r="M4163">
            <v>68238999</v>
          </cell>
          <cell r="N4163">
            <v>1784055820</v>
          </cell>
          <cell r="O4163">
            <v>78034204</v>
          </cell>
          <cell r="P4163">
            <v>0</v>
          </cell>
          <cell r="Q4163">
            <v>111492</v>
          </cell>
          <cell r="R4163">
            <v>1368321454</v>
          </cell>
          <cell r="S4163">
            <v>0</v>
          </cell>
          <cell r="T4163">
            <v>17824842</v>
          </cell>
          <cell r="U4163">
            <v>0</v>
          </cell>
          <cell r="V4163">
            <v>297562262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65651223</v>
          </cell>
          <cell r="AB4163">
            <v>0</v>
          </cell>
          <cell r="AC4163">
            <v>0</v>
          </cell>
          <cell r="AD4163">
            <v>50123509</v>
          </cell>
          <cell r="AE4163">
            <v>218663248</v>
          </cell>
          <cell r="AF4163">
            <v>0</v>
          </cell>
          <cell r="AG4163">
            <v>0</v>
          </cell>
          <cell r="AH4163">
            <v>0</v>
          </cell>
          <cell r="AI4163">
            <v>58778903</v>
          </cell>
        </row>
        <row r="4164">
          <cell r="A4164">
            <v>502012000</v>
          </cell>
          <cell r="C4164">
            <v>195083600</v>
          </cell>
          <cell r="D4164">
            <v>838785686</v>
          </cell>
          <cell r="E4164">
            <v>692293345</v>
          </cell>
          <cell r="F4164">
            <v>52920918</v>
          </cell>
          <cell r="G4164">
            <v>3879189662</v>
          </cell>
          <cell r="H4164">
            <v>4558177284</v>
          </cell>
          <cell r="I4164">
            <v>205147464</v>
          </cell>
          <cell r="J4164">
            <v>0</v>
          </cell>
          <cell r="K4164">
            <v>646089730</v>
          </cell>
          <cell r="L4164">
            <v>368886725</v>
          </cell>
          <cell r="M4164">
            <v>0</v>
          </cell>
          <cell r="N4164">
            <v>1196896507</v>
          </cell>
          <cell r="O4164">
            <v>16520719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1899192292</v>
          </cell>
          <cell r="U4164">
            <v>0</v>
          </cell>
          <cell r="V4164">
            <v>1980213941</v>
          </cell>
          <cell r="W4164">
            <v>0</v>
          </cell>
          <cell r="X4164">
            <v>21802030</v>
          </cell>
          <cell r="Y4164">
            <v>0</v>
          </cell>
          <cell r="Z4164">
            <v>0</v>
          </cell>
          <cell r="AA4164">
            <v>8237093</v>
          </cell>
          <cell r="AB4164">
            <v>770884204</v>
          </cell>
          <cell r="AC4164">
            <v>0</v>
          </cell>
          <cell r="AD4164">
            <v>299503565</v>
          </cell>
          <cell r="AE4164">
            <v>2985862056</v>
          </cell>
          <cell r="AF4164">
            <v>0</v>
          </cell>
          <cell r="AG4164">
            <v>0</v>
          </cell>
          <cell r="AH4164">
            <v>3772593304</v>
          </cell>
          <cell r="AI4164">
            <v>102483696</v>
          </cell>
        </row>
        <row r="4165">
          <cell r="A4165">
            <v>502012001</v>
          </cell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155902834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</row>
        <row r="4166">
          <cell r="A4166">
            <v>502012002</v>
          </cell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67662373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</row>
        <row r="4167">
          <cell r="A4167">
            <v>502012003</v>
          </cell>
          <cell r="C4167">
            <v>195083600</v>
          </cell>
          <cell r="D4167">
            <v>838785686</v>
          </cell>
          <cell r="E4167">
            <v>692293345</v>
          </cell>
          <cell r="F4167">
            <v>52920918</v>
          </cell>
          <cell r="G4167">
            <v>3879189662</v>
          </cell>
          <cell r="H4167">
            <v>4558177284</v>
          </cell>
          <cell r="I4167">
            <v>205147464</v>
          </cell>
          <cell r="J4167">
            <v>0</v>
          </cell>
          <cell r="K4167">
            <v>391301131</v>
          </cell>
          <cell r="L4167">
            <v>368886725</v>
          </cell>
          <cell r="M4167">
            <v>0</v>
          </cell>
          <cell r="N4167">
            <v>1196896507</v>
          </cell>
          <cell r="O4167">
            <v>16520719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1346466702</v>
          </cell>
          <cell r="U4167">
            <v>0</v>
          </cell>
          <cell r="V4167">
            <v>1980213941</v>
          </cell>
          <cell r="W4167">
            <v>0</v>
          </cell>
          <cell r="X4167">
            <v>21802030</v>
          </cell>
          <cell r="Y4167">
            <v>0</v>
          </cell>
          <cell r="Z4167">
            <v>0</v>
          </cell>
          <cell r="AA4167">
            <v>8237093</v>
          </cell>
          <cell r="AB4167">
            <v>770884204</v>
          </cell>
          <cell r="AC4167">
            <v>0</v>
          </cell>
          <cell r="AD4167">
            <v>299503565</v>
          </cell>
          <cell r="AE4167">
            <v>2985862056</v>
          </cell>
          <cell r="AF4167">
            <v>0</v>
          </cell>
          <cell r="AG4167">
            <v>0</v>
          </cell>
          <cell r="AH4167">
            <v>3772593304</v>
          </cell>
          <cell r="AI4167">
            <v>102483696</v>
          </cell>
        </row>
        <row r="4168">
          <cell r="A4168">
            <v>502012004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</row>
        <row r="4169">
          <cell r="A4169">
            <v>502012005</v>
          </cell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</row>
        <row r="4170">
          <cell r="A4170">
            <v>502012006</v>
          </cell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254788599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68460292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</row>
        <row r="4171">
          <cell r="A4171">
            <v>502012007</v>
          </cell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259825126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</row>
        <row r="4172">
          <cell r="A4172">
            <v>502012008</v>
          </cell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0</v>
          </cell>
          <cell r="T4172">
            <v>874965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</row>
        <row r="4173">
          <cell r="A4173">
            <v>502012009</v>
          </cell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</row>
        <row r="4174">
          <cell r="A4174">
            <v>503000000</v>
          </cell>
          <cell r="C4174">
            <v>0</v>
          </cell>
          <cell r="D4174">
            <v>0</v>
          </cell>
          <cell r="E4174">
            <v>0</v>
          </cell>
          <cell r="F4174">
            <v>5965472</v>
          </cell>
          <cell r="G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262521192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</row>
        <row r="4175">
          <cell r="A4175">
            <v>503010000</v>
          </cell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</row>
        <row r="4176">
          <cell r="A4176">
            <v>503010100</v>
          </cell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</row>
        <row r="4177">
          <cell r="A4177">
            <v>503010101</v>
          </cell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</row>
        <row r="4178">
          <cell r="A4178">
            <v>503010102</v>
          </cell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</row>
        <row r="4179">
          <cell r="A4179">
            <v>503010103</v>
          </cell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</row>
        <row r="4180">
          <cell r="A4180">
            <v>503010200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</row>
        <row r="4181">
          <cell r="A4181">
            <v>503010201</v>
          </cell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</row>
        <row r="4182">
          <cell r="A4182">
            <v>503010202</v>
          </cell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</row>
        <row r="4183">
          <cell r="A4183">
            <v>503010203</v>
          </cell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</row>
        <row r="4184">
          <cell r="A4184">
            <v>503010300</v>
          </cell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</row>
        <row r="4185">
          <cell r="A4185">
            <v>503010301</v>
          </cell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</row>
        <row r="4186">
          <cell r="A4186">
            <v>503010302</v>
          </cell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</row>
        <row r="4187">
          <cell r="A4187">
            <v>503010303</v>
          </cell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</row>
        <row r="4188">
          <cell r="A4188">
            <v>503010400</v>
          </cell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</row>
        <row r="4189">
          <cell r="A4189">
            <v>503010401</v>
          </cell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</row>
        <row r="4190">
          <cell r="A4190">
            <v>503010402</v>
          </cell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</row>
        <row r="4191">
          <cell r="A4191">
            <v>503010403</v>
          </cell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</row>
        <row r="4192">
          <cell r="A4192">
            <v>503010500</v>
          </cell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</row>
        <row r="4193">
          <cell r="A4193">
            <v>503010501</v>
          </cell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</row>
        <row r="4194">
          <cell r="A4194">
            <v>503010502</v>
          </cell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</row>
        <row r="4195">
          <cell r="A4195">
            <v>503010503</v>
          </cell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</row>
        <row r="4196">
          <cell r="A4196">
            <v>503010600</v>
          </cell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</row>
        <row r="4197">
          <cell r="A4197">
            <v>503010601</v>
          </cell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</row>
        <row r="4198">
          <cell r="A4198">
            <v>503010602</v>
          </cell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</row>
        <row r="4199">
          <cell r="A4199">
            <v>503010603</v>
          </cell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</row>
        <row r="4200">
          <cell r="A4200">
            <v>503010700</v>
          </cell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</row>
        <row r="4201">
          <cell r="A4201">
            <v>503010701</v>
          </cell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</row>
        <row r="4202">
          <cell r="A4202">
            <v>503010702</v>
          </cell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</row>
        <row r="4203">
          <cell r="A4203">
            <v>503010703</v>
          </cell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</row>
        <row r="4204">
          <cell r="A4204">
            <v>503010800</v>
          </cell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</row>
        <row r="4205">
          <cell r="A4205">
            <v>503010801</v>
          </cell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</row>
        <row r="4206">
          <cell r="A4206">
            <v>503010802</v>
          </cell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</row>
        <row r="4207">
          <cell r="A4207">
            <v>503010803</v>
          </cell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</row>
        <row r="4208">
          <cell r="A4208">
            <v>503010900</v>
          </cell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</row>
        <row r="4209">
          <cell r="A4209">
            <v>503010901</v>
          </cell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</row>
        <row r="4210">
          <cell r="A4210">
            <v>503010902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</row>
        <row r="4211">
          <cell r="A4211">
            <v>503010903</v>
          </cell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</row>
        <row r="4212">
          <cell r="A4212">
            <v>503011000</v>
          </cell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</row>
        <row r="4213">
          <cell r="A4213">
            <v>503011001</v>
          </cell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</row>
        <row r="4214">
          <cell r="A4214">
            <v>503011002</v>
          </cell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</row>
        <row r="4215">
          <cell r="A4215">
            <v>503011003</v>
          </cell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</row>
        <row r="4216">
          <cell r="A4216">
            <v>503011100</v>
          </cell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</row>
        <row r="4217">
          <cell r="A4217">
            <v>503011101</v>
          </cell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</row>
        <row r="4218">
          <cell r="A4218">
            <v>503011102</v>
          </cell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</row>
        <row r="4219">
          <cell r="A4219">
            <v>503011103</v>
          </cell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</row>
        <row r="4220">
          <cell r="A4220">
            <v>503011200</v>
          </cell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</row>
        <row r="4221">
          <cell r="A4221">
            <v>503011201</v>
          </cell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</row>
        <row r="4222">
          <cell r="A4222">
            <v>503011202</v>
          </cell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</row>
        <row r="4223">
          <cell r="A4223">
            <v>503011203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</row>
        <row r="4224">
          <cell r="A4224">
            <v>503011300</v>
          </cell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</row>
        <row r="4225">
          <cell r="A4225">
            <v>503011301</v>
          </cell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</row>
        <row r="4226">
          <cell r="A4226">
            <v>503011302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</row>
        <row r="4227">
          <cell r="A4227">
            <v>503011303</v>
          </cell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</row>
        <row r="4228">
          <cell r="A4228">
            <v>503012000</v>
          </cell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G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</row>
        <row r="4229">
          <cell r="A4229">
            <v>503012001</v>
          </cell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</row>
        <row r="4230">
          <cell r="A4230">
            <v>503012002</v>
          </cell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</row>
        <row r="4231">
          <cell r="A4231">
            <v>503012003</v>
          </cell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</row>
        <row r="4232">
          <cell r="A4232">
            <v>503020000</v>
          </cell>
          <cell r="C4232">
            <v>0</v>
          </cell>
          <cell r="D4232">
            <v>0</v>
          </cell>
          <cell r="E4232">
            <v>0</v>
          </cell>
          <cell r="F4232">
            <v>5965472</v>
          </cell>
          <cell r="G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262521192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</row>
        <row r="4233">
          <cell r="A4233">
            <v>503020100</v>
          </cell>
          <cell r="C4233">
            <v>0</v>
          </cell>
          <cell r="D4233">
            <v>0</v>
          </cell>
          <cell r="E4233">
            <v>0</v>
          </cell>
          <cell r="F4233">
            <v>5965472</v>
          </cell>
          <cell r="G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262521192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</row>
        <row r="4234">
          <cell r="A4234">
            <v>503020101</v>
          </cell>
          <cell r="C4234">
            <v>0</v>
          </cell>
          <cell r="D4234">
            <v>0</v>
          </cell>
          <cell r="E4234">
            <v>0</v>
          </cell>
          <cell r="F4234">
            <v>5965472</v>
          </cell>
          <cell r="G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</row>
        <row r="4235">
          <cell r="A4235">
            <v>503020102</v>
          </cell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262521192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</row>
        <row r="4236">
          <cell r="A4236">
            <v>503020103</v>
          </cell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</row>
        <row r="4237">
          <cell r="A4237">
            <v>503020104</v>
          </cell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</row>
        <row r="4238">
          <cell r="A4238">
            <v>503020105</v>
          </cell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</row>
        <row r="4239">
          <cell r="A4239">
            <v>503020106</v>
          </cell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</row>
        <row r="4240">
          <cell r="A4240">
            <v>503030000</v>
          </cell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</row>
        <row r="4241">
          <cell r="A4241">
            <v>503030100</v>
          </cell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</row>
        <row r="4242">
          <cell r="A4242">
            <v>503030101</v>
          </cell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</row>
        <row r="4243">
          <cell r="A4243">
            <v>504000000</v>
          </cell>
          <cell r="C4243">
            <v>6176669508</v>
          </cell>
          <cell r="D4243">
            <v>5555835713</v>
          </cell>
          <cell r="E4243">
            <v>3272045639</v>
          </cell>
          <cell r="F4243">
            <v>1512840527</v>
          </cell>
          <cell r="G4243">
            <v>7757695199</v>
          </cell>
          <cell r="H4243">
            <v>19129102923</v>
          </cell>
          <cell r="I4243">
            <v>4934946757</v>
          </cell>
          <cell r="J4243">
            <v>1431150199</v>
          </cell>
          <cell r="K4243">
            <v>642108868</v>
          </cell>
          <cell r="L4243">
            <v>463709703</v>
          </cell>
          <cell r="M4243">
            <v>2000408070</v>
          </cell>
          <cell r="N4243">
            <v>7932927242</v>
          </cell>
          <cell r="O4243">
            <v>2284383699</v>
          </cell>
          <cell r="P4243">
            <v>2308981191</v>
          </cell>
          <cell r="Q4243">
            <v>1083739142</v>
          </cell>
          <cell r="R4243">
            <v>2177807937</v>
          </cell>
          <cell r="S4243">
            <v>575813647</v>
          </cell>
          <cell r="T4243">
            <v>5211573504</v>
          </cell>
          <cell r="U4243">
            <v>0</v>
          </cell>
          <cell r="V4243">
            <v>8978613452</v>
          </cell>
          <cell r="W4243">
            <v>3650326779</v>
          </cell>
          <cell r="X4243">
            <v>4664745671</v>
          </cell>
          <cell r="Y4243">
            <v>917075340</v>
          </cell>
          <cell r="Z4243">
            <v>4853425823</v>
          </cell>
          <cell r="AA4243">
            <v>870055170</v>
          </cell>
          <cell r="AB4243">
            <v>22695814435</v>
          </cell>
          <cell r="AC4243">
            <v>1535397426</v>
          </cell>
          <cell r="AD4243">
            <v>6012600126</v>
          </cell>
          <cell r="AE4243">
            <v>34671086395</v>
          </cell>
          <cell r="AF4243">
            <v>3024107793</v>
          </cell>
          <cell r="AG4243">
            <v>3182805699</v>
          </cell>
          <cell r="AH4243">
            <v>2603514100</v>
          </cell>
          <cell r="AI4243">
            <v>1633233298</v>
          </cell>
        </row>
        <row r="4244">
          <cell r="A4244">
            <v>504010000</v>
          </cell>
          <cell r="C4244">
            <v>3691459768</v>
          </cell>
          <cell r="D4244">
            <v>4185292769</v>
          </cell>
          <cell r="E4244">
            <v>2632901348</v>
          </cell>
          <cell r="F4244">
            <v>1191919640</v>
          </cell>
          <cell r="G4244">
            <v>6141427605</v>
          </cell>
          <cell r="H4244">
            <v>12612187255</v>
          </cell>
          <cell r="I4244">
            <v>2503696391</v>
          </cell>
          <cell r="J4244">
            <v>713468856</v>
          </cell>
          <cell r="K4244">
            <v>488270214</v>
          </cell>
          <cell r="L4244">
            <v>341925911</v>
          </cell>
          <cell r="M4244">
            <v>1575953796</v>
          </cell>
          <cell r="N4244">
            <v>3575225417</v>
          </cell>
          <cell r="O4244">
            <v>2278757368</v>
          </cell>
          <cell r="P4244">
            <v>1527227881</v>
          </cell>
          <cell r="Q4244">
            <v>1076562344</v>
          </cell>
          <cell r="R4244">
            <v>1602371707</v>
          </cell>
          <cell r="S4244">
            <v>561034245</v>
          </cell>
          <cell r="T4244">
            <v>2962735819</v>
          </cell>
          <cell r="U4244">
            <v>0</v>
          </cell>
          <cell r="V4244">
            <v>6977198314</v>
          </cell>
          <cell r="W4244">
            <v>2371240637</v>
          </cell>
          <cell r="X4244">
            <v>3309615426</v>
          </cell>
          <cell r="Y4244">
            <v>538051070</v>
          </cell>
          <cell r="Z4244">
            <v>4623313721</v>
          </cell>
          <cell r="AA4244">
            <v>683677644</v>
          </cell>
          <cell r="AB4244">
            <v>4930090173</v>
          </cell>
          <cell r="AC4244">
            <v>968506784</v>
          </cell>
          <cell r="AD4244">
            <v>3553630307</v>
          </cell>
          <cell r="AE4244">
            <v>13898425010</v>
          </cell>
          <cell r="AF4244">
            <v>1103253256</v>
          </cell>
          <cell r="AG4244">
            <v>1846827494</v>
          </cell>
          <cell r="AH4244">
            <v>1651560124</v>
          </cell>
          <cell r="AI4244">
            <v>1225481158</v>
          </cell>
        </row>
        <row r="4245">
          <cell r="A4245">
            <v>504010100</v>
          </cell>
          <cell r="C4245">
            <v>306927077</v>
          </cell>
          <cell r="D4245">
            <v>1091671222</v>
          </cell>
          <cell r="E4245">
            <v>674556031</v>
          </cell>
          <cell r="F4245">
            <v>214493759</v>
          </cell>
          <cell r="G4245">
            <v>204005952</v>
          </cell>
          <cell r="H4245">
            <v>697436306</v>
          </cell>
          <cell r="I4245">
            <v>202294141</v>
          </cell>
          <cell r="J4245">
            <v>70065844</v>
          </cell>
          <cell r="K4245">
            <v>22352080</v>
          </cell>
          <cell r="L4245">
            <v>103901113</v>
          </cell>
          <cell r="M4245">
            <v>11883656</v>
          </cell>
          <cell r="N4245">
            <v>552164204</v>
          </cell>
          <cell r="O4245">
            <v>566003737</v>
          </cell>
          <cell r="P4245">
            <v>150654752</v>
          </cell>
          <cell r="Q4245">
            <v>188477436</v>
          </cell>
          <cell r="R4245">
            <v>123411134</v>
          </cell>
          <cell r="S4245">
            <v>14824746</v>
          </cell>
          <cell r="T4245">
            <v>176136911</v>
          </cell>
          <cell r="U4245">
            <v>0</v>
          </cell>
          <cell r="V4245">
            <v>776166798</v>
          </cell>
          <cell r="W4245">
            <v>175545496</v>
          </cell>
          <cell r="X4245">
            <v>311596520</v>
          </cell>
          <cell r="Y4245">
            <v>46975404</v>
          </cell>
          <cell r="Z4245">
            <v>171553795</v>
          </cell>
          <cell r="AA4245">
            <v>145981165</v>
          </cell>
          <cell r="AB4245">
            <v>410101085</v>
          </cell>
          <cell r="AC4245">
            <v>78397720</v>
          </cell>
          <cell r="AD4245">
            <v>402639001</v>
          </cell>
          <cell r="AE4245">
            <v>2517044380</v>
          </cell>
          <cell r="AF4245">
            <v>63190863</v>
          </cell>
          <cell r="AG4245">
            <v>112276567</v>
          </cell>
          <cell r="AH4245">
            <v>56252682</v>
          </cell>
          <cell r="AI4245">
            <v>2555248</v>
          </cell>
        </row>
        <row r="4246">
          <cell r="A4246">
            <v>504010101</v>
          </cell>
          <cell r="C4246">
            <v>306927077</v>
          </cell>
          <cell r="D4246">
            <v>1091671222</v>
          </cell>
          <cell r="E4246">
            <v>674556031</v>
          </cell>
          <cell r="F4246">
            <v>214493759</v>
          </cell>
          <cell r="G4246">
            <v>204005952</v>
          </cell>
          <cell r="H4246">
            <v>697436306</v>
          </cell>
          <cell r="I4246">
            <v>202294141</v>
          </cell>
          <cell r="J4246">
            <v>70065844</v>
          </cell>
          <cell r="K4246">
            <v>22352080</v>
          </cell>
          <cell r="L4246">
            <v>103901113</v>
          </cell>
          <cell r="M4246">
            <v>11883656</v>
          </cell>
          <cell r="N4246">
            <v>552164204</v>
          </cell>
          <cell r="O4246">
            <v>566003737</v>
          </cell>
          <cell r="P4246">
            <v>150654752</v>
          </cell>
          <cell r="Q4246">
            <v>188477436</v>
          </cell>
          <cell r="R4246">
            <v>123411134</v>
          </cell>
          <cell r="S4246">
            <v>14824746</v>
          </cell>
          <cell r="T4246">
            <v>176136911</v>
          </cell>
          <cell r="U4246">
            <v>0</v>
          </cell>
          <cell r="V4246">
            <v>776166798</v>
          </cell>
          <cell r="W4246">
            <v>175545496</v>
          </cell>
          <cell r="X4246">
            <v>311596520</v>
          </cell>
          <cell r="Y4246">
            <v>46975404</v>
          </cell>
          <cell r="Z4246">
            <v>171553795</v>
          </cell>
          <cell r="AA4246">
            <v>145981165</v>
          </cell>
          <cell r="AB4246">
            <v>410101085</v>
          </cell>
          <cell r="AC4246">
            <v>78397720</v>
          </cell>
          <cell r="AD4246">
            <v>402639001</v>
          </cell>
          <cell r="AE4246">
            <v>2517044380</v>
          </cell>
          <cell r="AF4246">
            <v>63190863</v>
          </cell>
          <cell r="AG4246">
            <v>112276567</v>
          </cell>
          <cell r="AH4246">
            <v>56252682</v>
          </cell>
          <cell r="AI4246">
            <v>2555248</v>
          </cell>
        </row>
        <row r="4247">
          <cell r="A4247">
            <v>504010200</v>
          </cell>
          <cell r="C4247">
            <v>39189012</v>
          </cell>
          <cell r="D4247">
            <v>272466071</v>
          </cell>
          <cell r="E4247">
            <v>44735313</v>
          </cell>
          <cell r="F4247">
            <v>36131909</v>
          </cell>
          <cell r="G4247">
            <v>91885270</v>
          </cell>
          <cell r="H4247">
            <v>650631542</v>
          </cell>
          <cell r="I4247">
            <v>35600542</v>
          </cell>
          <cell r="J4247">
            <v>4140530</v>
          </cell>
          <cell r="K4247">
            <v>1858055</v>
          </cell>
          <cell r="L4247">
            <v>3929779</v>
          </cell>
          <cell r="M4247">
            <v>6675173</v>
          </cell>
          <cell r="N4247">
            <v>148321294</v>
          </cell>
          <cell r="O4247">
            <v>94249638</v>
          </cell>
          <cell r="P4247">
            <v>144725826</v>
          </cell>
          <cell r="Q4247">
            <v>50415846</v>
          </cell>
          <cell r="R4247">
            <v>44664293</v>
          </cell>
          <cell r="S4247">
            <v>483896</v>
          </cell>
          <cell r="T4247">
            <v>65593306</v>
          </cell>
          <cell r="U4247">
            <v>0</v>
          </cell>
          <cell r="V4247">
            <v>268778943</v>
          </cell>
          <cell r="W4247">
            <v>14351922</v>
          </cell>
          <cell r="X4247">
            <v>287210570</v>
          </cell>
          <cell r="Y4247">
            <v>11530130</v>
          </cell>
          <cell r="Z4247">
            <v>10588178</v>
          </cell>
          <cell r="AA4247">
            <v>26898985</v>
          </cell>
          <cell r="AB4247">
            <v>228831253</v>
          </cell>
          <cell r="AC4247">
            <v>6981729</v>
          </cell>
          <cell r="AD4247">
            <v>96649315</v>
          </cell>
          <cell r="AE4247">
            <v>607592586</v>
          </cell>
          <cell r="AF4247">
            <v>5145422</v>
          </cell>
          <cell r="AG4247">
            <v>107493294</v>
          </cell>
          <cell r="AH4247">
            <v>7698707</v>
          </cell>
          <cell r="AI4247">
            <v>2272495</v>
          </cell>
        </row>
        <row r="4248">
          <cell r="A4248">
            <v>504010201</v>
          </cell>
          <cell r="C4248">
            <v>39189012</v>
          </cell>
          <cell r="D4248">
            <v>272466071</v>
          </cell>
          <cell r="E4248">
            <v>44735313</v>
          </cell>
          <cell r="F4248">
            <v>36131909</v>
          </cell>
          <cell r="G4248">
            <v>91885270</v>
          </cell>
          <cell r="H4248">
            <v>650631542</v>
          </cell>
          <cell r="I4248">
            <v>35600542</v>
          </cell>
          <cell r="J4248">
            <v>4140530</v>
          </cell>
          <cell r="K4248">
            <v>1858055</v>
          </cell>
          <cell r="L4248">
            <v>3929779</v>
          </cell>
          <cell r="M4248">
            <v>6675173</v>
          </cell>
          <cell r="N4248">
            <v>148321294</v>
          </cell>
          <cell r="O4248">
            <v>94249638</v>
          </cell>
          <cell r="P4248">
            <v>144725826</v>
          </cell>
          <cell r="Q4248">
            <v>50415846</v>
          </cell>
          <cell r="R4248">
            <v>44664293</v>
          </cell>
          <cell r="S4248">
            <v>483896</v>
          </cell>
          <cell r="T4248">
            <v>65593306</v>
          </cell>
          <cell r="U4248">
            <v>0</v>
          </cell>
          <cell r="V4248">
            <v>268778943</v>
          </cell>
          <cell r="W4248">
            <v>14351922</v>
          </cell>
          <cell r="X4248">
            <v>287210570</v>
          </cell>
          <cell r="Y4248">
            <v>11530130</v>
          </cell>
          <cell r="Z4248">
            <v>10588178</v>
          </cell>
          <cell r="AA4248">
            <v>26898985</v>
          </cell>
          <cell r="AB4248">
            <v>228831253</v>
          </cell>
          <cell r="AC4248">
            <v>6981729</v>
          </cell>
          <cell r="AD4248">
            <v>96649315</v>
          </cell>
          <cell r="AE4248">
            <v>607592586</v>
          </cell>
          <cell r="AF4248">
            <v>5145422</v>
          </cell>
          <cell r="AG4248">
            <v>107493294</v>
          </cell>
          <cell r="AH4248">
            <v>7698707</v>
          </cell>
          <cell r="AI4248">
            <v>2272495</v>
          </cell>
        </row>
        <row r="4249">
          <cell r="A4249">
            <v>504010300</v>
          </cell>
          <cell r="C4249">
            <v>34802978</v>
          </cell>
          <cell r="D4249">
            <v>41338688</v>
          </cell>
          <cell r="E4249">
            <v>56037877</v>
          </cell>
          <cell r="F4249">
            <v>6055780</v>
          </cell>
          <cell r="G4249">
            <v>12821259</v>
          </cell>
          <cell r="H4249">
            <v>58553697</v>
          </cell>
          <cell r="I4249">
            <v>2906810</v>
          </cell>
          <cell r="J4249">
            <v>41207469</v>
          </cell>
          <cell r="K4249">
            <v>430244</v>
          </cell>
          <cell r="L4249">
            <v>12821098</v>
          </cell>
          <cell r="M4249">
            <v>2199415</v>
          </cell>
          <cell r="N4249">
            <v>56690476</v>
          </cell>
          <cell r="O4249">
            <v>22413289</v>
          </cell>
          <cell r="P4249">
            <v>6672464</v>
          </cell>
          <cell r="Q4249">
            <v>45235755</v>
          </cell>
          <cell r="R4249">
            <v>66585270</v>
          </cell>
          <cell r="S4249">
            <v>5564793</v>
          </cell>
          <cell r="T4249">
            <v>78126920</v>
          </cell>
          <cell r="U4249">
            <v>0</v>
          </cell>
          <cell r="V4249">
            <v>306555669</v>
          </cell>
          <cell r="W4249">
            <v>11330777</v>
          </cell>
          <cell r="X4249">
            <v>51119450</v>
          </cell>
          <cell r="Y4249">
            <v>3017556</v>
          </cell>
          <cell r="Z4249">
            <v>17225041</v>
          </cell>
          <cell r="AA4249">
            <v>3772170</v>
          </cell>
          <cell r="AB4249">
            <v>91148789</v>
          </cell>
          <cell r="AC4249">
            <v>4972777</v>
          </cell>
          <cell r="AD4249">
            <v>19519219</v>
          </cell>
          <cell r="AE4249">
            <v>88779943</v>
          </cell>
          <cell r="AF4249">
            <v>181597447</v>
          </cell>
          <cell r="AG4249">
            <v>44115672</v>
          </cell>
          <cell r="AH4249">
            <v>17616813</v>
          </cell>
          <cell r="AI4249">
            <v>1561202</v>
          </cell>
        </row>
        <row r="4250">
          <cell r="A4250">
            <v>504010301</v>
          </cell>
          <cell r="C4250">
            <v>34802978</v>
          </cell>
          <cell r="D4250">
            <v>41338688</v>
          </cell>
          <cell r="E4250">
            <v>56037877</v>
          </cell>
          <cell r="F4250">
            <v>6055780</v>
          </cell>
          <cell r="G4250">
            <v>12821259</v>
          </cell>
          <cell r="H4250">
            <v>58553697</v>
          </cell>
          <cell r="I4250">
            <v>2906810</v>
          </cell>
          <cell r="J4250">
            <v>41207469</v>
          </cell>
          <cell r="K4250">
            <v>430244</v>
          </cell>
          <cell r="L4250">
            <v>12821098</v>
          </cell>
          <cell r="M4250">
            <v>2199415</v>
          </cell>
          <cell r="N4250">
            <v>56690476</v>
          </cell>
          <cell r="O4250">
            <v>22413289</v>
          </cell>
          <cell r="P4250">
            <v>6672464</v>
          </cell>
          <cell r="Q4250">
            <v>45235755</v>
          </cell>
          <cell r="R4250">
            <v>66585270</v>
          </cell>
          <cell r="S4250">
            <v>5564793</v>
          </cell>
          <cell r="T4250">
            <v>78126920</v>
          </cell>
          <cell r="U4250">
            <v>0</v>
          </cell>
          <cell r="V4250">
            <v>306555669</v>
          </cell>
          <cell r="W4250">
            <v>11330777</v>
          </cell>
          <cell r="X4250">
            <v>51119450</v>
          </cell>
          <cell r="Y4250">
            <v>3017556</v>
          </cell>
          <cell r="Z4250">
            <v>17225041</v>
          </cell>
          <cell r="AA4250">
            <v>3772170</v>
          </cell>
          <cell r="AB4250">
            <v>91148789</v>
          </cell>
          <cell r="AC4250">
            <v>4972777</v>
          </cell>
          <cell r="AD4250">
            <v>19519219</v>
          </cell>
          <cell r="AE4250">
            <v>88779943</v>
          </cell>
          <cell r="AF4250">
            <v>181597447</v>
          </cell>
          <cell r="AG4250">
            <v>44115672</v>
          </cell>
          <cell r="AH4250">
            <v>17616813</v>
          </cell>
          <cell r="AI4250">
            <v>1561202</v>
          </cell>
        </row>
        <row r="4251">
          <cell r="A4251">
            <v>504010400</v>
          </cell>
          <cell r="C4251">
            <v>2401166749</v>
          </cell>
          <cell r="D4251">
            <v>2481191763</v>
          </cell>
          <cell r="E4251">
            <v>536878024</v>
          </cell>
          <cell r="F4251">
            <v>773333238</v>
          </cell>
          <cell r="G4251">
            <v>2892385020</v>
          </cell>
          <cell r="H4251">
            <v>8438710572</v>
          </cell>
          <cell r="I4251">
            <v>2080379490</v>
          </cell>
          <cell r="J4251">
            <v>538577850</v>
          </cell>
          <cell r="K4251">
            <v>395273023</v>
          </cell>
          <cell r="L4251">
            <v>163295670</v>
          </cell>
          <cell r="M4251">
            <v>315338124</v>
          </cell>
          <cell r="N4251">
            <v>1519579507</v>
          </cell>
          <cell r="O4251">
            <v>1264244052</v>
          </cell>
          <cell r="P4251">
            <v>1122201222</v>
          </cell>
          <cell r="Q4251">
            <v>522377953</v>
          </cell>
          <cell r="R4251">
            <v>624861654</v>
          </cell>
          <cell r="S4251">
            <v>467700469</v>
          </cell>
          <cell r="T4251">
            <v>2021723302</v>
          </cell>
          <cell r="U4251">
            <v>0</v>
          </cell>
          <cell r="V4251">
            <v>4694554210</v>
          </cell>
          <cell r="W4251">
            <v>1737084091</v>
          </cell>
          <cell r="X4251">
            <v>1692775050</v>
          </cell>
          <cell r="Y4251">
            <v>287314520</v>
          </cell>
          <cell r="Z4251">
            <v>1739546300</v>
          </cell>
          <cell r="AA4251">
            <v>406345234</v>
          </cell>
          <cell r="AB4251">
            <v>3636543543</v>
          </cell>
          <cell r="AC4251">
            <v>571129033</v>
          </cell>
          <cell r="AD4251">
            <v>2517190585</v>
          </cell>
          <cell r="AE4251">
            <v>8940678500</v>
          </cell>
          <cell r="AF4251">
            <v>551012526</v>
          </cell>
          <cell r="AG4251">
            <v>1435162330</v>
          </cell>
          <cell r="AH4251">
            <v>586345116</v>
          </cell>
          <cell r="AI4251">
            <v>9061514</v>
          </cell>
        </row>
        <row r="4252">
          <cell r="A4252">
            <v>504010401</v>
          </cell>
          <cell r="C4252">
            <v>2401166749</v>
          </cell>
          <cell r="D4252">
            <v>2481191763</v>
          </cell>
          <cell r="E4252">
            <v>536878024</v>
          </cell>
          <cell r="F4252">
            <v>773333238</v>
          </cell>
          <cell r="G4252">
            <v>2892385020</v>
          </cell>
          <cell r="H4252">
            <v>8438710572</v>
          </cell>
          <cell r="I4252">
            <v>2080379490</v>
          </cell>
          <cell r="J4252">
            <v>538577850</v>
          </cell>
          <cell r="K4252">
            <v>395273023</v>
          </cell>
          <cell r="L4252">
            <v>163295670</v>
          </cell>
          <cell r="M4252">
            <v>315338124</v>
          </cell>
          <cell r="N4252">
            <v>1519579507</v>
          </cell>
          <cell r="O4252">
            <v>1264244052</v>
          </cell>
          <cell r="P4252">
            <v>1122201222</v>
          </cell>
          <cell r="Q4252">
            <v>522377953</v>
          </cell>
          <cell r="R4252">
            <v>624861654</v>
          </cell>
          <cell r="S4252">
            <v>467700469</v>
          </cell>
          <cell r="T4252">
            <v>2021723302</v>
          </cell>
          <cell r="U4252">
            <v>0</v>
          </cell>
          <cell r="V4252">
            <v>4694554210</v>
          </cell>
          <cell r="W4252">
            <v>1737084091</v>
          </cell>
          <cell r="X4252">
            <v>1692775050</v>
          </cell>
          <cell r="Y4252">
            <v>287314520</v>
          </cell>
          <cell r="Z4252">
            <v>1739546300</v>
          </cell>
          <cell r="AA4252">
            <v>406345234</v>
          </cell>
          <cell r="AB4252">
            <v>3636543543</v>
          </cell>
          <cell r="AC4252">
            <v>571129033</v>
          </cell>
          <cell r="AD4252">
            <v>2517190585</v>
          </cell>
          <cell r="AE4252">
            <v>8940678500</v>
          </cell>
          <cell r="AF4252">
            <v>551012526</v>
          </cell>
          <cell r="AG4252">
            <v>1435162330</v>
          </cell>
          <cell r="AH4252">
            <v>586345116</v>
          </cell>
          <cell r="AI4252">
            <v>9061514</v>
          </cell>
        </row>
        <row r="4253">
          <cell r="A4253">
            <v>504010500</v>
          </cell>
          <cell r="C4253">
            <v>17421388</v>
          </cell>
          <cell r="D4253">
            <v>0</v>
          </cell>
          <cell r="E4253">
            <v>0</v>
          </cell>
          <cell r="F4253">
            <v>17421388</v>
          </cell>
          <cell r="G4253">
            <v>166872277</v>
          </cell>
          <cell r="H4253">
            <v>17421405</v>
          </cell>
          <cell r="I4253">
            <v>17421388</v>
          </cell>
          <cell r="J4253">
            <v>12892155</v>
          </cell>
          <cell r="K4253">
            <v>17421388</v>
          </cell>
          <cell r="L4253">
            <v>17421388</v>
          </cell>
          <cell r="M4253">
            <v>17421388</v>
          </cell>
          <cell r="N4253">
            <v>0</v>
          </cell>
          <cell r="O4253">
            <v>0</v>
          </cell>
          <cell r="P4253">
            <v>17421388</v>
          </cell>
          <cell r="Q4253">
            <v>0</v>
          </cell>
          <cell r="R4253">
            <v>17421478</v>
          </cell>
          <cell r="S4253">
            <v>17421388</v>
          </cell>
          <cell r="T4253">
            <v>0</v>
          </cell>
          <cell r="U4253">
            <v>0</v>
          </cell>
          <cell r="V4253">
            <v>0</v>
          </cell>
          <cell r="W4253">
            <v>17421405</v>
          </cell>
          <cell r="X4253">
            <v>17421388</v>
          </cell>
          <cell r="Y4253">
            <v>132171872</v>
          </cell>
          <cell r="Z4253">
            <v>20386307</v>
          </cell>
          <cell r="AA4253">
            <v>17421405</v>
          </cell>
          <cell r="AB4253">
            <v>17421405</v>
          </cell>
          <cell r="AC4253">
            <v>17421388</v>
          </cell>
          <cell r="AD4253">
            <v>0</v>
          </cell>
          <cell r="AE4253">
            <v>0</v>
          </cell>
          <cell r="AF4253">
            <v>0</v>
          </cell>
          <cell r="AG4253">
            <v>17421388</v>
          </cell>
          <cell r="AH4253">
            <v>0</v>
          </cell>
          <cell r="AI4253">
            <v>0</v>
          </cell>
        </row>
        <row r="4254">
          <cell r="A4254">
            <v>504010501</v>
          </cell>
          <cell r="C4254">
            <v>17421388</v>
          </cell>
          <cell r="D4254">
            <v>0</v>
          </cell>
          <cell r="E4254">
            <v>0</v>
          </cell>
          <cell r="F4254">
            <v>17421388</v>
          </cell>
          <cell r="G4254">
            <v>166872277</v>
          </cell>
          <cell r="H4254">
            <v>17421405</v>
          </cell>
          <cell r="I4254">
            <v>17421388</v>
          </cell>
          <cell r="J4254">
            <v>12892155</v>
          </cell>
          <cell r="K4254">
            <v>17421388</v>
          </cell>
          <cell r="L4254">
            <v>17421388</v>
          </cell>
          <cell r="M4254">
            <v>17421388</v>
          </cell>
          <cell r="N4254">
            <v>0</v>
          </cell>
          <cell r="O4254">
            <v>0</v>
          </cell>
          <cell r="P4254">
            <v>17421388</v>
          </cell>
          <cell r="Q4254">
            <v>0</v>
          </cell>
          <cell r="R4254">
            <v>17421478</v>
          </cell>
          <cell r="S4254">
            <v>17421388</v>
          </cell>
          <cell r="T4254">
            <v>0</v>
          </cell>
          <cell r="U4254">
            <v>0</v>
          </cell>
          <cell r="V4254">
            <v>0</v>
          </cell>
          <cell r="W4254">
            <v>17421405</v>
          </cell>
          <cell r="X4254">
            <v>17421388</v>
          </cell>
          <cell r="Y4254">
            <v>132171872</v>
          </cell>
          <cell r="Z4254">
            <v>20386307</v>
          </cell>
          <cell r="AA4254">
            <v>17421405</v>
          </cell>
          <cell r="AB4254">
            <v>17421405</v>
          </cell>
          <cell r="AC4254">
            <v>17421388</v>
          </cell>
          <cell r="AD4254">
            <v>0</v>
          </cell>
          <cell r="AE4254">
            <v>0</v>
          </cell>
          <cell r="AF4254">
            <v>0</v>
          </cell>
          <cell r="AG4254">
            <v>17421388</v>
          </cell>
          <cell r="AH4254">
            <v>0</v>
          </cell>
          <cell r="AI4254">
            <v>0</v>
          </cell>
        </row>
        <row r="4255">
          <cell r="A4255">
            <v>504010600</v>
          </cell>
          <cell r="C4255">
            <v>37520675</v>
          </cell>
          <cell r="D4255">
            <v>119466003</v>
          </cell>
          <cell r="E4255">
            <v>123476427</v>
          </cell>
          <cell r="F4255">
            <v>42011008</v>
          </cell>
          <cell r="G4255">
            <v>60346854</v>
          </cell>
          <cell r="H4255">
            <v>213078410</v>
          </cell>
          <cell r="I4255">
            <v>86731059</v>
          </cell>
          <cell r="J4255">
            <v>8403099</v>
          </cell>
          <cell r="K4255">
            <v>4142317</v>
          </cell>
          <cell r="L4255">
            <v>12592547</v>
          </cell>
          <cell r="M4255">
            <v>24703263</v>
          </cell>
          <cell r="N4255">
            <v>177087116</v>
          </cell>
          <cell r="O4255">
            <v>66692543</v>
          </cell>
          <cell r="P4255">
            <v>44686166</v>
          </cell>
          <cell r="Q4255">
            <v>82055246</v>
          </cell>
          <cell r="R4255">
            <v>66041121</v>
          </cell>
          <cell r="S4255">
            <v>6164577</v>
          </cell>
          <cell r="T4255">
            <v>85606906</v>
          </cell>
          <cell r="U4255">
            <v>0</v>
          </cell>
          <cell r="V4255">
            <v>189947614</v>
          </cell>
          <cell r="W4255">
            <v>254622725</v>
          </cell>
          <cell r="X4255">
            <v>172075863</v>
          </cell>
          <cell r="Y4255">
            <v>4828154</v>
          </cell>
          <cell r="Z4255">
            <v>1332022552</v>
          </cell>
          <cell r="AA4255">
            <v>19990058</v>
          </cell>
          <cell r="AB4255">
            <v>119579245</v>
          </cell>
          <cell r="AC4255">
            <v>18961055</v>
          </cell>
          <cell r="AD4255">
            <v>133812441</v>
          </cell>
          <cell r="AE4255">
            <v>1056774264</v>
          </cell>
          <cell r="AF4255">
            <v>43702460</v>
          </cell>
          <cell r="AG4255">
            <v>24488267</v>
          </cell>
          <cell r="AH4255">
            <v>59151028</v>
          </cell>
          <cell r="AI4255">
            <v>12237</v>
          </cell>
        </row>
        <row r="4256">
          <cell r="A4256">
            <v>504010601</v>
          </cell>
          <cell r="C4256">
            <v>37520675</v>
          </cell>
          <cell r="D4256">
            <v>119466003</v>
          </cell>
          <cell r="E4256">
            <v>123476427</v>
          </cell>
          <cell r="F4256">
            <v>42011008</v>
          </cell>
          <cell r="G4256">
            <v>60346854</v>
          </cell>
          <cell r="H4256">
            <v>213078410</v>
          </cell>
          <cell r="I4256">
            <v>86731059</v>
          </cell>
          <cell r="J4256">
            <v>8403099</v>
          </cell>
          <cell r="K4256">
            <v>4142317</v>
          </cell>
          <cell r="L4256">
            <v>12592547</v>
          </cell>
          <cell r="M4256">
            <v>24703263</v>
          </cell>
          <cell r="N4256">
            <v>177087116</v>
          </cell>
          <cell r="O4256">
            <v>66692543</v>
          </cell>
          <cell r="P4256">
            <v>44686166</v>
          </cell>
          <cell r="Q4256">
            <v>82055246</v>
          </cell>
          <cell r="R4256">
            <v>66041121</v>
          </cell>
          <cell r="S4256">
            <v>6164577</v>
          </cell>
          <cell r="T4256">
            <v>85606906</v>
          </cell>
          <cell r="U4256">
            <v>0</v>
          </cell>
          <cell r="V4256">
            <v>189947614</v>
          </cell>
          <cell r="W4256">
            <v>254622725</v>
          </cell>
          <cell r="X4256">
            <v>172075863</v>
          </cell>
          <cell r="Y4256">
            <v>4828154</v>
          </cell>
          <cell r="Z4256">
            <v>1332022552</v>
          </cell>
          <cell r="AA4256">
            <v>19990058</v>
          </cell>
          <cell r="AB4256">
            <v>119579245</v>
          </cell>
          <cell r="AC4256">
            <v>18961055</v>
          </cell>
          <cell r="AD4256">
            <v>133812441</v>
          </cell>
          <cell r="AE4256">
            <v>1056774264</v>
          </cell>
          <cell r="AF4256">
            <v>43702460</v>
          </cell>
          <cell r="AG4256">
            <v>24488267</v>
          </cell>
          <cell r="AH4256">
            <v>59151028</v>
          </cell>
          <cell r="AI4256">
            <v>12237</v>
          </cell>
        </row>
        <row r="4257">
          <cell r="A4257">
            <v>504010700</v>
          </cell>
          <cell r="C4257">
            <v>1396446</v>
          </cell>
          <cell r="D4257">
            <v>10552134</v>
          </cell>
          <cell r="E4257">
            <v>0</v>
          </cell>
          <cell r="F4257">
            <v>3406928</v>
          </cell>
          <cell r="G4257">
            <v>1807213</v>
          </cell>
          <cell r="H4257">
            <v>18495486</v>
          </cell>
          <cell r="I4257">
            <v>2592212</v>
          </cell>
          <cell r="J4257">
            <v>601220</v>
          </cell>
          <cell r="K4257">
            <v>2678</v>
          </cell>
          <cell r="L4257">
            <v>103157</v>
          </cell>
          <cell r="M4257">
            <v>1055633</v>
          </cell>
          <cell r="N4257">
            <v>11197162</v>
          </cell>
          <cell r="O4257">
            <v>1358243</v>
          </cell>
          <cell r="P4257">
            <v>1074505</v>
          </cell>
          <cell r="Q4257">
            <v>3113559</v>
          </cell>
          <cell r="R4257">
            <v>2326959</v>
          </cell>
          <cell r="S4257">
            <v>161345</v>
          </cell>
          <cell r="T4257">
            <v>840478</v>
          </cell>
          <cell r="U4257">
            <v>0</v>
          </cell>
          <cell r="V4257">
            <v>4046154</v>
          </cell>
          <cell r="W4257">
            <v>1616640</v>
          </cell>
          <cell r="X4257">
            <v>7310511</v>
          </cell>
          <cell r="Y4257">
            <v>35901</v>
          </cell>
          <cell r="Z4257">
            <v>9244105</v>
          </cell>
          <cell r="AA4257">
            <v>1842211</v>
          </cell>
          <cell r="AB4257">
            <v>11743826</v>
          </cell>
          <cell r="AC4257">
            <v>2181648</v>
          </cell>
          <cell r="AD4257">
            <v>4804243</v>
          </cell>
          <cell r="AE4257">
            <v>23101088</v>
          </cell>
          <cell r="AF4257">
            <v>1894011</v>
          </cell>
          <cell r="AG4257">
            <v>2671741</v>
          </cell>
          <cell r="AH4257">
            <v>2262065</v>
          </cell>
          <cell r="AI4257">
            <v>0</v>
          </cell>
        </row>
        <row r="4258">
          <cell r="A4258">
            <v>504010701</v>
          </cell>
          <cell r="C4258">
            <v>1396446</v>
          </cell>
          <cell r="D4258">
            <v>10552134</v>
          </cell>
          <cell r="E4258">
            <v>0</v>
          </cell>
          <cell r="F4258">
            <v>3406928</v>
          </cell>
          <cell r="G4258">
            <v>1807213</v>
          </cell>
          <cell r="H4258">
            <v>18495486</v>
          </cell>
          <cell r="I4258">
            <v>2592212</v>
          </cell>
          <cell r="J4258">
            <v>601220</v>
          </cell>
          <cell r="K4258">
            <v>2678</v>
          </cell>
          <cell r="L4258">
            <v>103157</v>
          </cell>
          <cell r="M4258">
            <v>1055633</v>
          </cell>
          <cell r="N4258">
            <v>11197162</v>
          </cell>
          <cell r="O4258">
            <v>1358243</v>
          </cell>
          <cell r="P4258">
            <v>1074505</v>
          </cell>
          <cell r="Q4258">
            <v>3113559</v>
          </cell>
          <cell r="R4258">
            <v>2326959</v>
          </cell>
          <cell r="S4258">
            <v>161345</v>
          </cell>
          <cell r="T4258">
            <v>840478</v>
          </cell>
          <cell r="U4258">
            <v>0</v>
          </cell>
          <cell r="V4258">
            <v>4046154</v>
          </cell>
          <cell r="W4258">
            <v>1616640</v>
          </cell>
          <cell r="X4258">
            <v>7310511</v>
          </cell>
          <cell r="Y4258">
            <v>35901</v>
          </cell>
          <cell r="Z4258">
            <v>9244105</v>
          </cell>
          <cell r="AA4258">
            <v>1842211</v>
          </cell>
          <cell r="AB4258">
            <v>11743826</v>
          </cell>
          <cell r="AC4258">
            <v>2181648</v>
          </cell>
          <cell r="AD4258">
            <v>4804243</v>
          </cell>
          <cell r="AE4258">
            <v>23101088</v>
          </cell>
          <cell r="AF4258">
            <v>1894011</v>
          </cell>
          <cell r="AG4258">
            <v>2671741</v>
          </cell>
          <cell r="AH4258">
            <v>2262065</v>
          </cell>
          <cell r="AI4258">
            <v>0</v>
          </cell>
        </row>
        <row r="4259">
          <cell r="A4259">
            <v>504010800</v>
          </cell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1167277808</v>
          </cell>
          <cell r="N4259">
            <v>386739184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79956049</v>
          </cell>
          <cell r="AG4259">
            <v>0</v>
          </cell>
          <cell r="AH4259">
            <v>0</v>
          </cell>
          <cell r="AI4259">
            <v>1105987242</v>
          </cell>
        </row>
        <row r="4260">
          <cell r="A4260">
            <v>504010801</v>
          </cell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1167277808</v>
          </cell>
          <cell r="N4260">
            <v>386739184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79956049</v>
          </cell>
          <cell r="AG4260">
            <v>0</v>
          </cell>
          <cell r="AH4260">
            <v>0</v>
          </cell>
          <cell r="AI4260">
            <v>1105987242</v>
          </cell>
        </row>
        <row r="4261">
          <cell r="A4261">
            <v>504010900</v>
          </cell>
          <cell r="C4261">
            <v>27653045</v>
          </cell>
          <cell r="D4261">
            <v>1634113</v>
          </cell>
          <cell r="E4261">
            <v>12915832</v>
          </cell>
          <cell r="F4261">
            <v>4150155</v>
          </cell>
          <cell r="G4261">
            <v>93265065</v>
          </cell>
          <cell r="H4261">
            <v>33182007</v>
          </cell>
          <cell r="I4261">
            <v>2588103</v>
          </cell>
          <cell r="J4261">
            <v>5253532</v>
          </cell>
          <cell r="K4261">
            <v>2790398</v>
          </cell>
          <cell r="L4261">
            <v>601574</v>
          </cell>
          <cell r="M4261">
            <v>0</v>
          </cell>
          <cell r="N4261">
            <v>88219896</v>
          </cell>
          <cell r="O4261">
            <v>103808981</v>
          </cell>
          <cell r="P4261">
            <v>0</v>
          </cell>
          <cell r="Q4261">
            <v>541214</v>
          </cell>
          <cell r="R4261">
            <v>26007451</v>
          </cell>
          <cell r="S4261">
            <v>326556</v>
          </cell>
          <cell r="T4261">
            <v>16429974</v>
          </cell>
          <cell r="U4261">
            <v>0</v>
          </cell>
          <cell r="V4261">
            <v>222781621</v>
          </cell>
          <cell r="W4261">
            <v>105310590</v>
          </cell>
          <cell r="X4261">
            <v>34524287</v>
          </cell>
          <cell r="Y4261">
            <v>239882</v>
          </cell>
          <cell r="Z4261">
            <v>10836892</v>
          </cell>
          <cell r="AA4261">
            <v>24777142</v>
          </cell>
          <cell r="AB4261">
            <v>55949006</v>
          </cell>
          <cell r="AC4261">
            <v>3490257</v>
          </cell>
          <cell r="AD4261">
            <v>49700145</v>
          </cell>
          <cell r="AE4261">
            <v>272169732</v>
          </cell>
          <cell r="AF4261">
            <v>11549605</v>
          </cell>
          <cell r="AG4261">
            <v>5324261</v>
          </cell>
          <cell r="AH4261">
            <v>49266345</v>
          </cell>
          <cell r="AI4261">
            <v>10178761</v>
          </cell>
        </row>
        <row r="4262">
          <cell r="A4262">
            <v>504010901</v>
          </cell>
          <cell r="C4262">
            <v>27653045</v>
          </cell>
          <cell r="D4262">
            <v>1634113</v>
          </cell>
          <cell r="E4262">
            <v>12915832</v>
          </cell>
          <cell r="F4262">
            <v>4150155</v>
          </cell>
          <cell r="G4262">
            <v>93265065</v>
          </cell>
          <cell r="H4262">
            <v>33182007</v>
          </cell>
          <cell r="I4262">
            <v>2588103</v>
          </cell>
          <cell r="J4262">
            <v>5253532</v>
          </cell>
          <cell r="K4262">
            <v>2790398</v>
          </cell>
          <cell r="L4262">
            <v>601574</v>
          </cell>
          <cell r="M4262">
            <v>0</v>
          </cell>
          <cell r="N4262">
            <v>88219896</v>
          </cell>
          <cell r="O4262">
            <v>103808981</v>
          </cell>
          <cell r="P4262">
            <v>0</v>
          </cell>
          <cell r="Q4262">
            <v>541214</v>
          </cell>
          <cell r="R4262">
            <v>26007451</v>
          </cell>
          <cell r="S4262">
            <v>326556</v>
          </cell>
          <cell r="T4262">
            <v>16429974</v>
          </cell>
          <cell r="U4262">
            <v>0</v>
          </cell>
          <cell r="V4262">
            <v>222781621</v>
          </cell>
          <cell r="W4262">
            <v>105310590</v>
          </cell>
          <cell r="X4262">
            <v>34524287</v>
          </cell>
          <cell r="Y4262">
            <v>239882</v>
          </cell>
          <cell r="Z4262">
            <v>10836892</v>
          </cell>
          <cell r="AA4262">
            <v>24777142</v>
          </cell>
          <cell r="AB4262">
            <v>55949006</v>
          </cell>
          <cell r="AC4262">
            <v>3490257</v>
          </cell>
          <cell r="AD4262">
            <v>49700145</v>
          </cell>
          <cell r="AE4262">
            <v>272169732</v>
          </cell>
          <cell r="AF4262">
            <v>11549605</v>
          </cell>
          <cell r="AG4262">
            <v>5324261</v>
          </cell>
          <cell r="AH4262">
            <v>49266345</v>
          </cell>
          <cell r="AI4262">
            <v>10178761</v>
          </cell>
        </row>
        <row r="4263">
          <cell r="A4263">
            <v>504011000</v>
          </cell>
          <cell r="C4263">
            <v>292199365</v>
          </cell>
          <cell r="D4263">
            <v>39291939</v>
          </cell>
          <cell r="E4263">
            <v>75316611</v>
          </cell>
          <cell r="F4263">
            <v>25609449</v>
          </cell>
          <cell r="G4263">
            <v>200668023</v>
          </cell>
          <cell r="H4263">
            <v>87090589</v>
          </cell>
          <cell r="I4263">
            <v>65508545</v>
          </cell>
          <cell r="J4263">
            <v>24412789</v>
          </cell>
          <cell r="K4263">
            <v>20418008</v>
          </cell>
          <cell r="L4263">
            <v>20653303</v>
          </cell>
          <cell r="M4263">
            <v>22964674</v>
          </cell>
          <cell r="N4263">
            <v>65944454</v>
          </cell>
          <cell r="O4263">
            <v>53796639</v>
          </cell>
          <cell r="P4263">
            <v>25174804</v>
          </cell>
          <cell r="Q4263">
            <v>34900896</v>
          </cell>
          <cell r="R4263">
            <v>65991023</v>
          </cell>
          <cell r="S4263">
            <v>22302536</v>
          </cell>
          <cell r="T4263">
            <v>45290934</v>
          </cell>
          <cell r="U4263">
            <v>0</v>
          </cell>
          <cell r="V4263">
            <v>110547308</v>
          </cell>
          <cell r="W4263">
            <v>26678747</v>
          </cell>
          <cell r="X4263">
            <v>42882033</v>
          </cell>
          <cell r="Y4263">
            <v>24963121</v>
          </cell>
          <cell r="Z4263">
            <v>40374839</v>
          </cell>
          <cell r="AA4263">
            <v>27028421</v>
          </cell>
          <cell r="AB4263">
            <v>112936301</v>
          </cell>
          <cell r="AC4263">
            <v>26272334</v>
          </cell>
          <cell r="AD4263">
            <v>33196896</v>
          </cell>
          <cell r="AE4263">
            <v>115585753</v>
          </cell>
          <cell r="AF4263">
            <v>33059940</v>
          </cell>
          <cell r="AG4263">
            <v>27795310</v>
          </cell>
          <cell r="AH4263">
            <v>3026014</v>
          </cell>
          <cell r="AI4263">
            <v>2338404</v>
          </cell>
        </row>
        <row r="4264">
          <cell r="A4264">
            <v>504011001</v>
          </cell>
          <cell r="C4264">
            <v>292199365</v>
          </cell>
          <cell r="D4264">
            <v>39291939</v>
          </cell>
          <cell r="E4264">
            <v>75316611</v>
          </cell>
          <cell r="F4264">
            <v>25609449</v>
          </cell>
          <cell r="G4264">
            <v>200668023</v>
          </cell>
          <cell r="H4264">
            <v>87090589</v>
          </cell>
          <cell r="I4264">
            <v>65508545</v>
          </cell>
          <cell r="J4264">
            <v>24412789</v>
          </cell>
          <cell r="K4264">
            <v>20418008</v>
          </cell>
          <cell r="L4264">
            <v>20653303</v>
          </cell>
          <cell r="M4264">
            <v>22964674</v>
          </cell>
          <cell r="N4264">
            <v>65944454</v>
          </cell>
          <cell r="O4264">
            <v>53796639</v>
          </cell>
          <cell r="P4264">
            <v>25174804</v>
          </cell>
          <cell r="Q4264">
            <v>34900896</v>
          </cell>
          <cell r="R4264">
            <v>65991023</v>
          </cell>
          <cell r="S4264">
            <v>22302536</v>
          </cell>
          <cell r="T4264">
            <v>45290934</v>
          </cell>
          <cell r="U4264">
            <v>0</v>
          </cell>
          <cell r="V4264">
            <v>110547308</v>
          </cell>
          <cell r="W4264">
            <v>26678747</v>
          </cell>
          <cell r="X4264">
            <v>42882033</v>
          </cell>
          <cell r="Y4264">
            <v>24963121</v>
          </cell>
          <cell r="Z4264">
            <v>40374839</v>
          </cell>
          <cell r="AA4264">
            <v>27028421</v>
          </cell>
          <cell r="AB4264">
            <v>112936301</v>
          </cell>
          <cell r="AC4264">
            <v>26272334</v>
          </cell>
          <cell r="AD4264">
            <v>33196896</v>
          </cell>
          <cell r="AE4264">
            <v>115585753</v>
          </cell>
          <cell r="AF4264">
            <v>33059940</v>
          </cell>
          <cell r="AG4264">
            <v>27795310</v>
          </cell>
          <cell r="AH4264">
            <v>3026014</v>
          </cell>
          <cell r="AI4264">
            <v>2338404</v>
          </cell>
        </row>
        <row r="4265">
          <cell r="A4265">
            <v>504011100</v>
          </cell>
          <cell r="C4265">
            <v>3241601</v>
          </cell>
          <cell r="D4265">
            <v>2793170</v>
          </cell>
          <cell r="E4265">
            <v>283760</v>
          </cell>
          <cell r="F4265">
            <v>0</v>
          </cell>
          <cell r="G4265">
            <v>9747705</v>
          </cell>
          <cell r="H4265">
            <v>19770918</v>
          </cell>
          <cell r="I4265">
            <v>60507</v>
          </cell>
          <cell r="J4265">
            <v>2655607</v>
          </cell>
          <cell r="K4265">
            <v>0</v>
          </cell>
          <cell r="L4265">
            <v>255798</v>
          </cell>
          <cell r="M4265">
            <v>0</v>
          </cell>
          <cell r="N4265">
            <v>5749351</v>
          </cell>
          <cell r="O4265">
            <v>2243138</v>
          </cell>
          <cell r="P4265">
            <v>728666</v>
          </cell>
          <cell r="Q4265">
            <v>1238159</v>
          </cell>
          <cell r="R4265">
            <v>1293212</v>
          </cell>
          <cell r="S4265">
            <v>0</v>
          </cell>
          <cell r="T4265">
            <v>1563151</v>
          </cell>
          <cell r="U4265">
            <v>0</v>
          </cell>
          <cell r="V4265">
            <v>4598540</v>
          </cell>
          <cell r="W4265">
            <v>1080140</v>
          </cell>
          <cell r="X4265">
            <v>11379999</v>
          </cell>
          <cell r="Y4265">
            <v>0</v>
          </cell>
          <cell r="Z4265">
            <v>1794746</v>
          </cell>
          <cell r="AA4265">
            <v>0</v>
          </cell>
          <cell r="AB4265">
            <v>13108883</v>
          </cell>
          <cell r="AC4265">
            <v>0</v>
          </cell>
          <cell r="AD4265">
            <v>0</v>
          </cell>
          <cell r="AE4265">
            <v>39966316</v>
          </cell>
          <cell r="AF4265">
            <v>0</v>
          </cell>
          <cell r="AG4265">
            <v>859763</v>
          </cell>
          <cell r="AH4265">
            <v>0</v>
          </cell>
          <cell r="AI4265">
            <v>530984</v>
          </cell>
        </row>
        <row r="4266">
          <cell r="A4266">
            <v>504011101</v>
          </cell>
          <cell r="C4266">
            <v>3241601</v>
          </cell>
          <cell r="D4266">
            <v>2793170</v>
          </cell>
          <cell r="E4266">
            <v>283760</v>
          </cell>
          <cell r="F4266">
            <v>0</v>
          </cell>
          <cell r="G4266">
            <v>9747705</v>
          </cell>
          <cell r="H4266">
            <v>19770918</v>
          </cell>
          <cell r="I4266">
            <v>60507</v>
          </cell>
          <cell r="J4266">
            <v>2655607</v>
          </cell>
          <cell r="K4266">
            <v>0</v>
          </cell>
          <cell r="L4266">
            <v>255798</v>
          </cell>
          <cell r="M4266">
            <v>0</v>
          </cell>
          <cell r="N4266">
            <v>5749351</v>
          </cell>
          <cell r="O4266">
            <v>2243138</v>
          </cell>
          <cell r="P4266">
            <v>728666</v>
          </cell>
          <cell r="Q4266">
            <v>1238159</v>
          </cell>
          <cell r="R4266">
            <v>1293212</v>
          </cell>
          <cell r="S4266">
            <v>0</v>
          </cell>
          <cell r="T4266">
            <v>1563151</v>
          </cell>
          <cell r="U4266">
            <v>0</v>
          </cell>
          <cell r="V4266">
            <v>4598540</v>
          </cell>
          <cell r="W4266">
            <v>1080140</v>
          </cell>
          <cell r="X4266">
            <v>11379999</v>
          </cell>
          <cell r="Y4266">
            <v>0</v>
          </cell>
          <cell r="Z4266">
            <v>1794746</v>
          </cell>
          <cell r="AA4266">
            <v>0</v>
          </cell>
          <cell r="AB4266">
            <v>13108883</v>
          </cell>
          <cell r="AC4266">
            <v>0</v>
          </cell>
          <cell r="AD4266">
            <v>0</v>
          </cell>
          <cell r="AE4266">
            <v>39966316</v>
          </cell>
          <cell r="AF4266">
            <v>0</v>
          </cell>
          <cell r="AG4266">
            <v>859763</v>
          </cell>
          <cell r="AH4266">
            <v>0</v>
          </cell>
          <cell r="AI4266">
            <v>530984</v>
          </cell>
        </row>
        <row r="4267">
          <cell r="A4267">
            <v>504011200</v>
          </cell>
          <cell r="C4267">
            <v>75943682</v>
          </cell>
          <cell r="D4267">
            <v>18569105</v>
          </cell>
          <cell r="E4267">
            <v>29423020</v>
          </cell>
          <cell r="F4267">
            <v>11043361</v>
          </cell>
          <cell r="G4267">
            <v>38740232</v>
          </cell>
          <cell r="H4267">
            <v>104994248</v>
          </cell>
          <cell r="I4267">
            <v>2836215</v>
          </cell>
          <cell r="J4267">
            <v>215408</v>
          </cell>
          <cell r="K4267">
            <v>84402</v>
          </cell>
          <cell r="L4267">
            <v>109424</v>
          </cell>
          <cell r="M4267">
            <v>1099577</v>
          </cell>
          <cell r="N4267">
            <v>42265450</v>
          </cell>
          <cell r="O4267">
            <v>32421778</v>
          </cell>
          <cell r="P4267">
            <v>6274058</v>
          </cell>
          <cell r="Q4267">
            <v>9185017</v>
          </cell>
          <cell r="R4267">
            <v>205502607</v>
          </cell>
          <cell r="S4267">
            <v>2120418</v>
          </cell>
          <cell r="T4267">
            <v>39945503</v>
          </cell>
          <cell r="U4267">
            <v>0</v>
          </cell>
          <cell r="V4267">
            <v>117889301</v>
          </cell>
          <cell r="W4267">
            <v>5121549</v>
          </cell>
          <cell r="X4267">
            <v>34432211</v>
          </cell>
          <cell r="Y4267">
            <v>525000</v>
          </cell>
          <cell r="Z4267">
            <v>17105508</v>
          </cell>
          <cell r="AA4267">
            <v>821772</v>
          </cell>
          <cell r="AB4267">
            <v>32618568</v>
          </cell>
          <cell r="AC4267">
            <v>5373412</v>
          </cell>
          <cell r="AD4267">
            <v>96552021</v>
          </cell>
          <cell r="AE4267">
            <v>114068103</v>
          </cell>
          <cell r="AF4267">
            <v>41549261</v>
          </cell>
          <cell r="AG4267">
            <v>2734772</v>
          </cell>
          <cell r="AH4267">
            <v>12147421</v>
          </cell>
          <cell r="AI4267">
            <v>12458344</v>
          </cell>
        </row>
        <row r="4268">
          <cell r="A4268">
            <v>504011201</v>
          </cell>
          <cell r="C4268">
            <v>75943682</v>
          </cell>
          <cell r="D4268">
            <v>18569105</v>
          </cell>
          <cell r="E4268">
            <v>29423020</v>
          </cell>
          <cell r="F4268">
            <v>11043361</v>
          </cell>
          <cell r="G4268">
            <v>38740232</v>
          </cell>
          <cell r="H4268">
            <v>104994248</v>
          </cell>
          <cell r="I4268">
            <v>2836215</v>
          </cell>
          <cell r="J4268">
            <v>215408</v>
          </cell>
          <cell r="K4268">
            <v>84402</v>
          </cell>
          <cell r="L4268">
            <v>109424</v>
          </cell>
          <cell r="M4268">
            <v>1099577</v>
          </cell>
          <cell r="N4268">
            <v>42265450</v>
          </cell>
          <cell r="O4268">
            <v>32421778</v>
          </cell>
          <cell r="P4268">
            <v>6274058</v>
          </cell>
          <cell r="Q4268">
            <v>9185017</v>
          </cell>
          <cell r="R4268">
            <v>205502607</v>
          </cell>
          <cell r="S4268">
            <v>2120418</v>
          </cell>
          <cell r="T4268">
            <v>39945503</v>
          </cell>
          <cell r="U4268">
            <v>0</v>
          </cell>
          <cell r="V4268">
            <v>117889301</v>
          </cell>
          <cell r="W4268">
            <v>5121549</v>
          </cell>
          <cell r="X4268">
            <v>34432211</v>
          </cell>
          <cell r="Y4268">
            <v>525000</v>
          </cell>
          <cell r="Z4268">
            <v>17105508</v>
          </cell>
          <cell r="AA4268">
            <v>821772</v>
          </cell>
          <cell r="AB4268">
            <v>32618568</v>
          </cell>
          <cell r="AC4268">
            <v>5373412</v>
          </cell>
          <cell r="AD4268">
            <v>96552021</v>
          </cell>
          <cell r="AE4268">
            <v>114068103</v>
          </cell>
          <cell r="AF4268">
            <v>41549261</v>
          </cell>
          <cell r="AG4268">
            <v>2734772</v>
          </cell>
          <cell r="AH4268">
            <v>12147421</v>
          </cell>
          <cell r="AI4268">
            <v>12458344</v>
          </cell>
        </row>
        <row r="4269">
          <cell r="A4269">
            <v>504011300</v>
          </cell>
          <cell r="C4269">
            <v>448342431</v>
          </cell>
          <cell r="D4269">
            <v>0</v>
          </cell>
          <cell r="E4269">
            <v>40300021</v>
          </cell>
          <cell r="F4269">
            <v>48760809</v>
          </cell>
          <cell r="G4269">
            <v>124025759</v>
          </cell>
          <cell r="H4269">
            <v>629234287</v>
          </cell>
          <cell r="I4269">
            <v>2131960</v>
          </cell>
          <cell r="J4269">
            <v>5043353</v>
          </cell>
          <cell r="K4269">
            <v>22727</v>
          </cell>
          <cell r="L4269">
            <v>5037937</v>
          </cell>
          <cell r="M4269">
            <v>5335085</v>
          </cell>
          <cell r="N4269">
            <v>405276370</v>
          </cell>
          <cell r="O4269">
            <v>71246547</v>
          </cell>
          <cell r="P4269">
            <v>7543605</v>
          </cell>
          <cell r="Q4269">
            <v>139021263</v>
          </cell>
          <cell r="R4269">
            <v>202729811</v>
          </cell>
          <cell r="S4269">
            <v>23963521</v>
          </cell>
          <cell r="T4269">
            <v>22122088</v>
          </cell>
          <cell r="U4269">
            <v>0</v>
          </cell>
          <cell r="V4269">
            <v>52447692</v>
          </cell>
          <cell r="W4269">
            <v>13114288</v>
          </cell>
          <cell r="X4269">
            <v>128740664</v>
          </cell>
          <cell r="Y4269">
            <v>26449530</v>
          </cell>
          <cell r="Z4269">
            <v>12815310</v>
          </cell>
          <cell r="AA4269">
            <v>7909712</v>
          </cell>
          <cell r="AB4269">
            <v>176768628</v>
          </cell>
          <cell r="AC4269">
            <v>229607781</v>
          </cell>
          <cell r="AD4269">
            <v>51119864</v>
          </cell>
          <cell r="AE4269">
            <v>56939950</v>
          </cell>
          <cell r="AF4269">
            <v>21033580</v>
          </cell>
          <cell r="AG4269">
            <v>64445037</v>
          </cell>
          <cell r="AH4269">
            <v>8843028</v>
          </cell>
          <cell r="AI4269">
            <v>5842457</v>
          </cell>
        </row>
        <row r="4270">
          <cell r="A4270">
            <v>504011301</v>
          </cell>
          <cell r="C4270">
            <v>448342431</v>
          </cell>
          <cell r="D4270">
            <v>0</v>
          </cell>
          <cell r="E4270">
            <v>40300021</v>
          </cell>
          <cell r="F4270">
            <v>48760809</v>
          </cell>
          <cell r="G4270">
            <v>124025759</v>
          </cell>
          <cell r="H4270">
            <v>629234287</v>
          </cell>
          <cell r="I4270">
            <v>2131960</v>
          </cell>
          <cell r="J4270">
            <v>5043353</v>
          </cell>
          <cell r="K4270">
            <v>22727</v>
          </cell>
          <cell r="L4270">
            <v>5037937</v>
          </cell>
          <cell r="M4270">
            <v>5335085</v>
          </cell>
          <cell r="N4270">
            <v>405276370</v>
          </cell>
          <cell r="O4270">
            <v>71246547</v>
          </cell>
          <cell r="P4270">
            <v>7543605</v>
          </cell>
          <cell r="Q4270">
            <v>139021263</v>
          </cell>
          <cell r="R4270">
            <v>202729811</v>
          </cell>
          <cell r="S4270">
            <v>23963521</v>
          </cell>
          <cell r="T4270">
            <v>22122088</v>
          </cell>
          <cell r="U4270">
            <v>0</v>
          </cell>
          <cell r="V4270">
            <v>52447692</v>
          </cell>
          <cell r="W4270">
            <v>13114288</v>
          </cell>
          <cell r="X4270">
            <v>128740664</v>
          </cell>
          <cell r="Y4270">
            <v>26449530</v>
          </cell>
          <cell r="Z4270">
            <v>12815310</v>
          </cell>
          <cell r="AA4270">
            <v>7909712</v>
          </cell>
          <cell r="AB4270">
            <v>176768628</v>
          </cell>
          <cell r="AC4270">
            <v>229607781</v>
          </cell>
          <cell r="AD4270">
            <v>51119864</v>
          </cell>
          <cell r="AE4270">
            <v>56939950</v>
          </cell>
          <cell r="AF4270">
            <v>21033580</v>
          </cell>
          <cell r="AG4270">
            <v>64445037</v>
          </cell>
          <cell r="AH4270">
            <v>8843028</v>
          </cell>
          <cell r="AI4270">
            <v>5842457</v>
          </cell>
        </row>
        <row r="4271">
          <cell r="A4271">
            <v>504012000</v>
          </cell>
          <cell r="C4271">
            <v>5655319</v>
          </cell>
          <cell r="D4271">
            <v>106318561</v>
          </cell>
          <cell r="E4271">
            <v>1038978432</v>
          </cell>
          <cell r="F4271">
            <v>9501856</v>
          </cell>
          <cell r="G4271">
            <v>2244856976</v>
          </cell>
          <cell r="H4271">
            <v>1643587788</v>
          </cell>
          <cell r="I4271">
            <v>2645419</v>
          </cell>
          <cell r="J4271">
            <v>0</v>
          </cell>
          <cell r="K4271">
            <v>23474894</v>
          </cell>
          <cell r="L4271">
            <v>1203123</v>
          </cell>
          <cell r="M4271">
            <v>0</v>
          </cell>
          <cell r="N4271">
            <v>115990953</v>
          </cell>
          <cell r="O4271">
            <v>278783</v>
          </cell>
          <cell r="P4271">
            <v>70425</v>
          </cell>
          <cell r="Q4271">
            <v>0</v>
          </cell>
          <cell r="R4271">
            <v>155535694</v>
          </cell>
          <cell r="S4271">
            <v>0</v>
          </cell>
          <cell r="T4271">
            <v>409356346</v>
          </cell>
          <cell r="U4271">
            <v>0</v>
          </cell>
          <cell r="V4271">
            <v>228884464</v>
          </cell>
          <cell r="W4271">
            <v>7962267</v>
          </cell>
          <cell r="X4271">
            <v>518146880</v>
          </cell>
          <cell r="Y4271">
            <v>0</v>
          </cell>
          <cell r="Z4271">
            <v>1239820148</v>
          </cell>
          <cell r="AA4271">
            <v>889369</v>
          </cell>
          <cell r="AB4271">
            <v>23339641</v>
          </cell>
          <cell r="AC4271">
            <v>3717650</v>
          </cell>
          <cell r="AD4271">
            <v>148446577</v>
          </cell>
          <cell r="AE4271">
            <v>65724395</v>
          </cell>
          <cell r="AF4271">
            <v>69562092</v>
          </cell>
          <cell r="AG4271">
            <v>2039092</v>
          </cell>
          <cell r="AH4271">
            <v>848950905</v>
          </cell>
          <cell r="AI4271">
            <v>72682270</v>
          </cell>
        </row>
        <row r="4272">
          <cell r="A4272">
            <v>504012001</v>
          </cell>
          <cell r="C4272">
            <v>0</v>
          </cell>
          <cell r="D4272">
            <v>-32</v>
          </cell>
          <cell r="E4272">
            <v>0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0</v>
          </cell>
          <cell r="S4272">
            <v>0</v>
          </cell>
          <cell r="T4272">
            <v>35476754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</row>
        <row r="4273">
          <cell r="A4273">
            <v>504012002</v>
          </cell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R4273">
            <v>0</v>
          </cell>
          <cell r="S4273">
            <v>0</v>
          </cell>
          <cell r="T4273">
            <v>255384678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</row>
        <row r="4274">
          <cell r="A4274">
            <v>504012003</v>
          </cell>
          <cell r="C4274">
            <v>5655319</v>
          </cell>
          <cell r="D4274">
            <v>106318593</v>
          </cell>
          <cell r="E4274">
            <v>1038978432</v>
          </cell>
          <cell r="F4274">
            <v>9501856</v>
          </cell>
          <cell r="G4274">
            <v>2244856976</v>
          </cell>
          <cell r="H4274">
            <v>1643587788</v>
          </cell>
          <cell r="I4274">
            <v>2645419</v>
          </cell>
          <cell r="J4274">
            <v>0</v>
          </cell>
          <cell r="K4274">
            <v>23474894</v>
          </cell>
          <cell r="L4274">
            <v>1203123</v>
          </cell>
          <cell r="M4274">
            <v>0</v>
          </cell>
          <cell r="N4274">
            <v>115990953</v>
          </cell>
          <cell r="O4274">
            <v>278783</v>
          </cell>
          <cell r="P4274">
            <v>70425</v>
          </cell>
          <cell r="Q4274">
            <v>0</v>
          </cell>
          <cell r="R4274">
            <v>155535694</v>
          </cell>
          <cell r="S4274">
            <v>0</v>
          </cell>
          <cell r="T4274">
            <v>36503710</v>
          </cell>
          <cell r="U4274">
            <v>0</v>
          </cell>
          <cell r="V4274">
            <v>228884464</v>
          </cell>
          <cell r="W4274">
            <v>7962267</v>
          </cell>
          <cell r="X4274">
            <v>518146880</v>
          </cell>
          <cell r="Y4274">
            <v>0</v>
          </cell>
          <cell r="Z4274">
            <v>1239820148</v>
          </cell>
          <cell r="AA4274">
            <v>889369</v>
          </cell>
          <cell r="AB4274">
            <v>23339641</v>
          </cell>
          <cell r="AC4274">
            <v>3535338</v>
          </cell>
          <cell r="AD4274">
            <v>148446577</v>
          </cell>
          <cell r="AE4274">
            <v>65724395</v>
          </cell>
          <cell r="AF4274">
            <v>69562092</v>
          </cell>
          <cell r="AG4274">
            <v>2039092</v>
          </cell>
          <cell r="AH4274">
            <v>848950905</v>
          </cell>
          <cell r="AI4274">
            <v>72682270</v>
          </cell>
        </row>
        <row r="4275">
          <cell r="A4275">
            <v>504012004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R4275">
            <v>0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</row>
        <row r="4276">
          <cell r="A4276">
            <v>504012005</v>
          </cell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</row>
        <row r="4277">
          <cell r="A4277">
            <v>504012006</v>
          </cell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R4277">
            <v>0</v>
          </cell>
          <cell r="S4277">
            <v>0</v>
          </cell>
          <cell r="T4277">
            <v>28882286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182312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</row>
        <row r="4278">
          <cell r="A4278">
            <v>504012007</v>
          </cell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51807610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</row>
        <row r="4279">
          <cell r="A4279">
            <v>504012008</v>
          </cell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1301308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</row>
        <row r="4280">
          <cell r="A4280">
            <v>504012009</v>
          </cell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</row>
        <row r="4281">
          <cell r="A4281">
            <v>504020000</v>
          </cell>
          <cell r="C4281">
            <v>0</v>
          </cell>
          <cell r="D4281">
            <v>36578818</v>
          </cell>
          <cell r="E4281">
            <v>133490302</v>
          </cell>
          <cell r="F4281">
            <v>13451817</v>
          </cell>
          <cell r="G4281">
            <v>712266241</v>
          </cell>
          <cell r="H4281">
            <v>4122001140</v>
          </cell>
          <cell r="I4281">
            <v>1070116312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975558847</v>
          </cell>
          <cell r="O4281">
            <v>0</v>
          </cell>
          <cell r="P4281">
            <v>0</v>
          </cell>
          <cell r="Q4281">
            <v>0</v>
          </cell>
          <cell r="R4281">
            <v>28248794</v>
          </cell>
          <cell r="S4281">
            <v>0</v>
          </cell>
          <cell r="T4281">
            <v>241069317</v>
          </cell>
          <cell r="U4281">
            <v>0</v>
          </cell>
          <cell r="V4281">
            <v>0</v>
          </cell>
          <cell r="W4281">
            <v>915573997</v>
          </cell>
          <cell r="X4281">
            <v>934622</v>
          </cell>
          <cell r="Y4281">
            <v>13850000</v>
          </cell>
          <cell r="Z4281">
            <v>23950000</v>
          </cell>
          <cell r="AA4281">
            <v>0</v>
          </cell>
          <cell r="AB4281">
            <v>2137826011</v>
          </cell>
          <cell r="AC4281">
            <v>1800000</v>
          </cell>
          <cell r="AD4281">
            <v>44199401</v>
          </cell>
          <cell r="AE4281">
            <v>7618921028</v>
          </cell>
          <cell r="AF4281">
            <v>71172307</v>
          </cell>
          <cell r="AG4281">
            <v>654135604</v>
          </cell>
          <cell r="AH4281">
            <v>109352502</v>
          </cell>
          <cell r="AI4281">
            <v>117265130</v>
          </cell>
        </row>
        <row r="4282">
          <cell r="A4282">
            <v>504020100</v>
          </cell>
          <cell r="C4282">
            <v>0</v>
          </cell>
          <cell r="D4282">
            <v>34878818</v>
          </cell>
          <cell r="E4282">
            <v>19893711</v>
          </cell>
          <cell r="F4282">
            <v>7051817</v>
          </cell>
          <cell r="G4282">
            <v>0</v>
          </cell>
          <cell r="H4282">
            <v>87653729</v>
          </cell>
          <cell r="I4282">
            <v>4682410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173557495</v>
          </cell>
          <cell r="O4282">
            <v>0</v>
          </cell>
          <cell r="P4282">
            <v>0</v>
          </cell>
          <cell r="Q4282">
            <v>0</v>
          </cell>
          <cell r="R4282">
            <v>1800000</v>
          </cell>
          <cell r="S4282">
            <v>0</v>
          </cell>
          <cell r="T4282">
            <v>4249328</v>
          </cell>
          <cell r="U4282">
            <v>0</v>
          </cell>
          <cell r="V4282">
            <v>0</v>
          </cell>
          <cell r="W4282">
            <v>260000</v>
          </cell>
          <cell r="X4282">
            <v>10572</v>
          </cell>
          <cell r="Y4282">
            <v>0</v>
          </cell>
          <cell r="Z4282">
            <v>4700000</v>
          </cell>
          <cell r="AA4282">
            <v>0</v>
          </cell>
          <cell r="AB4282">
            <v>38161818</v>
          </cell>
          <cell r="AC4282">
            <v>1800000</v>
          </cell>
          <cell r="AD4282">
            <v>1510000</v>
          </cell>
          <cell r="AE4282">
            <v>0</v>
          </cell>
          <cell r="AF4282">
            <v>3170000</v>
          </cell>
          <cell r="AG4282">
            <v>648800</v>
          </cell>
          <cell r="AH4282">
            <v>21798831</v>
          </cell>
          <cell r="AI4282">
            <v>12085000</v>
          </cell>
        </row>
        <row r="4283">
          <cell r="A4283">
            <v>504020101</v>
          </cell>
          <cell r="C4283">
            <v>0</v>
          </cell>
          <cell r="D4283">
            <v>34878818</v>
          </cell>
          <cell r="E4283">
            <v>19893711</v>
          </cell>
          <cell r="F4283">
            <v>7051817</v>
          </cell>
          <cell r="G4283">
            <v>0</v>
          </cell>
          <cell r="H4283">
            <v>87653729</v>
          </cell>
          <cell r="I4283">
            <v>4682410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173557495</v>
          </cell>
          <cell r="O4283">
            <v>0</v>
          </cell>
          <cell r="P4283">
            <v>0</v>
          </cell>
          <cell r="Q4283">
            <v>0</v>
          </cell>
          <cell r="R4283">
            <v>1800000</v>
          </cell>
          <cell r="S4283">
            <v>0</v>
          </cell>
          <cell r="T4283">
            <v>4249328</v>
          </cell>
          <cell r="U4283">
            <v>0</v>
          </cell>
          <cell r="V4283">
            <v>0</v>
          </cell>
          <cell r="W4283">
            <v>260000</v>
          </cell>
          <cell r="X4283">
            <v>10572</v>
          </cell>
          <cell r="Y4283">
            <v>0</v>
          </cell>
          <cell r="Z4283">
            <v>4700000</v>
          </cell>
          <cell r="AA4283">
            <v>0</v>
          </cell>
          <cell r="AB4283">
            <v>38161818</v>
          </cell>
          <cell r="AC4283">
            <v>1800000</v>
          </cell>
          <cell r="AD4283">
            <v>1510000</v>
          </cell>
          <cell r="AE4283">
            <v>0</v>
          </cell>
          <cell r="AF4283">
            <v>3170000</v>
          </cell>
          <cell r="AG4283">
            <v>648800</v>
          </cell>
          <cell r="AH4283">
            <v>21798831</v>
          </cell>
          <cell r="AI4283">
            <v>12085000</v>
          </cell>
        </row>
        <row r="4284">
          <cell r="A4284">
            <v>504020200</v>
          </cell>
          <cell r="C4284">
            <v>0</v>
          </cell>
          <cell r="D4284">
            <v>0</v>
          </cell>
          <cell r="E4284">
            <v>0</v>
          </cell>
          <cell r="F4284">
            <v>100000</v>
          </cell>
          <cell r="G4284">
            <v>0</v>
          </cell>
          <cell r="H4284">
            <v>1097783523</v>
          </cell>
          <cell r="I4284">
            <v>1411860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14674843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59235285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13850000</v>
          </cell>
          <cell r="Z4284">
            <v>0</v>
          </cell>
          <cell r="AA4284">
            <v>0</v>
          </cell>
          <cell r="AB4284">
            <v>40229500</v>
          </cell>
          <cell r="AC4284">
            <v>0</v>
          </cell>
          <cell r="AD4284">
            <v>13111000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</row>
        <row r="4285">
          <cell r="A4285">
            <v>504020201</v>
          </cell>
          <cell r="C4285">
            <v>0</v>
          </cell>
          <cell r="D4285">
            <v>0</v>
          </cell>
          <cell r="E4285">
            <v>0</v>
          </cell>
          <cell r="F4285">
            <v>100000</v>
          </cell>
          <cell r="G4285">
            <v>0</v>
          </cell>
          <cell r="H4285">
            <v>1097783523</v>
          </cell>
          <cell r="I4285">
            <v>1411860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14674843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59235285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13850000</v>
          </cell>
          <cell r="Z4285">
            <v>0</v>
          </cell>
          <cell r="AA4285">
            <v>0</v>
          </cell>
          <cell r="AB4285">
            <v>40229500</v>
          </cell>
          <cell r="AC4285">
            <v>0</v>
          </cell>
          <cell r="AD4285">
            <v>13111000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</row>
        <row r="4286">
          <cell r="A4286">
            <v>504020300</v>
          </cell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G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19467990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344569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135731890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8340</v>
          </cell>
          <cell r="AI4286">
            <v>0</v>
          </cell>
        </row>
        <row r="4287">
          <cell r="A4287">
            <v>504020301</v>
          </cell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19467990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344569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135731890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8340</v>
          </cell>
          <cell r="AI4287">
            <v>0</v>
          </cell>
        </row>
        <row r="4288">
          <cell r="A4288">
            <v>504020400</v>
          </cell>
          <cell r="C4288">
            <v>0</v>
          </cell>
          <cell r="D4288">
            <v>300000</v>
          </cell>
          <cell r="E4288">
            <v>108851136</v>
          </cell>
          <cell r="F4288">
            <v>6250000</v>
          </cell>
          <cell r="G4288">
            <v>711898621</v>
          </cell>
          <cell r="H4288">
            <v>2860687359</v>
          </cell>
          <cell r="I4288">
            <v>1047973700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273077065</v>
          </cell>
          <cell r="O4288">
            <v>0</v>
          </cell>
          <cell r="P4288">
            <v>0</v>
          </cell>
          <cell r="Q4288">
            <v>0</v>
          </cell>
          <cell r="R4288">
            <v>18815000</v>
          </cell>
          <cell r="S4288">
            <v>0</v>
          </cell>
          <cell r="T4288">
            <v>7878386</v>
          </cell>
          <cell r="U4288">
            <v>0</v>
          </cell>
          <cell r="V4288">
            <v>0</v>
          </cell>
          <cell r="W4288">
            <v>824096397</v>
          </cell>
          <cell r="X4288">
            <v>922586</v>
          </cell>
          <cell r="Y4288">
            <v>0</v>
          </cell>
          <cell r="Z4288">
            <v>19100000</v>
          </cell>
          <cell r="AA4288">
            <v>0</v>
          </cell>
          <cell r="AB4288">
            <v>1894861303</v>
          </cell>
          <cell r="AC4288">
            <v>0</v>
          </cell>
          <cell r="AD4288">
            <v>29578401</v>
          </cell>
          <cell r="AE4288">
            <v>7618921028</v>
          </cell>
          <cell r="AF4288">
            <v>58346682</v>
          </cell>
          <cell r="AG4288">
            <v>633050440</v>
          </cell>
          <cell r="AH4288">
            <v>67735353</v>
          </cell>
          <cell r="AI4288">
            <v>0</v>
          </cell>
        </row>
        <row r="4289">
          <cell r="A4289">
            <v>504020401</v>
          </cell>
          <cell r="C4289">
            <v>0</v>
          </cell>
          <cell r="D4289">
            <v>300000</v>
          </cell>
          <cell r="E4289">
            <v>108851136</v>
          </cell>
          <cell r="F4289">
            <v>6250000</v>
          </cell>
          <cell r="G4289">
            <v>711898621</v>
          </cell>
          <cell r="H4289">
            <v>2860687359</v>
          </cell>
          <cell r="I4289">
            <v>1047973700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273077065</v>
          </cell>
          <cell r="O4289">
            <v>0</v>
          </cell>
          <cell r="P4289">
            <v>0</v>
          </cell>
          <cell r="Q4289">
            <v>0</v>
          </cell>
          <cell r="R4289">
            <v>18815000</v>
          </cell>
          <cell r="S4289">
            <v>0</v>
          </cell>
          <cell r="T4289">
            <v>7878386</v>
          </cell>
          <cell r="U4289">
            <v>0</v>
          </cell>
          <cell r="V4289">
            <v>0</v>
          </cell>
          <cell r="W4289">
            <v>824096397</v>
          </cell>
          <cell r="X4289">
            <v>922586</v>
          </cell>
          <cell r="Y4289">
            <v>0</v>
          </cell>
          <cell r="Z4289">
            <v>19100000</v>
          </cell>
          <cell r="AA4289">
            <v>0</v>
          </cell>
          <cell r="AB4289">
            <v>1894861303</v>
          </cell>
          <cell r="AC4289">
            <v>0</v>
          </cell>
          <cell r="AD4289">
            <v>29578401</v>
          </cell>
          <cell r="AE4289">
            <v>7618921028</v>
          </cell>
          <cell r="AF4289">
            <v>58346682</v>
          </cell>
          <cell r="AG4289">
            <v>633050440</v>
          </cell>
          <cell r="AH4289">
            <v>67735353</v>
          </cell>
          <cell r="AI4289">
            <v>0</v>
          </cell>
        </row>
        <row r="4290">
          <cell r="A4290">
            <v>504020500</v>
          </cell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1500000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</row>
        <row r="4291">
          <cell r="A4291">
            <v>504020501</v>
          </cell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1500000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</row>
        <row r="4292">
          <cell r="A4292">
            <v>504020600</v>
          </cell>
          <cell r="C4292">
            <v>0</v>
          </cell>
          <cell r="D4292">
            <v>0</v>
          </cell>
          <cell r="E4292">
            <v>0</v>
          </cell>
          <cell r="F4292">
            <v>50000</v>
          </cell>
          <cell r="G4292">
            <v>0</v>
          </cell>
          <cell r="H4292">
            <v>1000000</v>
          </cell>
          <cell r="I4292">
            <v>763859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18283904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121046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150000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1468466</v>
          </cell>
          <cell r="AI4292">
            <v>0</v>
          </cell>
        </row>
        <row r="4293">
          <cell r="A4293">
            <v>504020601</v>
          </cell>
          <cell r="C4293">
            <v>0</v>
          </cell>
          <cell r="D4293">
            <v>0</v>
          </cell>
          <cell r="E4293">
            <v>0</v>
          </cell>
          <cell r="F4293">
            <v>50000</v>
          </cell>
          <cell r="G4293">
            <v>0</v>
          </cell>
          <cell r="H4293">
            <v>1000000</v>
          </cell>
          <cell r="I4293">
            <v>763859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18283904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121046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150000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1468466</v>
          </cell>
          <cell r="AI4293">
            <v>0</v>
          </cell>
        </row>
        <row r="4294">
          <cell r="A4294">
            <v>504020700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0</v>
          </cell>
          <cell r="H4294">
            <v>0</v>
          </cell>
          <cell r="I4294">
            <v>281078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61315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</row>
        <row r="4295">
          <cell r="A4295">
            <v>504020701</v>
          </cell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  <cell r="I4295">
            <v>281078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61315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</row>
        <row r="4296">
          <cell r="A4296">
            <v>504020800</v>
          </cell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190789389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  <cell r="S4296">
            <v>0</v>
          </cell>
          <cell r="T4296">
            <v>146971676</v>
          </cell>
          <cell r="U4296">
            <v>0</v>
          </cell>
          <cell r="V4296">
            <v>0</v>
          </cell>
          <cell r="W4296">
            <v>0</v>
          </cell>
          <cell r="X4296">
            <v>951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5837625</v>
          </cell>
          <cell r="AG4296">
            <v>0</v>
          </cell>
          <cell r="AH4296">
            <v>0</v>
          </cell>
          <cell r="AI4296">
            <v>105180130</v>
          </cell>
        </row>
        <row r="4297">
          <cell r="A4297">
            <v>504020801</v>
          </cell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190789389</v>
          </cell>
          <cell r="O4297">
            <v>0</v>
          </cell>
          <cell r="P4297">
            <v>0</v>
          </cell>
          <cell r="Q4297">
            <v>0</v>
          </cell>
          <cell r="R4297">
            <v>0</v>
          </cell>
          <cell r="S4297">
            <v>0</v>
          </cell>
          <cell r="T4297">
            <v>146971676</v>
          </cell>
          <cell r="U4297">
            <v>0</v>
          </cell>
          <cell r="V4297">
            <v>0</v>
          </cell>
          <cell r="W4297">
            <v>0</v>
          </cell>
          <cell r="X4297">
            <v>951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5837625</v>
          </cell>
          <cell r="AG4297">
            <v>0</v>
          </cell>
          <cell r="AH4297">
            <v>0</v>
          </cell>
          <cell r="AI4297">
            <v>105180130</v>
          </cell>
        </row>
        <row r="4298">
          <cell r="A4298">
            <v>504020900</v>
          </cell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28560000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R4298">
            <v>6533794</v>
          </cell>
          <cell r="S4298">
            <v>0</v>
          </cell>
          <cell r="T4298">
            <v>106050</v>
          </cell>
          <cell r="U4298">
            <v>0</v>
          </cell>
          <cell r="V4298">
            <v>0</v>
          </cell>
          <cell r="W4298">
            <v>29513600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27341500</v>
          </cell>
          <cell r="AC4298">
            <v>0</v>
          </cell>
          <cell r="AD4298">
            <v>0</v>
          </cell>
          <cell r="AE4298">
            <v>0</v>
          </cell>
          <cell r="AF4298">
            <v>1343000</v>
          </cell>
          <cell r="AG4298">
            <v>20300000</v>
          </cell>
          <cell r="AH4298">
            <v>17525409</v>
          </cell>
          <cell r="AI4298">
            <v>0</v>
          </cell>
        </row>
        <row r="4299">
          <cell r="A4299">
            <v>504020901</v>
          </cell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28560000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6533794</v>
          </cell>
          <cell r="S4299">
            <v>0</v>
          </cell>
          <cell r="T4299">
            <v>106050</v>
          </cell>
          <cell r="U4299">
            <v>0</v>
          </cell>
          <cell r="V4299">
            <v>0</v>
          </cell>
          <cell r="W4299">
            <v>29513600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27341500</v>
          </cell>
          <cell r="AC4299">
            <v>0</v>
          </cell>
          <cell r="AD4299">
            <v>0</v>
          </cell>
          <cell r="AE4299">
            <v>0</v>
          </cell>
          <cell r="AF4299">
            <v>1343000</v>
          </cell>
          <cell r="AG4299">
            <v>20300000</v>
          </cell>
          <cell r="AH4299">
            <v>17525409</v>
          </cell>
          <cell r="AI4299">
            <v>0</v>
          </cell>
        </row>
        <row r="4300">
          <cell r="A4300">
            <v>504021000</v>
          </cell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  <cell r="I4300">
            <v>13453918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98941066</v>
          </cell>
          <cell r="O4300">
            <v>0</v>
          </cell>
          <cell r="P4300">
            <v>0</v>
          </cell>
          <cell r="Q4300">
            <v>0</v>
          </cell>
          <cell r="R4300">
            <v>1100000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61704000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1595000</v>
          </cell>
          <cell r="AG4300">
            <v>0</v>
          </cell>
          <cell r="AH4300">
            <v>0</v>
          </cell>
          <cell r="AI4300">
            <v>0</v>
          </cell>
        </row>
        <row r="4301">
          <cell r="A4301">
            <v>504021001</v>
          </cell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  <cell r="I4301">
            <v>13453918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98941066</v>
          </cell>
          <cell r="O4301">
            <v>0</v>
          </cell>
          <cell r="P4301">
            <v>0</v>
          </cell>
          <cell r="Q4301">
            <v>0</v>
          </cell>
          <cell r="R4301">
            <v>1100000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61704000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1595000</v>
          </cell>
          <cell r="AG4301">
            <v>0</v>
          </cell>
          <cell r="AH4301">
            <v>0</v>
          </cell>
          <cell r="AI4301">
            <v>0</v>
          </cell>
        </row>
        <row r="4302">
          <cell r="A4302">
            <v>504021100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0</v>
          </cell>
          <cell r="H4302">
            <v>1000000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1959780</v>
          </cell>
          <cell r="O4302">
            <v>0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</row>
        <row r="4303">
          <cell r="A4303">
            <v>504021101</v>
          </cell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1000000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1959780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</row>
        <row r="4304">
          <cell r="A4304">
            <v>504021200</v>
          </cell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  <cell r="I4304">
            <v>240846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9761495</v>
          </cell>
          <cell r="O4304">
            <v>0</v>
          </cell>
          <cell r="P4304">
            <v>0</v>
          </cell>
          <cell r="Q4304">
            <v>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880000</v>
          </cell>
          <cell r="AG4304">
            <v>0</v>
          </cell>
          <cell r="AH4304">
            <v>0</v>
          </cell>
          <cell r="AI4304">
            <v>0</v>
          </cell>
        </row>
        <row r="4305">
          <cell r="A4305">
            <v>504021201</v>
          </cell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  <cell r="I4305">
            <v>240846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9761495</v>
          </cell>
          <cell r="O4305">
            <v>0</v>
          </cell>
          <cell r="P4305">
            <v>0</v>
          </cell>
          <cell r="Q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880000</v>
          </cell>
          <cell r="AG4305">
            <v>0</v>
          </cell>
          <cell r="AH4305">
            <v>0</v>
          </cell>
          <cell r="AI4305">
            <v>0</v>
          </cell>
        </row>
        <row r="4306">
          <cell r="A4306">
            <v>504021300</v>
          </cell>
          <cell r="C4306">
            <v>0</v>
          </cell>
          <cell r="D4306">
            <v>1400000</v>
          </cell>
          <cell r="E4306">
            <v>0</v>
          </cell>
          <cell r="F4306">
            <v>0</v>
          </cell>
          <cell r="G4306">
            <v>0</v>
          </cell>
          <cell r="H4306">
            <v>1588237</v>
          </cell>
          <cell r="I4306">
            <v>1308641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102788979</v>
          </cell>
          <cell r="O4306">
            <v>0</v>
          </cell>
          <cell r="P4306">
            <v>0</v>
          </cell>
          <cell r="Q4306">
            <v>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500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8023</v>
          </cell>
          <cell r="AI4306">
            <v>0</v>
          </cell>
        </row>
        <row r="4307">
          <cell r="A4307">
            <v>504021301</v>
          </cell>
          <cell r="C4307">
            <v>0</v>
          </cell>
          <cell r="D4307">
            <v>1400000</v>
          </cell>
          <cell r="E4307">
            <v>0</v>
          </cell>
          <cell r="F4307">
            <v>0</v>
          </cell>
          <cell r="G4307">
            <v>0</v>
          </cell>
          <cell r="H4307">
            <v>1588237</v>
          </cell>
          <cell r="I4307">
            <v>1308641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102788979</v>
          </cell>
          <cell r="O4307">
            <v>0</v>
          </cell>
          <cell r="P4307">
            <v>0</v>
          </cell>
          <cell r="Q4307">
            <v>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500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8023</v>
          </cell>
          <cell r="AI4307">
            <v>0</v>
          </cell>
        </row>
        <row r="4308">
          <cell r="A4308">
            <v>504022000</v>
          </cell>
          <cell r="C4308">
            <v>0</v>
          </cell>
          <cell r="D4308">
            <v>0</v>
          </cell>
          <cell r="E4308">
            <v>4745455</v>
          </cell>
          <cell r="F4308">
            <v>0</v>
          </cell>
          <cell r="G4308">
            <v>367620</v>
          </cell>
          <cell r="H4308">
            <v>43728292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72195526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  <cell r="T4308">
            <v>22162977</v>
          </cell>
          <cell r="U4308">
            <v>0</v>
          </cell>
          <cell r="V4308">
            <v>0</v>
          </cell>
          <cell r="W4308">
            <v>0</v>
          </cell>
          <cell r="X4308">
            <v>13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136364</v>
          </cell>
          <cell r="AH4308">
            <v>808080</v>
          </cell>
          <cell r="AI4308">
            <v>0</v>
          </cell>
        </row>
        <row r="4309">
          <cell r="A4309">
            <v>504022001</v>
          </cell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207536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808080</v>
          </cell>
          <cell r="AI4309">
            <v>0</v>
          </cell>
        </row>
        <row r="4310">
          <cell r="A4310">
            <v>504022002</v>
          </cell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</row>
        <row r="4311">
          <cell r="A4311">
            <v>504022003</v>
          </cell>
          <cell r="C4311">
            <v>0</v>
          </cell>
          <cell r="D4311">
            <v>0</v>
          </cell>
          <cell r="E4311">
            <v>4745455</v>
          </cell>
          <cell r="F4311">
            <v>0</v>
          </cell>
          <cell r="G4311">
            <v>367620</v>
          </cell>
          <cell r="H4311">
            <v>27471019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71987990</v>
          </cell>
          <cell r="O4311">
            <v>0</v>
          </cell>
          <cell r="P4311">
            <v>0</v>
          </cell>
          <cell r="Q4311">
            <v>0</v>
          </cell>
          <cell r="R4311">
            <v>0</v>
          </cell>
          <cell r="S4311">
            <v>0</v>
          </cell>
          <cell r="T4311">
            <v>22162977</v>
          </cell>
          <cell r="U4311">
            <v>0</v>
          </cell>
          <cell r="V4311">
            <v>0</v>
          </cell>
          <cell r="W4311">
            <v>0</v>
          </cell>
          <cell r="X4311">
            <v>13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136364</v>
          </cell>
          <cell r="AH4311">
            <v>0</v>
          </cell>
          <cell r="AI4311">
            <v>0</v>
          </cell>
        </row>
        <row r="4312">
          <cell r="A4312">
            <v>504022004</v>
          </cell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G4312">
            <v>0</v>
          </cell>
          <cell r="H4312">
            <v>16257273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</row>
        <row r="4313">
          <cell r="A4313">
            <v>504022005</v>
          </cell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</row>
        <row r="4314">
          <cell r="A4314">
            <v>504022006</v>
          </cell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</row>
        <row r="4315">
          <cell r="A4315">
            <v>504022007</v>
          </cell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</row>
        <row r="4316">
          <cell r="A4316">
            <v>504022008</v>
          </cell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</row>
        <row r="4317">
          <cell r="A4317">
            <v>504022009</v>
          </cell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</row>
        <row r="4318">
          <cell r="A4318">
            <v>504030000</v>
          </cell>
          <cell r="C4318">
            <v>2485209740</v>
          </cell>
          <cell r="D4318">
            <v>1333964126</v>
          </cell>
          <cell r="E4318">
            <v>505653989</v>
          </cell>
          <cell r="F4318">
            <v>307469070</v>
          </cell>
          <cell r="G4318">
            <v>904001353</v>
          </cell>
          <cell r="H4318">
            <v>2394914528</v>
          </cell>
          <cell r="I4318">
            <v>1361134054</v>
          </cell>
          <cell r="J4318">
            <v>717681343</v>
          </cell>
          <cell r="K4318">
            <v>153838654</v>
          </cell>
          <cell r="L4318">
            <v>121783792</v>
          </cell>
          <cell r="M4318">
            <v>424454274</v>
          </cell>
          <cell r="N4318">
            <v>3382142978</v>
          </cell>
          <cell r="O4318">
            <v>5626331</v>
          </cell>
          <cell r="P4318">
            <v>781753310</v>
          </cell>
          <cell r="Q4318">
            <v>7176798</v>
          </cell>
          <cell r="R4318">
            <v>547187436</v>
          </cell>
          <cell r="S4318">
            <v>14779402</v>
          </cell>
          <cell r="T4318">
            <v>2007768368</v>
          </cell>
          <cell r="U4318">
            <v>0</v>
          </cell>
          <cell r="V4318">
            <v>2001415138</v>
          </cell>
          <cell r="W4318">
            <v>363512145</v>
          </cell>
          <cell r="X4318">
            <v>1354195623</v>
          </cell>
          <cell r="Y4318">
            <v>365174270</v>
          </cell>
          <cell r="Z4318">
            <v>206162102</v>
          </cell>
          <cell r="AA4318">
            <v>186377526</v>
          </cell>
          <cell r="AB4318">
            <v>15627898251</v>
          </cell>
          <cell r="AC4318">
            <v>565090642</v>
          </cell>
          <cell r="AD4318">
            <v>2414770418</v>
          </cell>
          <cell r="AE4318">
            <v>13153740357</v>
          </cell>
          <cell r="AF4318">
            <v>1849682230</v>
          </cell>
          <cell r="AG4318">
            <v>681842601</v>
          </cell>
          <cell r="AH4318">
            <v>842601474</v>
          </cell>
          <cell r="AI4318">
            <v>290487010</v>
          </cell>
        </row>
        <row r="4319">
          <cell r="A4319">
            <v>504030100</v>
          </cell>
          <cell r="C4319">
            <v>46824948</v>
          </cell>
          <cell r="D4319">
            <v>92983340</v>
          </cell>
          <cell r="E4319">
            <v>163884737</v>
          </cell>
          <cell r="F4319">
            <v>29288577</v>
          </cell>
          <cell r="G4319">
            <v>5798316</v>
          </cell>
          <cell r="H4319">
            <v>49562316</v>
          </cell>
          <cell r="I4319">
            <v>76498080</v>
          </cell>
          <cell r="J4319">
            <v>36048283</v>
          </cell>
          <cell r="K4319">
            <v>0</v>
          </cell>
          <cell r="L4319">
            <v>2272788</v>
          </cell>
          <cell r="M4319">
            <v>1025000</v>
          </cell>
          <cell r="N4319">
            <v>1082407798</v>
          </cell>
          <cell r="O4319">
            <v>0</v>
          </cell>
          <cell r="P4319">
            <v>0</v>
          </cell>
          <cell r="Q4319">
            <v>0</v>
          </cell>
          <cell r="R4319">
            <v>22177292</v>
          </cell>
          <cell r="S4319">
            <v>0</v>
          </cell>
          <cell r="T4319">
            <v>48610413</v>
          </cell>
          <cell r="U4319">
            <v>0</v>
          </cell>
          <cell r="V4319">
            <v>43887246</v>
          </cell>
          <cell r="W4319">
            <v>0</v>
          </cell>
          <cell r="X4319">
            <v>75736797</v>
          </cell>
          <cell r="Y4319">
            <v>15700210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86910133</v>
          </cell>
          <cell r="AE4319">
            <v>0</v>
          </cell>
          <cell r="AF4319">
            <v>76486398</v>
          </cell>
          <cell r="AG4319">
            <v>0</v>
          </cell>
          <cell r="AH4319">
            <v>0</v>
          </cell>
          <cell r="AI4319">
            <v>0</v>
          </cell>
        </row>
        <row r="4320">
          <cell r="A4320">
            <v>504030101</v>
          </cell>
          <cell r="C4320">
            <v>46824948</v>
          </cell>
          <cell r="D4320">
            <v>92983340</v>
          </cell>
          <cell r="E4320">
            <v>163884737</v>
          </cell>
          <cell r="F4320">
            <v>29288577</v>
          </cell>
          <cell r="G4320">
            <v>5798316</v>
          </cell>
          <cell r="H4320">
            <v>49562316</v>
          </cell>
          <cell r="I4320">
            <v>76498080</v>
          </cell>
          <cell r="J4320">
            <v>36048283</v>
          </cell>
          <cell r="K4320">
            <v>0</v>
          </cell>
          <cell r="L4320">
            <v>2272788</v>
          </cell>
          <cell r="M4320">
            <v>1025000</v>
          </cell>
          <cell r="N4320">
            <v>1082407798</v>
          </cell>
          <cell r="O4320">
            <v>0</v>
          </cell>
          <cell r="P4320">
            <v>0</v>
          </cell>
          <cell r="Q4320">
            <v>0</v>
          </cell>
          <cell r="R4320">
            <v>22177292</v>
          </cell>
          <cell r="S4320">
            <v>0</v>
          </cell>
          <cell r="T4320">
            <v>48610413</v>
          </cell>
          <cell r="U4320">
            <v>0</v>
          </cell>
          <cell r="V4320">
            <v>43887246</v>
          </cell>
          <cell r="W4320">
            <v>0</v>
          </cell>
          <cell r="X4320">
            <v>75736797</v>
          </cell>
          <cell r="Y4320">
            <v>15700210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86910133</v>
          </cell>
          <cell r="AE4320">
            <v>0</v>
          </cell>
          <cell r="AF4320">
            <v>76486398</v>
          </cell>
          <cell r="AG4320">
            <v>0</v>
          </cell>
          <cell r="AH4320">
            <v>0</v>
          </cell>
          <cell r="AI4320">
            <v>0</v>
          </cell>
        </row>
        <row r="4321">
          <cell r="A4321">
            <v>504030200</v>
          </cell>
          <cell r="C4321">
            <v>53439512</v>
          </cell>
          <cell r="D4321">
            <v>22911044</v>
          </cell>
          <cell r="E4321">
            <v>9845734</v>
          </cell>
          <cell r="F4321">
            <v>7517435</v>
          </cell>
          <cell r="G4321">
            <v>4856693</v>
          </cell>
          <cell r="H4321">
            <v>43881554</v>
          </cell>
          <cell r="I4321">
            <v>16841972</v>
          </cell>
          <cell r="J4321">
            <v>2426393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R4321">
            <v>15443901</v>
          </cell>
          <cell r="S4321">
            <v>0</v>
          </cell>
          <cell r="T4321">
            <v>85039917</v>
          </cell>
          <cell r="U4321">
            <v>0</v>
          </cell>
          <cell r="V4321">
            <v>25623816</v>
          </cell>
          <cell r="W4321">
            <v>264302</v>
          </cell>
          <cell r="X4321">
            <v>28120865</v>
          </cell>
          <cell r="Y4321">
            <v>824973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34452716</v>
          </cell>
          <cell r="AE4321">
            <v>0</v>
          </cell>
          <cell r="AF4321">
            <v>24992998</v>
          </cell>
          <cell r="AG4321">
            <v>0</v>
          </cell>
          <cell r="AH4321">
            <v>116122</v>
          </cell>
          <cell r="AI4321">
            <v>0</v>
          </cell>
        </row>
        <row r="4322">
          <cell r="A4322">
            <v>504030201</v>
          </cell>
          <cell r="C4322">
            <v>53439512</v>
          </cell>
          <cell r="D4322">
            <v>22911044</v>
          </cell>
          <cell r="E4322">
            <v>9845734</v>
          </cell>
          <cell r="F4322">
            <v>7517435</v>
          </cell>
          <cell r="G4322">
            <v>4856693</v>
          </cell>
          <cell r="H4322">
            <v>43881554</v>
          </cell>
          <cell r="I4322">
            <v>16841972</v>
          </cell>
          <cell r="J4322">
            <v>2426393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R4322">
            <v>15443901</v>
          </cell>
          <cell r="S4322">
            <v>0</v>
          </cell>
          <cell r="T4322">
            <v>85039917</v>
          </cell>
          <cell r="U4322">
            <v>0</v>
          </cell>
          <cell r="V4322">
            <v>25623816</v>
          </cell>
          <cell r="W4322">
            <v>264302</v>
          </cell>
          <cell r="X4322">
            <v>28120865</v>
          </cell>
          <cell r="Y4322">
            <v>824973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34452716</v>
          </cell>
          <cell r="AE4322">
            <v>0</v>
          </cell>
          <cell r="AF4322">
            <v>24992998</v>
          </cell>
          <cell r="AG4322">
            <v>0</v>
          </cell>
          <cell r="AH4322">
            <v>116122</v>
          </cell>
          <cell r="AI4322">
            <v>0</v>
          </cell>
        </row>
        <row r="4323">
          <cell r="A4323">
            <v>504030300</v>
          </cell>
          <cell r="C4323">
            <v>13965244</v>
          </cell>
          <cell r="D4323">
            <v>4096824</v>
          </cell>
          <cell r="E4323">
            <v>7302652</v>
          </cell>
          <cell r="F4323">
            <v>5961695</v>
          </cell>
          <cell r="G4323">
            <v>821895</v>
          </cell>
          <cell r="H4323">
            <v>5506120</v>
          </cell>
          <cell r="I4323">
            <v>871860</v>
          </cell>
          <cell r="J4323">
            <v>10229594</v>
          </cell>
          <cell r="K4323">
            <v>0</v>
          </cell>
          <cell r="L4323">
            <v>0</v>
          </cell>
          <cell r="M4323">
            <v>72727</v>
          </cell>
          <cell r="N4323">
            <v>42636464</v>
          </cell>
          <cell r="O4323">
            <v>0</v>
          </cell>
          <cell r="P4323">
            <v>0</v>
          </cell>
          <cell r="Q4323">
            <v>0</v>
          </cell>
          <cell r="R4323">
            <v>10379783</v>
          </cell>
          <cell r="S4323">
            <v>756285</v>
          </cell>
          <cell r="T4323">
            <v>12071538</v>
          </cell>
          <cell r="U4323">
            <v>0</v>
          </cell>
          <cell r="V4323">
            <v>41972462</v>
          </cell>
          <cell r="W4323">
            <v>608109</v>
          </cell>
          <cell r="X4323">
            <v>3129277</v>
          </cell>
          <cell r="Y4323">
            <v>1191502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6060898</v>
          </cell>
          <cell r="AE4323">
            <v>0</v>
          </cell>
          <cell r="AF4323">
            <v>194910085</v>
          </cell>
          <cell r="AG4323">
            <v>0</v>
          </cell>
          <cell r="AH4323">
            <v>0</v>
          </cell>
          <cell r="AI4323">
            <v>0</v>
          </cell>
        </row>
        <row r="4324">
          <cell r="A4324">
            <v>504030301</v>
          </cell>
          <cell r="C4324">
            <v>13965244</v>
          </cell>
          <cell r="D4324">
            <v>4096824</v>
          </cell>
          <cell r="E4324">
            <v>7302652</v>
          </cell>
          <cell r="F4324">
            <v>5961695</v>
          </cell>
          <cell r="G4324">
            <v>821895</v>
          </cell>
          <cell r="H4324">
            <v>5506120</v>
          </cell>
          <cell r="I4324">
            <v>871860</v>
          </cell>
          <cell r="J4324">
            <v>10229594</v>
          </cell>
          <cell r="K4324">
            <v>0</v>
          </cell>
          <cell r="L4324">
            <v>0</v>
          </cell>
          <cell r="M4324">
            <v>72727</v>
          </cell>
          <cell r="N4324">
            <v>42636464</v>
          </cell>
          <cell r="O4324">
            <v>0</v>
          </cell>
          <cell r="P4324">
            <v>0</v>
          </cell>
          <cell r="Q4324">
            <v>0</v>
          </cell>
          <cell r="R4324">
            <v>10379783</v>
          </cell>
          <cell r="S4324">
            <v>756285</v>
          </cell>
          <cell r="T4324">
            <v>12071538</v>
          </cell>
          <cell r="U4324">
            <v>0</v>
          </cell>
          <cell r="V4324">
            <v>41972462</v>
          </cell>
          <cell r="W4324">
            <v>608109</v>
          </cell>
          <cell r="X4324">
            <v>3129277</v>
          </cell>
          <cell r="Y4324">
            <v>1191502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6060898</v>
          </cell>
          <cell r="AE4324">
            <v>0</v>
          </cell>
          <cell r="AF4324">
            <v>194910085</v>
          </cell>
          <cell r="AG4324">
            <v>0</v>
          </cell>
          <cell r="AH4324">
            <v>0</v>
          </cell>
          <cell r="AI4324">
            <v>0</v>
          </cell>
        </row>
        <row r="4325">
          <cell r="A4325">
            <v>504030400</v>
          </cell>
          <cell r="C4325">
            <v>1392164633</v>
          </cell>
          <cell r="D4325">
            <v>1187437427</v>
          </cell>
          <cell r="E4325">
            <v>251053339</v>
          </cell>
          <cell r="F4325">
            <v>202821556</v>
          </cell>
          <cell r="G4325">
            <v>836980582</v>
          </cell>
          <cell r="H4325">
            <v>1989160246</v>
          </cell>
          <cell r="I4325">
            <v>1239435656</v>
          </cell>
          <cell r="J4325">
            <v>648801271</v>
          </cell>
          <cell r="K4325">
            <v>139059252</v>
          </cell>
          <cell r="L4325">
            <v>70005741</v>
          </cell>
          <cell r="M4325">
            <v>128277685</v>
          </cell>
          <cell r="N4325">
            <v>1091488664</v>
          </cell>
          <cell r="O4325">
            <v>0</v>
          </cell>
          <cell r="P4325">
            <v>766973850</v>
          </cell>
          <cell r="Q4325">
            <v>0</v>
          </cell>
          <cell r="R4325">
            <v>170921835</v>
          </cell>
          <cell r="S4325">
            <v>0</v>
          </cell>
          <cell r="T4325">
            <v>1079451765</v>
          </cell>
          <cell r="U4325">
            <v>0</v>
          </cell>
          <cell r="V4325">
            <v>1860179184</v>
          </cell>
          <cell r="W4325">
            <v>347805560</v>
          </cell>
          <cell r="X4325">
            <v>1085762453</v>
          </cell>
          <cell r="Y4325">
            <v>302450528</v>
          </cell>
          <cell r="Z4325">
            <v>190182700</v>
          </cell>
          <cell r="AA4325">
            <v>171598116</v>
          </cell>
          <cell r="AB4325">
            <v>3303000030</v>
          </cell>
          <cell r="AC4325">
            <v>550311240</v>
          </cell>
          <cell r="AD4325">
            <v>2025665190</v>
          </cell>
          <cell r="AE4325">
            <v>111871776</v>
          </cell>
          <cell r="AF4325">
            <v>1245245634</v>
          </cell>
          <cell r="AG4325">
            <v>667063199</v>
          </cell>
          <cell r="AH4325">
            <v>799448989</v>
          </cell>
          <cell r="AI4325">
            <v>1539909</v>
          </cell>
        </row>
        <row r="4326">
          <cell r="A4326">
            <v>504030401</v>
          </cell>
          <cell r="C4326">
            <v>1392164633</v>
          </cell>
          <cell r="D4326">
            <v>1187437427</v>
          </cell>
          <cell r="E4326">
            <v>251053339</v>
          </cell>
          <cell r="F4326">
            <v>202821556</v>
          </cell>
          <cell r="G4326">
            <v>836980582</v>
          </cell>
          <cell r="H4326">
            <v>1989160246</v>
          </cell>
          <cell r="I4326">
            <v>1239435656</v>
          </cell>
          <cell r="J4326">
            <v>648801271</v>
          </cell>
          <cell r="K4326">
            <v>139059252</v>
          </cell>
          <cell r="L4326">
            <v>70005741</v>
          </cell>
          <cell r="M4326">
            <v>128277685</v>
          </cell>
          <cell r="N4326">
            <v>1091488664</v>
          </cell>
          <cell r="O4326">
            <v>0</v>
          </cell>
          <cell r="P4326">
            <v>766973850</v>
          </cell>
          <cell r="Q4326">
            <v>0</v>
          </cell>
          <cell r="R4326">
            <v>170921835</v>
          </cell>
          <cell r="S4326">
            <v>0</v>
          </cell>
          <cell r="T4326">
            <v>1079451765</v>
          </cell>
          <cell r="U4326">
            <v>0</v>
          </cell>
          <cell r="V4326">
            <v>1860179184</v>
          </cell>
          <cell r="W4326">
            <v>347805560</v>
          </cell>
          <cell r="X4326">
            <v>1085762453</v>
          </cell>
          <cell r="Y4326">
            <v>302450528</v>
          </cell>
          <cell r="Z4326">
            <v>190182700</v>
          </cell>
          <cell r="AA4326">
            <v>171598116</v>
          </cell>
          <cell r="AB4326">
            <v>3303000030</v>
          </cell>
          <cell r="AC4326">
            <v>550311240</v>
          </cell>
          <cell r="AD4326">
            <v>2025665190</v>
          </cell>
          <cell r="AE4326">
            <v>111871776</v>
          </cell>
          <cell r="AF4326">
            <v>1245245634</v>
          </cell>
          <cell r="AG4326">
            <v>667063199</v>
          </cell>
          <cell r="AH4326">
            <v>799448989</v>
          </cell>
          <cell r="AI4326">
            <v>1539909</v>
          </cell>
        </row>
        <row r="4327">
          <cell r="A4327">
            <v>504030500</v>
          </cell>
          <cell r="C4327">
            <v>9223571</v>
          </cell>
          <cell r="D4327">
            <v>0</v>
          </cell>
          <cell r="E4327">
            <v>0</v>
          </cell>
          <cell r="F4327">
            <v>11101121</v>
          </cell>
          <cell r="G4327">
            <v>47119391</v>
          </cell>
          <cell r="H4327">
            <v>9153079</v>
          </cell>
          <cell r="I4327">
            <v>9153071</v>
          </cell>
          <cell r="J4327">
            <v>6340346</v>
          </cell>
          <cell r="K4327">
            <v>9153071</v>
          </cell>
          <cell r="L4327">
            <v>9153071</v>
          </cell>
          <cell r="M4327">
            <v>9262162</v>
          </cell>
          <cell r="N4327">
            <v>0</v>
          </cell>
          <cell r="O4327">
            <v>0</v>
          </cell>
          <cell r="P4327">
            <v>9153071</v>
          </cell>
          <cell r="Q4327">
            <v>0</v>
          </cell>
          <cell r="R4327">
            <v>9153140</v>
          </cell>
          <cell r="S4327">
            <v>8396786</v>
          </cell>
          <cell r="T4327">
            <v>0</v>
          </cell>
          <cell r="U4327">
            <v>0</v>
          </cell>
          <cell r="V4327">
            <v>0</v>
          </cell>
          <cell r="W4327">
            <v>9152943</v>
          </cell>
          <cell r="X4327">
            <v>9153071</v>
          </cell>
          <cell r="Y4327">
            <v>36443417</v>
          </cell>
          <cell r="Z4327">
            <v>9153071</v>
          </cell>
          <cell r="AA4327">
            <v>9153079</v>
          </cell>
          <cell r="AB4327">
            <v>9153079</v>
          </cell>
          <cell r="AC4327">
            <v>9153071</v>
          </cell>
          <cell r="AD4327">
            <v>0</v>
          </cell>
          <cell r="AE4327">
            <v>0</v>
          </cell>
          <cell r="AF4327">
            <v>0</v>
          </cell>
          <cell r="AG4327">
            <v>9153071</v>
          </cell>
          <cell r="AH4327">
            <v>0</v>
          </cell>
          <cell r="AI4327">
            <v>0</v>
          </cell>
        </row>
        <row r="4328">
          <cell r="A4328">
            <v>504030501</v>
          </cell>
          <cell r="C4328">
            <v>9223571</v>
          </cell>
          <cell r="D4328">
            <v>0</v>
          </cell>
          <cell r="E4328">
            <v>0</v>
          </cell>
          <cell r="F4328">
            <v>11101121</v>
          </cell>
          <cell r="G4328">
            <v>47119391</v>
          </cell>
          <cell r="H4328">
            <v>9153079</v>
          </cell>
          <cell r="I4328">
            <v>9153071</v>
          </cell>
          <cell r="J4328">
            <v>6340346</v>
          </cell>
          <cell r="K4328">
            <v>9153071</v>
          </cell>
          <cell r="L4328">
            <v>9153071</v>
          </cell>
          <cell r="M4328">
            <v>9262162</v>
          </cell>
          <cell r="N4328">
            <v>0</v>
          </cell>
          <cell r="O4328">
            <v>0</v>
          </cell>
          <cell r="P4328">
            <v>9153071</v>
          </cell>
          <cell r="Q4328">
            <v>0</v>
          </cell>
          <cell r="R4328">
            <v>9153140</v>
          </cell>
          <cell r="S4328">
            <v>8396786</v>
          </cell>
          <cell r="T4328">
            <v>0</v>
          </cell>
          <cell r="U4328">
            <v>0</v>
          </cell>
          <cell r="V4328">
            <v>0</v>
          </cell>
          <cell r="W4328">
            <v>9152943</v>
          </cell>
          <cell r="X4328">
            <v>9153071</v>
          </cell>
          <cell r="Y4328">
            <v>36443417</v>
          </cell>
          <cell r="Z4328">
            <v>9153071</v>
          </cell>
          <cell r="AA4328">
            <v>9153079</v>
          </cell>
          <cell r="AB4328">
            <v>9153079</v>
          </cell>
          <cell r="AC4328">
            <v>9153071</v>
          </cell>
          <cell r="AD4328">
            <v>0</v>
          </cell>
          <cell r="AE4328">
            <v>0</v>
          </cell>
          <cell r="AF4328">
            <v>0</v>
          </cell>
          <cell r="AG4328">
            <v>9153071</v>
          </cell>
          <cell r="AH4328">
            <v>0</v>
          </cell>
          <cell r="AI4328">
            <v>0</v>
          </cell>
        </row>
        <row r="4329">
          <cell r="A4329">
            <v>504030600</v>
          </cell>
          <cell r="C4329">
            <v>13085541</v>
          </cell>
          <cell r="D4329">
            <v>11068327</v>
          </cell>
          <cell r="E4329">
            <v>15518189</v>
          </cell>
          <cell r="F4329">
            <v>8776344</v>
          </cell>
          <cell r="G4329">
            <v>2075116</v>
          </cell>
          <cell r="H4329">
            <v>21174594</v>
          </cell>
          <cell r="I4329">
            <v>3261121</v>
          </cell>
          <cell r="J4329">
            <v>2343634</v>
          </cell>
          <cell r="K4329">
            <v>0</v>
          </cell>
          <cell r="L4329">
            <v>854</v>
          </cell>
          <cell r="M4329">
            <v>0</v>
          </cell>
          <cell r="N4329">
            <v>22132310</v>
          </cell>
          <cell r="O4329">
            <v>0</v>
          </cell>
          <cell r="P4329">
            <v>0</v>
          </cell>
          <cell r="Q4329">
            <v>0</v>
          </cell>
          <cell r="R4329">
            <v>6212735</v>
          </cell>
          <cell r="S4329">
            <v>0</v>
          </cell>
          <cell r="T4329">
            <v>41408659</v>
          </cell>
          <cell r="U4329">
            <v>0</v>
          </cell>
          <cell r="V4329">
            <v>3167017</v>
          </cell>
          <cell r="W4329">
            <v>0</v>
          </cell>
          <cell r="X4329">
            <v>48252104</v>
          </cell>
          <cell r="Y4329">
            <v>770244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50992631</v>
          </cell>
          <cell r="AE4329">
            <v>0</v>
          </cell>
          <cell r="AF4329">
            <v>7059615</v>
          </cell>
          <cell r="AG4329">
            <v>0</v>
          </cell>
          <cell r="AH4329">
            <v>0</v>
          </cell>
          <cell r="AI4329">
            <v>0</v>
          </cell>
        </row>
        <row r="4330">
          <cell r="A4330">
            <v>504030601</v>
          </cell>
          <cell r="C4330">
            <v>13085541</v>
          </cell>
          <cell r="D4330">
            <v>11068327</v>
          </cell>
          <cell r="E4330">
            <v>15518189</v>
          </cell>
          <cell r="F4330">
            <v>8776344</v>
          </cell>
          <cell r="G4330">
            <v>2075116</v>
          </cell>
          <cell r="H4330">
            <v>21174594</v>
          </cell>
          <cell r="I4330">
            <v>3261121</v>
          </cell>
          <cell r="J4330">
            <v>2343634</v>
          </cell>
          <cell r="K4330">
            <v>0</v>
          </cell>
          <cell r="L4330">
            <v>854</v>
          </cell>
          <cell r="M4330">
            <v>0</v>
          </cell>
          <cell r="N4330">
            <v>22132310</v>
          </cell>
          <cell r="O4330">
            <v>0</v>
          </cell>
          <cell r="P4330">
            <v>0</v>
          </cell>
          <cell r="Q4330">
            <v>0</v>
          </cell>
          <cell r="R4330">
            <v>6212735</v>
          </cell>
          <cell r="S4330">
            <v>0</v>
          </cell>
          <cell r="T4330">
            <v>41408659</v>
          </cell>
          <cell r="U4330">
            <v>0</v>
          </cell>
          <cell r="V4330">
            <v>3167017</v>
          </cell>
          <cell r="W4330">
            <v>0</v>
          </cell>
          <cell r="X4330">
            <v>48252104</v>
          </cell>
          <cell r="Y4330">
            <v>770244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50992631</v>
          </cell>
          <cell r="AE4330">
            <v>0</v>
          </cell>
          <cell r="AF4330">
            <v>7059615</v>
          </cell>
          <cell r="AG4330">
            <v>0</v>
          </cell>
          <cell r="AH4330">
            <v>0</v>
          </cell>
          <cell r="AI4330">
            <v>0</v>
          </cell>
        </row>
        <row r="4331">
          <cell r="A4331">
            <v>504030700</v>
          </cell>
          <cell r="C4331">
            <v>7273696</v>
          </cell>
          <cell r="D4331">
            <v>816891</v>
          </cell>
          <cell r="E4331">
            <v>0</v>
          </cell>
          <cell r="F4331">
            <v>4634157</v>
          </cell>
          <cell r="G4331">
            <v>70607</v>
          </cell>
          <cell r="H4331">
            <v>2197953</v>
          </cell>
          <cell r="I4331">
            <v>1730703</v>
          </cell>
          <cell r="J4331">
            <v>136150</v>
          </cell>
          <cell r="K4331">
            <v>0</v>
          </cell>
          <cell r="L4331">
            <v>332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R4331">
            <v>282286</v>
          </cell>
          <cell r="S4331">
            <v>0</v>
          </cell>
          <cell r="T4331">
            <v>497860</v>
          </cell>
          <cell r="U4331">
            <v>0</v>
          </cell>
          <cell r="V4331">
            <v>509027</v>
          </cell>
          <cell r="W4331">
            <v>0</v>
          </cell>
          <cell r="X4331">
            <v>1849317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1605081</v>
          </cell>
          <cell r="AE4331">
            <v>0</v>
          </cell>
          <cell r="AF4331">
            <v>10765046</v>
          </cell>
          <cell r="AG4331">
            <v>0</v>
          </cell>
          <cell r="AH4331">
            <v>0</v>
          </cell>
          <cell r="AI4331">
            <v>0</v>
          </cell>
        </row>
        <row r="4332">
          <cell r="A4332">
            <v>504030701</v>
          </cell>
          <cell r="C4332">
            <v>7273696</v>
          </cell>
          <cell r="D4332">
            <v>816891</v>
          </cell>
          <cell r="E4332">
            <v>0</v>
          </cell>
          <cell r="F4332">
            <v>4634157</v>
          </cell>
          <cell r="G4332">
            <v>70607</v>
          </cell>
          <cell r="H4332">
            <v>2197953</v>
          </cell>
          <cell r="I4332">
            <v>1730703</v>
          </cell>
          <cell r="J4332">
            <v>136150</v>
          </cell>
          <cell r="K4332">
            <v>0</v>
          </cell>
          <cell r="L4332">
            <v>332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R4332">
            <v>282286</v>
          </cell>
          <cell r="S4332">
            <v>0</v>
          </cell>
          <cell r="T4332">
            <v>497860</v>
          </cell>
          <cell r="U4332">
            <v>0</v>
          </cell>
          <cell r="V4332">
            <v>509027</v>
          </cell>
          <cell r="W4332">
            <v>0</v>
          </cell>
          <cell r="X4332">
            <v>1849317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1605081</v>
          </cell>
          <cell r="AE4332">
            <v>0</v>
          </cell>
          <cell r="AF4332">
            <v>10765046</v>
          </cell>
          <cell r="AG4332">
            <v>0</v>
          </cell>
          <cell r="AH4332">
            <v>0</v>
          </cell>
          <cell r="AI4332">
            <v>0</v>
          </cell>
        </row>
        <row r="4333">
          <cell r="A4333">
            <v>504030800</v>
          </cell>
          <cell r="C4333">
            <v>259000</v>
          </cell>
          <cell r="D4333">
            <v>0</v>
          </cell>
          <cell r="E4333">
            <v>0</v>
          </cell>
          <cell r="F4333">
            <v>1948050</v>
          </cell>
          <cell r="G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280190369</v>
          </cell>
          <cell r="N4333">
            <v>309496807</v>
          </cell>
          <cell r="O4333">
            <v>0</v>
          </cell>
          <cell r="P4333">
            <v>0</v>
          </cell>
          <cell r="Q4333">
            <v>0</v>
          </cell>
          <cell r="R4333">
            <v>0</v>
          </cell>
          <cell r="S4333">
            <v>0</v>
          </cell>
          <cell r="T4333">
            <v>125248520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54632136</v>
          </cell>
          <cell r="AG4333">
            <v>0</v>
          </cell>
          <cell r="AH4333">
            <v>0</v>
          </cell>
          <cell r="AI4333">
            <v>288947101</v>
          </cell>
        </row>
        <row r="4334">
          <cell r="A4334">
            <v>504030801</v>
          </cell>
          <cell r="C4334">
            <v>259000</v>
          </cell>
          <cell r="D4334">
            <v>0</v>
          </cell>
          <cell r="E4334">
            <v>0</v>
          </cell>
          <cell r="F4334">
            <v>1948050</v>
          </cell>
          <cell r="G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280190369</v>
          </cell>
          <cell r="N4334">
            <v>309496807</v>
          </cell>
          <cell r="O4334">
            <v>0</v>
          </cell>
          <cell r="P4334">
            <v>0</v>
          </cell>
          <cell r="Q4334">
            <v>0</v>
          </cell>
          <cell r="R4334">
            <v>0</v>
          </cell>
          <cell r="S4334">
            <v>0</v>
          </cell>
          <cell r="T4334">
            <v>125248520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54632136</v>
          </cell>
          <cell r="AG4334">
            <v>0</v>
          </cell>
          <cell r="AH4334">
            <v>0</v>
          </cell>
          <cell r="AI4334">
            <v>288947101</v>
          </cell>
        </row>
        <row r="4335">
          <cell r="A4335">
            <v>504030900</v>
          </cell>
          <cell r="C4335">
            <v>3972343</v>
          </cell>
          <cell r="D4335">
            <v>141094</v>
          </cell>
          <cell r="E4335">
            <v>3961664</v>
          </cell>
          <cell r="F4335">
            <v>5314834</v>
          </cell>
          <cell r="G4335">
            <v>155603</v>
          </cell>
          <cell r="H4335">
            <v>28279495</v>
          </cell>
          <cell r="I4335">
            <v>692513</v>
          </cell>
          <cell r="J4335">
            <v>911645</v>
          </cell>
          <cell r="K4335">
            <v>0</v>
          </cell>
          <cell r="L4335">
            <v>0</v>
          </cell>
          <cell r="M4335">
            <v>0</v>
          </cell>
          <cell r="N4335">
            <v>1760000</v>
          </cell>
          <cell r="O4335">
            <v>0</v>
          </cell>
          <cell r="P4335">
            <v>0</v>
          </cell>
          <cell r="Q4335">
            <v>0</v>
          </cell>
          <cell r="R4335">
            <v>153847660</v>
          </cell>
          <cell r="S4335">
            <v>0</v>
          </cell>
          <cell r="T4335">
            <v>29836376</v>
          </cell>
          <cell r="U4335">
            <v>0</v>
          </cell>
          <cell r="V4335">
            <v>7352124</v>
          </cell>
          <cell r="W4335">
            <v>13991</v>
          </cell>
          <cell r="X4335">
            <v>8337291</v>
          </cell>
          <cell r="Y4335">
            <v>23583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41292755</v>
          </cell>
          <cell r="AE4335">
            <v>13041868581</v>
          </cell>
          <cell r="AF4335">
            <v>27158174</v>
          </cell>
          <cell r="AG4335">
            <v>0</v>
          </cell>
          <cell r="AH4335">
            <v>36000000</v>
          </cell>
          <cell r="AI4335">
            <v>0</v>
          </cell>
        </row>
        <row r="4336">
          <cell r="A4336">
            <v>504030901</v>
          </cell>
          <cell r="C4336">
            <v>3972343</v>
          </cell>
          <cell r="D4336">
            <v>141094</v>
          </cell>
          <cell r="E4336">
            <v>3961664</v>
          </cell>
          <cell r="F4336">
            <v>5314834</v>
          </cell>
          <cell r="G4336">
            <v>155603</v>
          </cell>
          <cell r="H4336">
            <v>28279495</v>
          </cell>
          <cell r="I4336">
            <v>692513</v>
          </cell>
          <cell r="J4336">
            <v>911645</v>
          </cell>
          <cell r="K4336">
            <v>0</v>
          </cell>
          <cell r="L4336">
            <v>0</v>
          </cell>
          <cell r="M4336">
            <v>0</v>
          </cell>
          <cell r="N4336">
            <v>1760000</v>
          </cell>
          <cell r="O4336">
            <v>0</v>
          </cell>
          <cell r="P4336">
            <v>0</v>
          </cell>
          <cell r="Q4336">
            <v>0</v>
          </cell>
          <cell r="R4336">
            <v>153847660</v>
          </cell>
          <cell r="S4336">
            <v>0</v>
          </cell>
          <cell r="T4336">
            <v>29836376</v>
          </cell>
          <cell r="U4336">
            <v>0</v>
          </cell>
          <cell r="V4336">
            <v>7352124</v>
          </cell>
          <cell r="W4336">
            <v>13991</v>
          </cell>
          <cell r="X4336">
            <v>8337291</v>
          </cell>
          <cell r="Y4336">
            <v>23583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41292755</v>
          </cell>
          <cell r="AE4336">
            <v>13041868581</v>
          </cell>
          <cell r="AF4336">
            <v>27158174</v>
          </cell>
          <cell r="AG4336">
            <v>0</v>
          </cell>
          <cell r="AH4336">
            <v>36000000</v>
          </cell>
          <cell r="AI4336">
            <v>0</v>
          </cell>
        </row>
        <row r="4337">
          <cell r="A4337">
            <v>504031000</v>
          </cell>
          <cell r="C4337">
            <v>40213912</v>
          </cell>
          <cell r="D4337">
            <v>7361999</v>
          </cell>
          <cell r="E4337">
            <v>22299896</v>
          </cell>
          <cell r="F4337">
            <v>11929044</v>
          </cell>
          <cell r="G4337">
            <v>5861898</v>
          </cell>
          <cell r="H4337">
            <v>15503205</v>
          </cell>
          <cell r="I4337">
            <v>9237401</v>
          </cell>
          <cell r="J4337">
            <v>7165983</v>
          </cell>
          <cell r="K4337">
            <v>5626331</v>
          </cell>
          <cell r="L4337">
            <v>16990434</v>
          </cell>
          <cell r="M4337">
            <v>5626331</v>
          </cell>
          <cell r="N4337">
            <v>0</v>
          </cell>
          <cell r="O4337">
            <v>5626331</v>
          </cell>
          <cell r="P4337">
            <v>5626389</v>
          </cell>
          <cell r="Q4337">
            <v>7176798</v>
          </cell>
          <cell r="R4337">
            <v>27941903</v>
          </cell>
          <cell r="S4337">
            <v>5626331</v>
          </cell>
          <cell r="T4337">
            <v>381893787</v>
          </cell>
          <cell r="U4337">
            <v>0</v>
          </cell>
          <cell r="V4337">
            <v>12702938</v>
          </cell>
          <cell r="W4337">
            <v>5667240</v>
          </cell>
          <cell r="X4337">
            <v>17400785</v>
          </cell>
          <cell r="Y4337">
            <v>5840015</v>
          </cell>
          <cell r="Z4337">
            <v>5626331</v>
          </cell>
          <cell r="AA4337">
            <v>5626331</v>
          </cell>
          <cell r="AB4337">
            <v>5626331</v>
          </cell>
          <cell r="AC4337">
            <v>5626331</v>
          </cell>
          <cell r="AD4337">
            <v>27646353</v>
          </cell>
          <cell r="AE4337">
            <v>0</v>
          </cell>
          <cell r="AF4337">
            <v>20000422</v>
          </cell>
          <cell r="AG4337">
            <v>5626331</v>
          </cell>
          <cell r="AH4337">
            <v>0</v>
          </cell>
          <cell r="AI4337">
            <v>0</v>
          </cell>
        </row>
        <row r="4338">
          <cell r="A4338">
            <v>504031001</v>
          </cell>
          <cell r="C4338">
            <v>40213912</v>
          </cell>
          <cell r="D4338">
            <v>7361999</v>
          </cell>
          <cell r="E4338">
            <v>22299896</v>
          </cell>
          <cell r="F4338">
            <v>11929044</v>
          </cell>
          <cell r="G4338">
            <v>5861898</v>
          </cell>
          <cell r="H4338">
            <v>15503205</v>
          </cell>
          <cell r="I4338">
            <v>9237401</v>
          </cell>
          <cell r="J4338">
            <v>7165983</v>
          </cell>
          <cell r="K4338">
            <v>5626331</v>
          </cell>
          <cell r="L4338">
            <v>16990434</v>
          </cell>
          <cell r="M4338">
            <v>5626331</v>
          </cell>
          <cell r="N4338">
            <v>0</v>
          </cell>
          <cell r="O4338">
            <v>5626331</v>
          </cell>
          <cell r="P4338">
            <v>5626389</v>
          </cell>
          <cell r="Q4338">
            <v>7176798</v>
          </cell>
          <cell r="R4338">
            <v>27941903</v>
          </cell>
          <cell r="S4338">
            <v>5626331</v>
          </cell>
          <cell r="T4338">
            <v>381893787</v>
          </cell>
          <cell r="U4338">
            <v>0</v>
          </cell>
          <cell r="V4338">
            <v>12702938</v>
          </cell>
          <cell r="W4338">
            <v>5667240</v>
          </cell>
          <cell r="X4338">
            <v>17400785</v>
          </cell>
          <cell r="Y4338">
            <v>5840015</v>
          </cell>
          <cell r="Z4338">
            <v>5626331</v>
          </cell>
          <cell r="AA4338">
            <v>5626331</v>
          </cell>
          <cell r="AB4338">
            <v>5626331</v>
          </cell>
          <cell r="AC4338">
            <v>5626331</v>
          </cell>
          <cell r="AD4338">
            <v>27646353</v>
          </cell>
          <cell r="AE4338">
            <v>0</v>
          </cell>
          <cell r="AF4338">
            <v>20000422</v>
          </cell>
          <cell r="AG4338">
            <v>5626331</v>
          </cell>
          <cell r="AH4338">
            <v>0</v>
          </cell>
          <cell r="AI4338">
            <v>0</v>
          </cell>
        </row>
        <row r="4339">
          <cell r="A4339">
            <v>504031100</v>
          </cell>
          <cell r="C4339">
            <v>611300</v>
          </cell>
          <cell r="D4339">
            <v>541273</v>
          </cell>
          <cell r="E4339">
            <v>104031</v>
          </cell>
          <cell r="F4339">
            <v>2597400</v>
          </cell>
          <cell r="G4339">
            <v>18215</v>
          </cell>
          <cell r="H4339">
            <v>2457671</v>
          </cell>
          <cell r="I4339">
            <v>0</v>
          </cell>
          <cell r="J4339">
            <v>862912</v>
          </cell>
          <cell r="K4339">
            <v>0</v>
          </cell>
          <cell r="L4339">
            <v>0</v>
          </cell>
          <cell r="M4339">
            <v>0</v>
          </cell>
          <cell r="N4339">
            <v>73584014</v>
          </cell>
          <cell r="O4339">
            <v>0</v>
          </cell>
          <cell r="P4339">
            <v>0</v>
          </cell>
          <cell r="Q4339">
            <v>0</v>
          </cell>
          <cell r="R4339">
            <v>502376</v>
          </cell>
          <cell r="S4339">
            <v>0</v>
          </cell>
          <cell r="T4339">
            <v>1811743</v>
          </cell>
          <cell r="U4339">
            <v>0</v>
          </cell>
          <cell r="V4339">
            <v>0</v>
          </cell>
          <cell r="W4339">
            <v>0</v>
          </cell>
          <cell r="X4339">
            <v>3620772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</row>
        <row r="4340">
          <cell r="A4340">
            <v>504031101</v>
          </cell>
          <cell r="C4340">
            <v>611300</v>
          </cell>
          <cell r="D4340">
            <v>541273</v>
          </cell>
          <cell r="E4340">
            <v>104031</v>
          </cell>
          <cell r="F4340">
            <v>2597400</v>
          </cell>
          <cell r="G4340">
            <v>18215</v>
          </cell>
          <cell r="H4340">
            <v>2457671</v>
          </cell>
          <cell r="I4340">
            <v>0</v>
          </cell>
          <cell r="J4340">
            <v>862912</v>
          </cell>
          <cell r="K4340">
            <v>0</v>
          </cell>
          <cell r="L4340">
            <v>0</v>
          </cell>
          <cell r="M4340">
            <v>0</v>
          </cell>
          <cell r="N4340">
            <v>73584014</v>
          </cell>
          <cell r="O4340">
            <v>0</v>
          </cell>
          <cell r="P4340">
            <v>0</v>
          </cell>
          <cell r="Q4340">
            <v>0</v>
          </cell>
          <cell r="R4340">
            <v>502376</v>
          </cell>
          <cell r="S4340">
            <v>0</v>
          </cell>
          <cell r="T4340">
            <v>1811743</v>
          </cell>
          <cell r="U4340">
            <v>0</v>
          </cell>
          <cell r="V4340">
            <v>0</v>
          </cell>
          <cell r="W4340">
            <v>0</v>
          </cell>
          <cell r="X4340">
            <v>3620772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</row>
        <row r="4341">
          <cell r="A4341">
            <v>504031200</v>
          </cell>
          <cell r="C4341">
            <v>21739306</v>
          </cell>
          <cell r="D4341">
            <v>1126634</v>
          </cell>
          <cell r="E4341">
            <v>9517028</v>
          </cell>
          <cell r="F4341">
            <v>4836337</v>
          </cell>
          <cell r="G4341">
            <v>73190</v>
          </cell>
          <cell r="H4341">
            <v>21741248</v>
          </cell>
          <cell r="I4341">
            <v>883894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138096364</v>
          </cell>
          <cell r="O4341">
            <v>0</v>
          </cell>
          <cell r="P4341">
            <v>0</v>
          </cell>
          <cell r="Q4341">
            <v>0</v>
          </cell>
          <cell r="R4341">
            <v>46348124</v>
          </cell>
          <cell r="S4341">
            <v>0</v>
          </cell>
          <cell r="T4341">
            <v>24793791</v>
          </cell>
          <cell r="U4341">
            <v>0</v>
          </cell>
          <cell r="V4341">
            <v>0</v>
          </cell>
          <cell r="W4341">
            <v>0</v>
          </cell>
          <cell r="X4341">
            <v>6984155</v>
          </cell>
          <cell r="Y4341">
            <v>61670</v>
          </cell>
          <cell r="Z4341">
            <v>1200000</v>
          </cell>
          <cell r="AA4341">
            <v>0</v>
          </cell>
          <cell r="AB4341">
            <v>0</v>
          </cell>
          <cell r="AC4341">
            <v>0</v>
          </cell>
          <cell r="AD4341">
            <v>21405078</v>
          </cell>
          <cell r="AE4341">
            <v>0</v>
          </cell>
          <cell r="AF4341">
            <v>13702843</v>
          </cell>
          <cell r="AG4341">
            <v>0</v>
          </cell>
          <cell r="AH4341">
            <v>0</v>
          </cell>
          <cell r="AI4341">
            <v>0</v>
          </cell>
        </row>
        <row r="4342">
          <cell r="A4342">
            <v>504031201</v>
          </cell>
          <cell r="C4342">
            <v>21739306</v>
          </cell>
          <cell r="D4342">
            <v>1126634</v>
          </cell>
          <cell r="E4342">
            <v>9517028</v>
          </cell>
          <cell r="F4342">
            <v>4836337</v>
          </cell>
          <cell r="G4342">
            <v>73190</v>
          </cell>
          <cell r="H4342">
            <v>21741248</v>
          </cell>
          <cell r="I4342">
            <v>883894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138096364</v>
          </cell>
          <cell r="O4342">
            <v>0</v>
          </cell>
          <cell r="P4342">
            <v>0</v>
          </cell>
          <cell r="Q4342">
            <v>0</v>
          </cell>
          <cell r="R4342">
            <v>46348124</v>
          </cell>
          <cell r="S4342">
            <v>0</v>
          </cell>
          <cell r="T4342">
            <v>24793791</v>
          </cell>
          <cell r="U4342">
            <v>0</v>
          </cell>
          <cell r="V4342">
            <v>0</v>
          </cell>
          <cell r="W4342">
            <v>0</v>
          </cell>
          <cell r="X4342">
            <v>6984155</v>
          </cell>
          <cell r="Y4342">
            <v>61670</v>
          </cell>
          <cell r="Z4342">
            <v>1200000</v>
          </cell>
          <cell r="AA4342">
            <v>0</v>
          </cell>
          <cell r="AB4342">
            <v>0</v>
          </cell>
          <cell r="AC4342">
            <v>0</v>
          </cell>
          <cell r="AD4342">
            <v>21405078</v>
          </cell>
          <cell r="AE4342">
            <v>0</v>
          </cell>
          <cell r="AF4342">
            <v>13702843</v>
          </cell>
          <cell r="AG4342">
            <v>0</v>
          </cell>
          <cell r="AH4342">
            <v>0</v>
          </cell>
          <cell r="AI4342">
            <v>0</v>
          </cell>
        </row>
        <row r="4343">
          <cell r="A4343">
            <v>504031300</v>
          </cell>
          <cell r="C4343">
            <v>838909761</v>
          </cell>
          <cell r="D4343">
            <v>0</v>
          </cell>
          <cell r="E4343">
            <v>7301613</v>
          </cell>
          <cell r="F4343">
            <v>6487500</v>
          </cell>
          <cell r="G4343">
            <v>169847</v>
          </cell>
          <cell r="H4343">
            <v>132118102</v>
          </cell>
          <cell r="I4343">
            <v>0</v>
          </cell>
          <cell r="J4343">
            <v>2415132</v>
          </cell>
          <cell r="K4343">
            <v>0</v>
          </cell>
          <cell r="L4343">
            <v>0</v>
          </cell>
          <cell r="M4343">
            <v>0</v>
          </cell>
          <cell r="N4343">
            <v>1162636</v>
          </cell>
          <cell r="O4343">
            <v>0</v>
          </cell>
          <cell r="P4343">
            <v>0</v>
          </cell>
          <cell r="Q4343">
            <v>0</v>
          </cell>
          <cell r="R4343">
            <v>75164359</v>
          </cell>
          <cell r="S4343">
            <v>0</v>
          </cell>
          <cell r="T4343">
            <v>23589076</v>
          </cell>
          <cell r="U4343">
            <v>0</v>
          </cell>
          <cell r="V4343">
            <v>1695419</v>
          </cell>
          <cell r="W4343">
            <v>0</v>
          </cell>
          <cell r="X4343">
            <v>25704817</v>
          </cell>
          <cell r="Y4343">
            <v>1868128</v>
          </cell>
          <cell r="Z4343">
            <v>0</v>
          </cell>
          <cell r="AA4343">
            <v>0</v>
          </cell>
          <cell r="AB4343">
            <v>2037585</v>
          </cell>
          <cell r="AC4343">
            <v>0</v>
          </cell>
          <cell r="AD4343">
            <v>22808271</v>
          </cell>
          <cell r="AE4343">
            <v>0</v>
          </cell>
          <cell r="AF4343">
            <v>174728879</v>
          </cell>
          <cell r="AG4343">
            <v>0</v>
          </cell>
          <cell r="AH4343">
            <v>7036363</v>
          </cell>
          <cell r="AI4343">
            <v>0</v>
          </cell>
        </row>
        <row r="4344">
          <cell r="A4344">
            <v>504031301</v>
          </cell>
          <cell r="C4344">
            <v>838909761</v>
          </cell>
          <cell r="D4344">
            <v>0</v>
          </cell>
          <cell r="E4344">
            <v>7301613</v>
          </cell>
          <cell r="F4344">
            <v>6487500</v>
          </cell>
          <cell r="G4344">
            <v>169847</v>
          </cell>
          <cell r="H4344">
            <v>132118102</v>
          </cell>
          <cell r="I4344">
            <v>0</v>
          </cell>
          <cell r="J4344">
            <v>2415132</v>
          </cell>
          <cell r="K4344">
            <v>0</v>
          </cell>
          <cell r="L4344">
            <v>0</v>
          </cell>
          <cell r="M4344">
            <v>0</v>
          </cell>
          <cell r="N4344">
            <v>1162636</v>
          </cell>
          <cell r="O4344">
            <v>0</v>
          </cell>
          <cell r="P4344">
            <v>0</v>
          </cell>
          <cell r="Q4344">
            <v>0</v>
          </cell>
          <cell r="R4344">
            <v>75164359</v>
          </cell>
          <cell r="S4344">
            <v>0</v>
          </cell>
          <cell r="T4344">
            <v>23589076</v>
          </cell>
          <cell r="U4344">
            <v>0</v>
          </cell>
          <cell r="V4344">
            <v>1695419</v>
          </cell>
          <cell r="W4344">
            <v>0</v>
          </cell>
          <cell r="X4344">
            <v>25704817</v>
          </cell>
          <cell r="Y4344">
            <v>1868128</v>
          </cell>
          <cell r="Z4344">
            <v>0</v>
          </cell>
          <cell r="AA4344">
            <v>0</v>
          </cell>
          <cell r="AB4344">
            <v>2037585</v>
          </cell>
          <cell r="AC4344">
            <v>0</v>
          </cell>
          <cell r="AD4344">
            <v>22808271</v>
          </cell>
          <cell r="AE4344">
            <v>0</v>
          </cell>
          <cell r="AF4344">
            <v>174728879</v>
          </cell>
          <cell r="AG4344">
            <v>0</v>
          </cell>
          <cell r="AH4344">
            <v>7036363</v>
          </cell>
          <cell r="AI4344">
            <v>0</v>
          </cell>
        </row>
        <row r="4345">
          <cell r="A4345">
            <v>504032000</v>
          </cell>
          <cell r="C4345">
            <v>43526973</v>
          </cell>
          <cell r="D4345">
            <v>5479273</v>
          </cell>
          <cell r="E4345">
            <v>14865106</v>
          </cell>
          <cell r="F4345">
            <v>4255020</v>
          </cell>
          <cell r="G4345">
            <v>0</v>
          </cell>
          <cell r="H4345">
            <v>74178945</v>
          </cell>
          <cell r="I4345">
            <v>2527783</v>
          </cell>
          <cell r="J4345">
            <v>0</v>
          </cell>
          <cell r="K4345">
            <v>0</v>
          </cell>
          <cell r="L4345">
            <v>23360572</v>
          </cell>
          <cell r="M4345">
            <v>0</v>
          </cell>
          <cell r="N4345">
            <v>619377921</v>
          </cell>
          <cell r="O4345">
            <v>0</v>
          </cell>
          <cell r="P4345">
            <v>0</v>
          </cell>
          <cell r="Q4345">
            <v>0</v>
          </cell>
          <cell r="R4345">
            <v>8812042</v>
          </cell>
          <cell r="S4345">
            <v>0</v>
          </cell>
          <cell r="T4345">
            <v>153514923</v>
          </cell>
          <cell r="U4345">
            <v>0</v>
          </cell>
          <cell r="V4345">
            <v>4325905</v>
          </cell>
          <cell r="W4345">
            <v>0</v>
          </cell>
          <cell r="X4345">
            <v>40143919</v>
          </cell>
          <cell r="Y4345">
            <v>0</v>
          </cell>
          <cell r="Z4345">
            <v>0</v>
          </cell>
          <cell r="AA4345">
            <v>0</v>
          </cell>
          <cell r="AB4345">
            <v>12308081226</v>
          </cell>
          <cell r="AC4345">
            <v>0</v>
          </cell>
          <cell r="AD4345">
            <v>95931312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</row>
        <row r="4346">
          <cell r="A4346">
            <v>504032001</v>
          </cell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-2478</v>
          </cell>
          <cell r="M4346">
            <v>0</v>
          </cell>
          <cell r="N4346">
            <v>33651657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92530333</v>
          </cell>
          <cell r="U4346">
            <v>0</v>
          </cell>
          <cell r="V4346">
            <v>4000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</row>
        <row r="4347">
          <cell r="A4347">
            <v>504032002</v>
          </cell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R4347">
            <v>0</v>
          </cell>
          <cell r="S4347">
            <v>0</v>
          </cell>
          <cell r="T4347">
            <v>22944681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</row>
        <row r="4348">
          <cell r="A4348">
            <v>504032003</v>
          </cell>
          <cell r="C4348">
            <v>43526973</v>
          </cell>
          <cell r="D4348">
            <v>5479273</v>
          </cell>
          <cell r="E4348">
            <v>14865106</v>
          </cell>
          <cell r="F4348">
            <v>4255020</v>
          </cell>
          <cell r="G4348">
            <v>0</v>
          </cell>
          <cell r="H4348">
            <v>74178945</v>
          </cell>
          <cell r="I4348">
            <v>2527783</v>
          </cell>
          <cell r="J4348">
            <v>0</v>
          </cell>
          <cell r="K4348">
            <v>0</v>
          </cell>
          <cell r="L4348">
            <v>23363050</v>
          </cell>
          <cell r="M4348">
            <v>0</v>
          </cell>
          <cell r="N4348">
            <v>585726264</v>
          </cell>
          <cell r="O4348">
            <v>0</v>
          </cell>
          <cell r="P4348">
            <v>0</v>
          </cell>
          <cell r="Q4348">
            <v>0</v>
          </cell>
          <cell r="R4348">
            <v>8812042</v>
          </cell>
          <cell r="S4348">
            <v>0</v>
          </cell>
          <cell r="T4348">
            <v>3076312</v>
          </cell>
          <cell r="U4348">
            <v>0</v>
          </cell>
          <cell r="V4348">
            <v>4321905</v>
          </cell>
          <cell r="W4348">
            <v>0</v>
          </cell>
          <cell r="X4348">
            <v>40143919</v>
          </cell>
          <cell r="Y4348">
            <v>0</v>
          </cell>
          <cell r="Z4348">
            <v>0</v>
          </cell>
          <cell r="AA4348">
            <v>0</v>
          </cell>
          <cell r="AB4348">
            <v>12308081226</v>
          </cell>
          <cell r="AC4348">
            <v>0</v>
          </cell>
          <cell r="AD4348">
            <v>95931312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</row>
        <row r="4349">
          <cell r="A4349">
            <v>504032004</v>
          </cell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</row>
        <row r="4350">
          <cell r="A4350">
            <v>504032005</v>
          </cell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</row>
        <row r="4351">
          <cell r="A4351">
            <v>504032006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R4351">
            <v>0</v>
          </cell>
          <cell r="S4351">
            <v>0</v>
          </cell>
          <cell r="T4351">
            <v>34216539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</row>
        <row r="4352">
          <cell r="A4352">
            <v>504032007</v>
          </cell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</row>
        <row r="4353">
          <cell r="A4353">
            <v>504032008</v>
          </cell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R4353">
            <v>0</v>
          </cell>
          <cell r="S4353">
            <v>0</v>
          </cell>
          <cell r="T4353">
            <v>747058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</row>
        <row r="4354">
          <cell r="A4354">
            <v>504032009</v>
          </cell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</row>
        <row r="4355">
          <cell r="A4355">
            <v>505000000</v>
          </cell>
          <cell r="C4355">
            <v>4061848800</v>
          </cell>
          <cell r="D4355">
            <v>3894134195</v>
          </cell>
          <cell r="E4355">
            <v>1529119664</v>
          </cell>
          <cell r="F4355">
            <v>901778905</v>
          </cell>
          <cell r="G4355">
            <v>3707971991</v>
          </cell>
          <cell r="H4355">
            <v>3486792199</v>
          </cell>
          <cell r="I4355">
            <v>2045000493</v>
          </cell>
          <cell r="J4355">
            <v>887406595</v>
          </cell>
          <cell r="K4355">
            <v>352880115</v>
          </cell>
          <cell r="L4355">
            <v>258441844</v>
          </cell>
          <cell r="M4355">
            <v>378266542</v>
          </cell>
          <cell r="N4355">
            <v>9073437297</v>
          </cell>
          <cell r="O4355">
            <v>1028108419</v>
          </cell>
          <cell r="P4355">
            <v>1451362919</v>
          </cell>
          <cell r="Q4355">
            <v>2456659410</v>
          </cell>
          <cell r="R4355">
            <v>3218823763</v>
          </cell>
          <cell r="S4355">
            <v>1057342337</v>
          </cell>
          <cell r="T4355">
            <v>2183387899</v>
          </cell>
          <cell r="U4355">
            <v>6800000</v>
          </cell>
          <cell r="V4355">
            <v>1364937237</v>
          </cell>
          <cell r="W4355">
            <v>2021539232</v>
          </cell>
          <cell r="X4355">
            <v>2406377563</v>
          </cell>
          <cell r="Y4355">
            <v>716990362</v>
          </cell>
          <cell r="Z4355">
            <v>1788387225</v>
          </cell>
          <cell r="AA4355">
            <v>432872753</v>
          </cell>
          <cell r="AB4355">
            <v>3564497962</v>
          </cell>
          <cell r="AC4355">
            <v>1273677896</v>
          </cell>
          <cell r="AD4355">
            <v>1120128320</v>
          </cell>
          <cell r="AE4355">
            <v>8525383160</v>
          </cell>
          <cell r="AF4355">
            <v>1583163306</v>
          </cell>
          <cell r="AG4355">
            <v>914783799</v>
          </cell>
          <cell r="AH4355">
            <v>2736244749</v>
          </cell>
          <cell r="AI4355">
            <v>170023160</v>
          </cell>
        </row>
        <row r="4356">
          <cell r="A4356">
            <v>505010000</v>
          </cell>
          <cell r="C4356">
            <v>4061848800</v>
          </cell>
          <cell r="D4356">
            <v>3894134195</v>
          </cell>
          <cell r="E4356">
            <v>1529119664</v>
          </cell>
          <cell r="F4356">
            <v>901778905</v>
          </cell>
          <cell r="G4356">
            <v>3707971991</v>
          </cell>
          <cell r="H4356">
            <v>3486792199</v>
          </cell>
          <cell r="I4356">
            <v>2045000493</v>
          </cell>
          <cell r="J4356">
            <v>887406595</v>
          </cell>
          <cell r="K4356">
            <v>352880115</v>
          </cell>
          <cell r="L4356">
            <v>258441844</v>
          </cell>
          <cell r="M4356">
            <v>378266542</v>
          </cell>
          <cell r="N4356">
            <v>9073437297</v>
          </cell>
          <cell r="O4356">
            <v>1028108419</v>
          </cell>
          <cell r="P4356">
            <v>1451362919</v>
          </cell>
          <cell r="Q4356">
            <v>2456659410</v>
          </cell>
          <cell r="R4356">
            <v>3218823763</v>
          </cell>
          <cell r="S4356">
            <v>1057342337</v>
          </cell>
          <cell r="T4356">
            <v>2183387899</v>
          </cell>
          <cell r="U4356">
            <v>6800000</v>
          </cell>
          <cell r="V4356">
            <v>1364937237</v>
          </cell>
          <cell r="W4356">
            <v>2021539232</v>
          </cell>
          <cell r="X4356">
            <v>2406377563</v>
          </cell>
          <cell r="Y4356">
            <v>716990362</v>
          </cell>
          <cell r="Z4356">
            <v>1788387225</v>
          </cell>
          <cell r="AA4356">
            <v>432872753</v>
          </cell>
          <cell r="AB4356">
            <v>3564497962</v>
          </cell>
          <cell r="AC4356">
            <v>1273677896</v>
          </cell>
          <cell r="AD4356">
            <v>1120128320</v>
          </cell>
          <cell r="AE4356">
            <v>8525383160</v>
          </cell>
          <cell r="AF4356">
            <v>1583163306</v>
          </cell>
          <cell r="AG4356">
            <v>914783799</v>
          </cell>
          <cell r="AH4356">
            <v>2736244749</v>
          </cell>
          <cell r="AI4356">
            <v>170023160</v>
          </cell>
        </row>
        <row r="4357">
          <cell r="A4357">
            <v>505010100</v>
          </cell>
          <cell r="C4357">
            <v>173462735</v>
          </cell>
          <cell r="D4357">
            <v>625910482</v>
          </cell>
          <cell r="E4357">
            <v>525941511</v>
          </cell>
          <cell r="F4357">
            <v>201978199</v>
          </cell>
          <cell r="G4357">
            <v>404644490</v>
          </cell>
          <cell r="H4357">
            <v>996106360</v>
          </cell>
          <cell r="I4357">
            <v>1050400914</v>
          </cell>
          <cell r="J4357">
            <v>13920000</v>
          </cell>
          <cell r="K4357">
            <v>10238431</v>
          </cell>
          <cell r="L4357">
            <v>12118237</v>
          </cell>
          <cell r="M4357">
            <v>2360000</v>
          </cell>
          <cell r="N4357">
            <v>1180079669</v>
          </cell>
          <cell r="O4357">
            <v>136982244</v>
          </cell>
          <cell r="P4357">
            <v>300244550</v>
          </cell>
          <cell r="Q4357">
            <v>980795000</v>
          </cell>
          <cell r="R4357">
            <v>250203014</v>
          </cell>
          <cell r="S4357">
            <v>1200000</v>
          </cell>
          <cell r="T4357">
            <v>404171226</v>
          </cell>
          <cell r="U4357">
            <v>0</v>
          </cell>
          <cell r="V4357">
            <v>274280943</v>
          </cell>
          <cell r="W4357">
            <v>379426471</v>
          </cell>
          <cell r="X4357">
            <v>230801243</v>
          </cell>
          <cell r="Y4357">
            <v>28477694</v>
          </cell>
          <cell r="Z4357">
            <v>346459328</v>
          </cell>
          <cell r="AA4357">
            <v>63634000</v>
          </cell>
          <cell r="AB4357">
            <v>388078465</v>
          </cell>
          <cell r="AC4357">
            <v>430600000</v>
          </cell>
          <cell r="AD4357">
            <v>60157091</v>
          </cell>
          <cell r="AE4357">
            <v>928577741</v>
          </cell>
          <cell r="AF4357">
            <v>154882119</v>
          </cell>
          <cell r="AG4357">
            <v>132527464</v>
          </cell>
          <cell r="AH4357">
            <v>56466000</v>
          </cell>
          <cell r="AI4357">
            <v>0</v>
          </cell>
        </row>
        <row r="4358">
          <cell r="A4358">
            <v>505010101</v>
          </cell>
          <cell r="C4358">
            <v>0</v>
          </cell>
          <cell r="D4358">
            <v>0</v>
          </cell>
          <cell r="E4358">
            <v>525941511</v>
          </cell>
          <cell r="F4358">
            <v>531323</v>
          </cell>
          <cell r="G4358">
            <v>923055</v>
          </cell>
          <cell r="H4358">
            <v>0</v>
          </cell>
          <cell r="I4358">
            <v>175048793</v>
          </cell>
          <cell r="J4358">
            <v>0</v>
          </cell>
          <cell r="K4358">
            <v>398286</v>
          </cell>
          <cell r="L4358">
            <v>0</v>
          </cell>
          <cell r="M4358">
            <v>0</v>
          </cell>
          <cell r="N4358">
            <v>0</v>
          </cell>
          <cell r="O4358">
            <v>1478464</v>
          </cell>
          <cell r="P4358">
            <v>7037607</v>
          </cell>
          <cell r="Q4358">
            <v>980795000</v>
          </cell>
          <cell r="R4358">
            <v>0</v>
          </cell>
          <cell r="S4358">
            <v>0</v>
          </cell>
          <cell r="T4358">
            <v>404171226</v>
          </cell>
          <cell r="U4358">
            <v>0</v>
          </cell>
          <cell r="V4358">
            <v>0</v>
          </cell>
          <cell r="W4358">
            <v>0</v>
          </cell>
          <cell r="X4358">
            <v>900718</v>
          </cell>
          <cell r="Y4358">
            <v>8513</v>
          </cell>
          <cell r="Z4358">
            <v>0</v>
          </cell>
          <cell r="AA4358">
            <v>0</v>
          </cell>
          <cell r="AB4358">
            <v>6130049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</row>
        <row r="4359">
          <cell r="A4359">
            <v>505010102</v>
          </cell>
          <cell r="C4359">
            <v>173462735</v>
          </cell>
          <cell r="D4359">
            <v>625910482</v>
          </cell>
          <cell r="E4359">
            <v>0</v>
          </cell>
          <cell r="F4359">
            <v>201446876</v>
          </cell>
          <cell r="G4359">
            <v>403721435</v>
          </cell>
          <cell r="H4359">
            <v>996106360</v>
          </cell>
          <cell r="I4359">
            <v>875352121</v>
          </cell>
          <cell r="J4359">
            <v>13920000</v>
          </cell>
          <cell r="K4359">
            <v>9840145</v>
          </cell>
          <cell r="L4359">
            <v>12118237</v>
          </cell>
          <cell r="M4359">
            <v>2360000</v>
          </cell>
          <cell r="N4359">
            <v>1180079669</v>
          </cell>
          <cell r="O4359">
            <v>135503780</v>
          </cell>
          <cell r="P4359">
            <v>293206943</v>
          </cell>
          <cell r="Q4359">
            <v>0</v>
          </cell>
          <cell r="R4359">
            <v>250203014</v>
          </cell>
          <cell r="S4359">
            <v>1200000</v>
          </cell>
          <cell r="T4359">
            <v>0</v>
          </cell>
          <cell r="U4359">
            <v>0</v>
          </cell>
          <cell r="V4359">
            <v>274280943</v>
          </cell>
          <cell r="W4359">
            <v>379426471</v>
          </cell>
          <cell r="X4359">
            <v>229900525</v>
          </cell>
          <cell r="Y4359">
            <v>28469181</v>
          </cell>
          <cell r="Z4359">
            <v>346459328</v>
          </cell>
          <cell r="AA4359">
            <v>63634000</v>
          </cell>
          <cell r="AB4359">
            <v>381948416</v>
          </cell>
          <cell r="AC4359">
            <v>430600000</v>
          </cell>
          <cell r="AD4359">
            <v>60157091</v>
          </cell>
          <cell r="AE4359">
            <v>928577741</v>
          </cell>
          <cell r="AF4359">
            <v>154882119</v>
          </cell>
          <cell r="AG4359">
            <v>132527464</v>
          </cell>
          <cell r="AH4359">
            <v>56466000</v>
          </cell>
          <cell r="AI4359">
            <v>0</v>
          </cell>
        </row>
        <row r="4360">
          <cell r="A4360">
            <v>505010103</v>
          </cell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</row>
        <row r="4361">
          <cell r="A4361">
            <v>505010104</v>
          </cell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R4361">
            <v>0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</row>
        <row r="4362">
          <cell r="A4362">
            <v>505010200</v>
          </cell>
          <cell r="C4362">
            <v>162975901</v>
          </cell>
          <cell r="D4362">
            <v>289912875</v>
          </cell>
          <cell r="E4362">
            <v>283026000</v>
          </cell>
          <cell r="F4362">
            <v>11308074</v>
          </cell>
          <cell r="G4362">
            <v>11048828</v>
          </cell>
          <cell r="H4362">
            <v>123851286</v>
          </cell>
          <cell r="I4362">
            <v>3100000</v>
          </cell>
          <cell r="J4362">
            <v>5000000</v>
          </cell>
          <cell r="K4362">
            <v>0</v>
          </cell>
          <cell r="L4362">
            <v>0</v>
          </cell>
          <cell r="M4362">
            <v>9451920</v>
          </cell>
          <cell r="N4362">
            <v>240729115</v>
          </cell>
          <cell r="O4362">
            <v>6849550</v>
          </cell>
          <cell r="P4362">
            <v>160820616</v>
          </cell>
          <cell r="Q4362">
            <v>355822440</v>
          </cell>
          <cell r="R4362">
            <v>77960790</v>
          </cell>
          <cell r="S4362">
            <v>0</v>
          </cell>
          <cell r="T4362">
            <v>67050514</v>
          </cell>
          <cell r="U4362">
            <v>0</v>
          </cell>
          <cell r="V4362">
            <v>69978114</v>
          </cell>
          <cell r="W4362">
            <v>2772987</v>
          </cell>
          <cell r="X4362">
            <v>337612019</v>
          </cell>
          <cell r="Y4362">
            <v>919562</v>
          </cell>
          <cell r="Z4362">
            <v>36399799</v>
          </cell>
          <cell r="AA4362">
            <v>0</v>
          </cell>
          <cell r="AB4362">
            <v>288371669</v>
          </cell>
          <cell r="AC4362">
            <v>3100000</v>
          </cell>
          <cell r="AD4362">
            <v>13810750</v>
          </cell>
          <cell r="AE4362">
            <v>253711956</v>
          </cell>
          <cell r="AF4362">
            <v>7150000</v>
          </cell>
          <cell r="AG4362">
            <v>196571591</v>
          </cell>
          <cell r="AH4362">
            <v>11518181</v>
          </cell>
          <cell r="AI4362">
            <v>0</v>
          </cell>
        </row>
        <row r="4363">
          <cell r="A4363">
            <v>505010201</v>
          </cell>
          <cell r="C4363">
            <v>0</v>
          </cell>
          <cell r="D4363">
            <v>0</v>
          </cell>
          <cell r="E4363">
            <v>283026000</v>
          </cell>
          <cell r="F4363">
            <v>569418</v>
          </cell>
          <cell r="G4363">
            <v>48828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96363</v>
          </cell>
          <cell r="P4363">
            <v>3017702</v>
          </cell>
          <cell r="Q4363">
            <v>355822440</v>
          </cell>
          <cell r="R4363">
            <v>0</v>
          </cell>
          <cell r="S4363">
            <v>0</v>
          </cell>
          <cell r="T4363">
            <v>67050514</v>
          </cell>
          <cell r="U4363">
            <v>0</v>
          </cell>
          <cell r="V4363">
            <v>0</v>
          </cell>
          <cell r="W4363">
            <v>10512</v>
          </cell>
          <cell r="X4363">
            <v>792824</v>
          </cell>
          <cell r="Y4363">
            <v>19562</v>
          </cell>
          <cell r="Z4363">
            <v>0</v>
          </cell>
          <cell r="AA4363">
            <v>0</v>
          </cell>
          <cell r="AB4363">
            <v>7553376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</row>
        <row r="4364">
          <cell r="A4364">
            <v>505010202</v>
          </cell>
          <cell r="C4364">
            <v>162975901</v>
          </cell>
          <cell r="D4364">
            <v>289912875</v>
          </cell>
          <cell r="E4364">
            <v>0</v>
          </cell>
          <cell r="F4364">
            <v>10738656</v>
          </cell>
          <cell r="G4364">
            <v>11000000</v>
          </cell>
          <cell r="H4364">
            <v>123851286</v>
          </cell>
          <cell r="I4364">
            <v>3100000</v>
          </cell>
          <cell r="J4364">
            <v>5000000</v>
          </cell>
          <cell r="K4364">
            <v>0</v>
          </cell>
          <cell r="L4364">
            <v>0</v>
          </cell>
          <cell r="M4364">
            <v>9451920</v>
          </cell>
          <cell r="N4364">
            <v>240729115</v>
          </cell>
          <cell r="O4364">
            <v>6753187</v>
          </cell>
          <cell r="P4364">
            <v>157802914</v>
          </cell>
          <cell r="Q4364">
            <v>0</v>
          </cell>
          <cell r="R4364">
            <v>77960790</v>
          </cell>
          <cell r="S4364">
            <v>0</v>
          </cell>
          <cell r="T4364">
            <v>0</v>
          </cell>
          <cell r="U4364">
            <v>0</v>
          </cell>
          <cell r="V4364">
            <v>69978114</v>
          </cell>
          <cell r="W4364">
            <v>2762475</v>
          </cell>
          <cell r="X4364">
            <v>244274447</v>
          </cell>
          <cell r="Y4364">
            <v>900000</v>
          </cell>
          <cell r="Z4364">
            <v>36399799</v>
          </cell>
          <cell r="AA4364">
            <v>0</v>
          </cell>
          <cell r="AB4364">
            <v>280818293</v>
          </cell>
          <cell r="AC4364">
            <v>3100000</v>
          </cell>
          <cell r="AD4364">
            <v>13810750</v>
          </cell>
          <cell r="AE4364">
            <v>253711956</v>
          </cell>
          <cell r="AF4364">
            <v>7150000</v>
          </cell>
          <cell r="AG4364">
            <v>196571591</v>
          </cell>
          <cell r="AH4364">
            <v>11518181</v>
          </cell>
          <cell r="AI4364">
            <v>0</v>
          </cell>
        </row>
        <row r="4365">
          <cell r="A4365">
            <v>505010203</v>
          </cell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R4365">
            <v>0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92544748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</row>
        <row r="4366">
          <cell r="A4366">
            <v>505010204</v>
          </cell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R4366">
            <v>0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</row>
        <row r="4367">
          <cell r="A4367">
            <v>505010300</v>
          </cell>
          <cell r="C4367">
            <v>0</v>
          </cell>
          <cell r="D4367">
            <v>32540000</v>
          </cell>
          <cell r="E4367">
            <v>140222222</v>
          </cell>
          <cell r="F4367">
            <v>5556</v>
          </cell>
          <cell r="G4367">
            <v>0</v>
          </cell>
          <cell r="H4367">
            <v>9000000</v>
          </cell>
          <cell r="I4367">
            <v>0</v>
          </cell>
          <cell r="J4367">
            <v>11982000</v>
          </cell>
          <cell r="K4367">
            <v>0</v>
          </cell>
          <cell r="L4367">
            <v>800000</v>
          </cell>
          <cell r="M4367">
            <v>0</v>
          </cell>
          <cell r="N4367">
            <v>2047766</v>
          </cell>
          <cell r="O4367">
            <v>11020475</v>
          </cell>
          <cell r="P4367">
            <v>95968393</v>
          </cell>
          <cell r="Q4367">
            <v>47000000</v>
          </cell>
          <cell r="R4367">
            <v>26042920</v>
          </cell>
          <cell r="S4367">
            <v>2300000</v>
          </cell>
          <cell r="T4367">
            <v>112663193</v>
          </cell>
          <cell r="U4367">
            <v>0</v>
          </cell>
          <cell r="V4367">
            <v>39841122</v>
          </cell>
          <cell r="W4367">
            <v>0</v>
          </cell>
          <cell r="X4367">
            <v>21246734</v>
          </cell>
          <cell r="Y4367">
            <v>0</v>
          </cell>
          <cell r="Z4367">
            <v>0</v>
          </cell>
          <cell r="AA4367">
            <v>1000000</v>
          </cell>
          <cell r="AB4367">
            <v>97412894</v>
          </cell>
          <cell r="AC4367">
            <v>2200000</v>
          </cell>
          <cell r="AD4367">
            <v>4514066</v>
          </cell>
          <cell r="AE4367">
            <v>7434393</v>
          </cell>
          <cell r="AF4367">
            <v>132676354</v>
          </cell>
          <cell r="AG4367">
            <v>11644500</v>
          </cell>
          <cell r="AH4367">
            <v>181055944</v>
          </cell>
          <cell r="AI4367">
            <v>0</v>
          </cell>
        </row>
        <row r="4368">
          <cell r="A4368">
            <v>505010301</v>
          </cell>
          <cell r="C4368">
            <v>0</v>
          </cell>
          <cell r="D4368">
            <v>0</v>
          </cell>
          <cell r="E4368">
            <v>140222222</v>
          </cell>
          <cell r="F4368">
            <v>415</v>
          </cell>
          <cell r="G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503769</v>
          </cell>
          <cell r="P4368">
            <v>1968393</v>
          </cell>
          <cell r="Q4368">
            <v>47000000</v>
          </cell>
          <cell r="R4368">
            <v>0</v>
          </cell>
          <cell r="S4368">
            <v>0</v>
          </cell>
          <cell r="T4368">
            <v>112663193</v>
          </cell>
          <cell r="U4368">
            <v>0</v>
          </cell>
          <cell r="V4368">
            <v>0</v>
          </cell>
          <cell r="W4368">
            <v>0</v>
          </cell>
          <cell r="X4368">
            <v>269734</v>
          </cell>
          <cell r="Y4368">
            <v>0</v>
          </cell>
          <cell r="Z4368">
            <v>0</v>
          </cell>
          <cell r="AA4368">
            <v>0</v>
          </cell>
          <cell r="AB4368">
            <v>31012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</row>
        <row r="4369">
          <cell r="A4369">
            <v>505010302</v>
          </cell>
          <cell r="C4369">
            <v>0</v>
          </cell>
          <cell r="D4369">
            <v>32540000</v>
          </cell>
          <cell r="E4369">
            <v>0</v>
          </cell>
          <cell r="F4369">
            <v>5141</v>
          </cell>
          <cell r="G4369">
            <v>0</v>
          </cell>
          <cell r="H4369">
            <v>9000000</v>
          </cell>
          <cell r="I4369">
            <v>0</v>
          </cell>
          <cell r="J4369">
            <v>11982000</v>
          </cell>
          <cell r="K4369">
            <v>0</v>
          </cell>
          <cell r="L4369">
            <v>800000</v>
          </cell>
          <cell r="M4369">
            <v>0</v>
          </cell>
          <cell r="N4369">
            <v>2047766</v>
          </cell>
          <cell r="O4369">
            <v>10516706</v>
          </cell>
          <cell r="P4369">
            <v>94000000</v>
          </cell>
          <cell r="Q4369">
            <v>0</v>
          </cell>
          <cell r="R4369">
            <v>26042920</v>
          </cell>
          <cell r="S4369">
            <v>2300000</v>
          </cell>
          <cell r="T4369">
            <v>0</v>
          </cell>
          <cell r="U4369">
            <v>0</v>
          </cell>
          <cell r="V4369">
            <v>39841122</v>
          </cell>
          <cell r="W4369">
            <v>0</v>
          </cell>
          <cell r="X4369">
            <v>20977000</v>
          </cell>
          <cell r="Y4369">
            <v>0</v>
          </cell>
          <cell r="Z4369">
            <v>0</v>
          </cell>
          <cell r="AA4369">
            <v>1000000</v>
          </cell>
          <cell r="AB4369">
            <v>97381882</v>
          </cell>
          <cell r="AC4369">
            <v>2200000</v>
          </cell>
          <cell r="AD4369">
            <v>4514066</v>
          </cell>
          <cell r="AE4369">
            <v>7434393</v>
          </cell>
          <cell r="AF4369">
            <v>132676354</v>
          </cell>
          <cell r="AG4369">
            <v>11644500</v>
          </cell>
          <cell r="AH4369">
            <v>181055944</v>
          </cell>
          <cell r="AI4369">
            <v>0</v>
          </cell>
        </row>
        <row r="4370">
          <cell r="A4370">
            <v>505010303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R4370">
            <v>0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</row>
        <row r="4371">
          <cell r="A4371">
            <v>505010304</v>
          </cell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R4371">
            <v>0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</row>
        <row r="4372">
          <cell r="A4372">
            <v>505010400</v>
          </cell>
          <cell r="C4372">
            <v>2041091512</v>
          </cell>
          <cell r="D4372">
            <v>2077224023</v>
          </cell>
          <cell r="E4372">
            <v>321418424</v>
          </cell>
          <cell r="F4372">
            <v>557447534</v>
          </cell>
          <cell r="G4372">
            <v>2052846220</v>
          </cell>
          <cell r="H4372">
            <v>1064792989</v>
          </cell>
          <cell r="I4372">
            <v>873344905</v>
          </cell>
          <cell r="J4372">
            <v>757542075</v>
          </cell>
          <cell r="K4372">
            <v>234782798</v>
          </cell>
          <cell r="L4372">
            <v>77239378</v>
          </cell>
          <cell r="M4372">
            <v>234235313</v>
          </cell>
          <cell r="N4372">
            <v>4800033255</v>
          </cell>
          <cell r="O4372">
            <v>515637047</v>
          </cell>
          <cell r="P4372">
            <v>738003248</v>
          </cell>
          <cell r="Q4372">
            <v>537354939</v>
          </cell>
          <cell r="R4372">
            <v>667081245</v>
          </cell>
          <cell r="S4372">
            <v>937572000</v>
          </cell>
          <cell r="T4372">
            <v>792745705</v>
          </cell>
          <cell r="U4372">
            <v>6800000</v>
          </cell>
          <cell r="V4372">
            <v>423871310</v>
          </cell>
          <cell r="W4372">
            <v>701404570</v>
          </cell>
          <cell r="X4372">
            <v>1010593032</v>
          </cell>
          <cell r="Y4372">
            <v>189839719</v>
          </cell>
          <cell r="Z4372">
            <v>921363536</v>
          </cell>
          <cell r="AA4372">
            <v>247562566</v>
          </cell>
          <cell r="AB4372">
            <v>1444100320</v>
          </cell>
          <cell r="AC4372">
            <v>355157725</v>
          </cell>
          <cell r="AD4372">
            <v>660354381</v>
          </cell>
          <cell r="AE4372">
            <v>6109656132</v>
          </cell>
          <cell r="AF4372">
            <v>707401534</v>
          </cell>
          <cell r="AG4372">
            <v>290205416</v>
          </cell>
          <cell r="AH4372">
            <v>734926584</v>
          </cell>
          <cell r="AI4372">
            <v>110819001</v>
          </cell>
        </row>
        <row r="4373">
          <cell r="A4373">
            <v>505010401</v>
          </cell>
          <cell r="C4373">
            <v>17963189</v>
          </cell>
          <cell r="D4373">
            <v>20924534</v>
          </cell>
          <cell r="E4373">
            <v>321418424</v>
          </cell>
          <cell r="F4373">
            <v>8845320</v>
          </cell>
          <cell r="G4373">
            <v>13915312</v>
          </cell>
          <cell r="H4373">
            <v>28260957</v>
          </cell>
          <cell r="I4373">
            <v>0</v>
          </cell>
          <cell r="J4373">
            <v>0</v>
          </cell>
          <cell r="K4373">
            <v>2436826</v>
          </cell>
          <cell r="L4373">
            <v>6439603</v>
          </cell>
          <cell r="M4373">
            <v>1581232</v>
          </cell>
          <cell r="N4373">
            <v>727125698</v>
          </cell>
          <cell r="O4373">
            <v>2484251</v>
          </cell>
          <cell r="P4373">
            <v>1897260</v>
          </cell>
          <cell r="Q4373">
            <v>537354939</v>
          </cell>
          <cell r="R4373">
            <v>754675</v>
          </cell>
          <cell r="S4373">
            <v>0</v>
          </cell>
          <cell r="T4373">
            <v>708605705</v>
          </cell>
          <cell r="U4373">
            <v>0</v>
          </cell>
          <cell r="V4373">
            <v>24966462</v>
          </cell>
          <cell r="W4373">
            <v>0</v>
          </cell>
          <cell r="X4373">
            <v>4495883</v>
          </cell>
          <cell r="Y4373">
            <v>925165</v>
          </cell>
          <cell r="Z4373">
            <v>160605315</v>
          </cell>
          <cell r="AA4373">
            <v>5265134</v>
          </cell>
          <cell r="AB4373">
            <v>21388106</v>
          </cell>
          <cell r="AC4373">
            <v>3447618</v>
          </cell>
          <cell r="AD4373">
            <v>50709898</v>
          </cell>
          <cell r="AE4373">
            <v>659908579</v>
          </cell>
          <cell r="AF4373">
            <v>12375164</v>
          </cell>
          <cell r="AG4373">
            <v>3791638</v>
          </cell>
          <cell r="AH4373">
            <v>1819551</v>
          </cell>
          <cell r="AI4373">
            <v>110819001</v>
          </cell>
        </row>
        <row r="4374">
          <cell r="A4374">
            <v>505010402</v>
          </cell>
          <cell r="C4374">
            <v>1583654953</v>
          </cell>
          <cell r="D4374">
            <v>2049169489</v>
          </cell>
          <cell r="E4374">
            <v>0</v>
          </cell>
          <cell r="F4374">
            <v>548602214</v>
          </cell>
          <cell r="G4374">
            <v>2038930908</v>
          </cell>
          <cell r="H4374">
            <v>983322032</v>
          </cell>
          <cell r="I4374">
            <v>873344905</v>
          </cell>
          <cell r="J4374">
            <v>695631394</v>
          </cell>
          <cell r="K4374">
            <v>232345972</v>
          </cell>
          <cell r="L4374">
            <v>70799775</v>
          </cell>
          <cell r="M4374">
            <v>232654081</v>
          </cell>
          <cell r="N4374">
            <v>4072907557</v>
          </cell>
          <cell r="O4374">
            <v>513152796</v>
          </cell>
          <cell r="P4374">
            <v>736105988</v>
          </cell>
          <cell r="Q4374">
            <v>0</v>
          </cell>
          <cell r="R4374">
            <v>294731976</v>
          </cell>
          <cell r="S4374">
            <v>921920000</v>
          </cell>
          <cell r="T4374">
            <v>0</v>
          </cell>
          <cell r="U4374">
            <v>0</v>
          </cell>
          <cell r="V4374">
            <v>230385414</v>
          </cell>
          <cell r="W4374">
            <v>701404570</v>
          </cell>
          <cell r="X4374">
            <v>976097149</v>
          </cell>
          <cell r="Y4374">
            <v>188914554</v>
          </cell>
          <cell r="Z4374">
            <v>640820411</v>
          </cell>
          <cell r="AA4374">
            <v>242297432</v>
          </cell>
          <cell r="AB4374">
            <v>1422712214</v>
          </cell>
          <cell r="AC4374">
            <v>258066579</v>
          </cell>
          <cell r="AD4374">
            <v>449644483</v>
          </cell>
          <cell r="AE4374">
            <v>5379544029</v>
          </cell>
          <cell r="AF4374">
            <v>695026370</v>
          </cell>
          <cell r="AG4374">
            <v>283253340</v>
          </cell>
          <cell r="AH4374">
            <v>733107033</v>
          </cell>
          <cell r="AI4374">
            <v>0</v>
          </cell>
        </row>
        <row r="4375">
          <cell r="A4375">
            <v>505010403</v>
          </cell>
          <cell r="C4375">
            <v>439473370</v>
          </cell>
          <cell r="D4375">
            <v>7130000</v>
          </cell>
          <cell r="E4375">
            <v>0</v>
          </cell>
          <cell r="F4375">
            <v>0</v>
          </cell>
          <cell r="G4375">
            <v>0</v>
          </cell>
          <cell r="H4375">
            <v>53210000</v>
          </cell>
          <cell r="I4375">
            <v>0</v>
          </cell>
          <cell r="J4375">
            <v>61910681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R4375">
            <v>371594594</v>
          </cell>
          <cell r="S4375">
            <v>15652000</v>
          </cell>
          <cell r="T4375">
            <v>84140000</v>
          </cell>
          <cell r="U4375">
            <v>6800000</v>
          </cell>
          <cell r="V4375">
            <v>168519434</v>
          </cell>
          <cell r="W4375">
            <v>0</v>
          </cell>
          <cell r="X4375">
            <v>30000000</v>
          </cell>
          <cell r="Y4375">
            <v>0</v>
          </cell>
          <cell r="Z4375">
            <v>119937810</v>
          </cell>
          <cell r="AA4375">
            <v>0</v>
          </cell>
          <cell r="AB4375">
            <v>0</v>
          </cell>
          <cell r="AC4375">
            <v>93643528</v>
          </cell>
          <cell r="AD4375">
            <v>160000000</v>
          </cell>
          <cell r="AE4375">
            <v>70203524</v>
          </cell>
          <cell r="AF4375">
            <v>0</v>
          </cell>
          <cell r="AG4375">
            <v>3160438</v>
          </cell>
          <cell r="AH4375">
            <v>0</v>
          </cell>
          <cell r="AI4375">
            <v>0</v>
          </cell>
        </row>
        <row r="4376">
          <cell r="A4376">
            <v>505010404</v>
          </cell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G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</row>
        <row r="4377">
          <cell r="A4377">
            <v>505010500</v>
          </cell>
          <cell r="C4377">
            <v>6808791</v>
          </cell>
          <cell r="D4377">
            <v>0</v>
          </cell>
          <cell r="E4377">
            <v>0</v>
          </cell>
          <cell r="F4377">
            <v>6808791</v>
          </cell>
          <cell r="G4377">
            <v>406023270</v>
          </cell>
          <cell r="H4377">
            <v>6808807</v>
          </cell>
          <cell r="I4377">
            <v>6808791</v>
          </cell>
          <cell r="J4377">
            <v>1590343</v>
          </cell>
          <cell r="K4377">
            <v>6808791</v>
          </cell>
          <cell r="L4377">
            <v>6808791</v>
          </cell>
          <cell r="M4377">
            <v>6808791</v>
          </cell>
          <cell r="N4377">
            <v>0</v>
          </cell>
          <cell r="O4377">
            <v>39913756</v>
          </cell>
          <cell r="P4377">
            <v>6808791</v>
          </cell>
          <cell r="Q4377">
            <v>0</v>
          </cell>
          <cell r="R4377">
            <v>6808967</v>
          </cell>
          <cell r="S4377">
            <v>6808791</v>
          </cell>
          <cell r="T4377">
            <v>0</v>
          </cell>
          <cell r="U4377">
            <v>0</v>
          </cell>
          <cell r="V4377">
            <v>0</v>
          </cell>
          <cell r="W4377">
            <v>6808807</v>
          </cell>
          <cell r="X4377">
            <v>6808791</v>
          </cell>
          <cell r="Y4377">
            <v>316668878</v>
          </cell>
          <cell r="Z4377">
            <v>6808791</v>
          </cell>
          <cell r="AA4377">
            <v>6808807</v>
          </cell>
          <cell r="AB4377">
            <v>6808807</v>
          </cell>
          <cell r="AC4377">
            <v>6808791</v>
          </cell>
          <cell r="AD4377">
            <v>0</v>
          </cell>
          <cell r="AE4377">
            <v>0</v>
          </cell>
          <cell r="AF4377">
            <v>0</v>
          </cell>
          <cell r="AG4377">
            <v>7411974</v>
          </cell>
          <cell r="AH4377">
            <v>0</v>
          </cell>
          <cell r="AI4377">
            <v>0</v>
          </cell>
        </row>
        <row r="4378">
          <cell r="A4378">
            <v>505010501</v>
          </cell>
          <cell r="C4378">
            <v>464031</v>
          </cell>
          <cell r="D4378">
            <v>0</v>
          </cell>
          <cell r="E4378">
            <v>0</v>
          </cell>
          <cell r="F4378">
            <v>464031</v>
          </cell>
          <cell r="G4378">
            <v>746121</v>
          </cell>
          <cell r="H4378">
            <v>464035</v>
          </cell>
          <cell r="I4378">
            <v>464031</v>
          </cell>
          <cell r="J4378">
            <v>324943</v>
          </cell>
          <cell r="K4378">
            <v>408388</v>
          </cell>
          <cell r="L4378">
            <v>464031</v>
          </cell>
          <cell r="M4378">
            <v>464031</v>
          </cell>
          <cell r="N4378">
            <v>0</v>
          </cell>
          <cell r="O4378">
            <v>0</v>
          </cell>
          <cell r="P4378">
            <v>464031</v>
          </cell>
          <cell r="Q4378">
            <v>0</v>
          </cell>
          <cell r="R4378">
            <v>464127</v>
          </cell>
          <cell r="S4378">
            <v>464031</v>
          </cell>
          <cell r="T4378">
            <v>0</v>
          </cell>
          <cell r="U4378">
            <v>0</v>
          </cell>
          <cell r="V4378">
            <v>0</v>
          </cell>
          <cell r="W4378">
            <v>464035</v>
          </cell>
          <cell r="X4378">
            <v>464031</v>
          </cell>
          <cell r="Y4378">
            <v>567480</v>
          </cell>
          <cell r="Z4378">
            <v>464031</v>
          </cell>
          <cell r="AA4378">
            <v>464035</v>
          </cell>
          <cell r="AB4378">
            <v>464035</v>
          </cell>
          <cell r="AC4378">
            <v>464031</v>
          </cell>
          <cell r="AD4378">
            <v>0</v>
          </cell>
          <cell r="AE4378">
            <v>0</v>
          </cell>
          <cell r="AF4378">
            <v>0</v>
          </cell>
          <cell r="AG4378">
            <v>464031</v>
          </cell>
          <cell r="AH4378">
            <v>0</v>
          </cell>
          <cell r="AI4378">
            <v>0</v>
          </cell>
        </row>
        <row r="4379">
          <cell r="A4379">
            <v>505010502</v>
          </cell>
          <cell r="C4379">
            <v>6344760</v>
          </cell>
          <cell r="D4379">
            <v>0</v>
          </cell>
          <cell r="E4379">
            <v>0</v>
          </cell>
          <cell r="F4379">
            <v>6344760</v>
          </cell>
          <cell r="G4379">
            <v>405277149</v>
          </cell>
          <cell r="H4379">
            <v>6344772</v>
          </cell>
          <cell r="I4379">
            <v>6344760</v>
          </cell>
          <cell r="J4379">
            <v>1265400</v>
          </cell>
          <cell r="K4379">
            <v>6400403</v>
          </cell>
          <cell r="L4379">
            <v>6344760</v>
          </cell>
          <cell r="M4379">
            <v>6344760</v>
          </cell>
          <cell r="N4379">
            <v>0</v>
          </cell>
          <cell r="O4379">
            <v>39913756</v>
          </cell>
          <cell r="P4379">
            <v>6344760</v>
          </cell>
          <cell r="Q4379">
            <v>0</v>
          </cell>
          <cell r="R4379">
            <v>6344840</v>
          </cell>
          <cell r="S4379">
            <v>6344760</v>
          </cell>
          <cell r="T4379">
            <v>0</v>
          </cell>
          <cell r="U4379">
            <v>0</v>
          </cell>
          <cell r="V4379">
            <v>0</v>
          </cell>
          <cell r="W4379">
            <v>6344772</v>
          </cell>
          <cell r="X4379">
            <v>6344760</v>
          </cell>
          <cell r="Y4379">
            <v>282751754</v>
          </cell>
          <cell r="Z4379">
            <v>6344760</v>
          </cell>
          <cell r="AA4379">
            <v>6344772</v>
          </cell>
          <cell r="AB4379">
            <v>6344772</v>
          </cell>
          <cell r="AC4379">
            <v>6344760</v>
          </cell>
          <cell r="AD4379">
            <v>0</v>
          </cell>
          <cell r="AE4379">
            <v>0</v>
          </cell>
          <cell r="AF4379">
            <v>0</v>
          </cell>
          <cell r="AG4379">
            <v>6947943</v>
          </cell>
          <cell r="AH4379">
            <v>0</v>
          </cell>
          <cell r="AI4379">
            <v>0</v>
          </cell>
        </row>
        <row r="4380">
          <cell r="A4380">
            <v>505010503</v>
          </cell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33349644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</row>
        <row r="4381">
          <cell r="A4381">
            <v>505010504</v>
          </cell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R4381">
            <v>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</row>
        <row r="4382">
          <cell r="A4382">
            <v>505010600</v>
          </cell>
          <cell r="C4382">
            <v>861816728</v>
          </cell>
          <cell r="D4382">
            <v>297286162</v>
          </cell>
          <cell r="E4382">
            <v>102659068</v>
          </cell>
          <cell r="F4382">
            <v>36367729</v>
          </cell>
          <cell r="G4382">
            <v>78915334</v>
          </cell>
          <cell r="H4382">
            <v>258345968</v>
          </cell>
          <cell r="I4382">
            <v>9587056</v>
          </cell>
          <cell r="J4382">
            <v>7000000</v>
          </cell>
          <cell r="K4382">
            <v>200424</v>
          </cell>
          <cell r="L4382">
            <v>1628600</v>
          </cell>
          <cell r="M4382">
            <v>37354538</v>
          </cell>
          <cell r="N4382">
            <v>501380115</v>
          </cell>
          <cell r="O4382">
            <v>35686810</v>
          </cell>
          <cell r="P4382">
            <v>67047481</v>
          </cell>
          <cell r="Q4382">
            <v>95114000</v>
          </cell>
          <cell r="R4382">
            <v>463986356</v>
          </cell>
          <cell r="S4382">
            <v>0</v>
          </cell>
          <cell r="T4382">
            <v>93924364</v>
          </cell>
          <cell r="U4382">
            <v>0</v>
          </cell>
          <cell r="V4382">
            <v>119893728</v>
          </cell>
          <cell r="W4382">
            <v>581995734</v>
          </cell>
          <cell r="X4382">
            <v>370264959</v>
          </cell>
          <cell r="Y4382">
            <v>0</v>
          </cell>
          <cell r="Z4382">
            <v>246219395</v>
          </cell>
          <cell r="AA4382">
            <v>33906000</v>
          </cell>
          <cell r="AB4382">
            <v>313640751</v>
          </cell>
          <cell r="AC4382">
            <v>33500000</v>
          </cell>
          <cell r="AD4382">
            <v>9083000</v>
          </cell>
          <cell r="AE4382">
            <v>648530027</v>
          </cell>
          <cell r="AF4382">
            <v>47101359</v>
          </cell>
          <cell r="AG4382">
            <v>172546572</v>
          </cell>
          <cell r="AH4382">
            <v>1282434483</v>
          </cell>
          <cell r="AI4382">
            <v>0</v>
          </cell>
        </row>
        <row r="4383">
          <cell r="A4383">
            <v>505010601</v>
          </cell>
          <cell r="C4383">
            <v>0</v>
          </cell>
          <cell r="D4383">
            <v>0</v>
          </cell>
          <cell r="E4383">
            <v>102659068</v>
          </cell>
          <cell r="F4383">
            <v>658833</v>
          </cell>
          <cell r="G4383">
            <v>56158</v>
          </cell>
          <cell r="H4383">
            <v>0</v>
          </cell>
          <cell r="I4383">
            <v>0</v>
          </cell>
          <cell r="J4383">
            <v>0</v>
          </cell>
          <cell r="K4383">
            <v>78124</v>
          </cell>
          <cell r="L4383">
            <v>0</v>
          </cell>
          <cell r="M4383">
            <v>0</v>
          </cell>
          <cell r="N4383">
            <v>0</v>
          </cell>
          <cell r="O4383">
            <v>1356745</v>
          </cell>
          <cell r="P4383">
            <v>1807998</v>
          </cell>
          <cell r="Q4383">
            <v>95114000</v>
          </cell>
          <cell r="R4383">
            <v>0</v>
          </cell>
          <cell r="S4383">
            <v>0</v>
          </cell>
          <cell r="T4383">
            <v>93924364</v>
          </cell>
          <cell r="U4383">
            <v>0</v>
          </cell>
          <cell r="V4383">
            <v>0</v>
          </cell>
          <cell r="W4383">
            <v>222285767</v>
          </cell>
          <cell r="X4383">
            <v>921911</v>
          </cell>
          <cell r="Y4383">
            <v>0</v>
          </cell>
          <cell r="Z4383">
            <v>0</v>
          </cell>
          <cell r="AA4383">
            <v>0</v>
          </cell>
          <cell r="AB4383">
            <v>2044398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</row>
        <row r="4384">
          <cell r="A4384">
            <v>505010602</v>
          </cell>
          <cell r="C4384">
            <v>861816728</v>
          </cell>
          <cell r="D4384">
            <v>297286162</v>
          </cell>
          <cell r="E4384">
            <v>0</v>
          </cell>
          <cell r="F4384">
            <v>35708896</v>
          </cell>
          <cell r="G4384">
            <v>78859176</v>
          </cell>
          <cell r="H4384">
            <v>258345968</v>
          </cell>
          <cell r="I4384">
            <v>9587056</v>
          </cell>
          <cell r="J4384">
            <v>7000000</v>
          </cell>
          <cell r="K4384">
            <v>122300</v>
          </cell>
          <cell r="L4384">
            <v>1628600</v>
          </cell>
          <cell r="M4384">
            <v>37354538</v>
          </cell>
          <cell r="N4384">
            <v>501380115</v>
          </cell>
          <cell r="O4384">
            <v>34330065</v>
          </cell>
          <cell r="P4384">
            <v>65239483</v>
          </cell>
          <cell r="Q4384">
            <v>0</v>
          </cell>
          <cell r="R4384">
            <v>463986356</v>
          </cell>
          <cell r="S4384">
            <v>0</v>
          </cell>
          <cell r="T4384">
            <v>0</v>
          </cell>
          <cell r="U4384">
            <v>0</v>
          </cell>
          <cell r="V4384">
            <v>119893728</v>
          </cell>
          <cell r="W4384">
            <v>359709967</v>
          </cell>
          <cell r="X4384">
            <v>369343048</v>
          </cell>
          <cell r="Y4384">
            <v>0</v>
          </cell>
          <cell r="Z4384">
            <v>246219395</v>
          </cell>
          <cell r="AA4384">
            <v>33906000</v>
          </cell>
          <cell r="AB4384">
            <v>311596353</v>
          </cell>
          <cell r="AC4384">
            <v>33500000</v>
          </cell>
          <cell r="AD4384">
            <v>9083000</v>
          </cell>
          <cell r="AE4384">
            <v>648530027</v>
          </cell>
          <cell r="AF4384">
            <v>47101359</v>
          </cell>
          <cell r="AG4384">
            <v>172546572</v>
          </cell>
          <cell r="AH4384">
            <v>1282434483</v>
          </cell>
          <cell r="AI4384">
            <v>0</v>
          </cell>
        </row>
        <row r="4385">
          <cell r="A4385">
            <v>505010603</v>
          </cell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R4385">
            <v>0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</row>
        <row r="4386">
          <cell r="A4386">
            <v>505010604</v>
          </cell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R4386">
            <v>0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</row>
        <row r="4387">
          <cell r="A4387">
            <v>505010700</v>
          </cell>
          <cell r="C4387">
            <v>875636</v>
          </cell>
          <cell r="D4387">
            <v>10938200</v>
          </cell>
          <cell r="E4387">
            <v>0</v>
          </cell>
          <cell r="F4387">
            <v>1175736</v>
          </cell>
          <cell r="G4387">
            <v>4381042</v>
          </cell>
          <cell r="H4387">
            <v>38969998</v>
          </cell>
          <cell r="I4387">
            <v>1240000</v>
          </cell>
          <cell r="J4387">
            <v>3100000</v>
          </cell>
          <cell r="K4387">
            <v>526708</v>
          </cell>
          <cell r="L4387">
            <v>0</v>
          </cell>
          <cell r="M4387">
            <v>0</v>
          </cell>
          <cell r="N4387">
            <v>15594059</v>
          </cell>
          <cell r="O4387">
            <v>1153313</v>
          </cell>
          <cell r="P4387">
            <v>5103</v>
          </cell>
          <cell r="Q4387">
            <v>6250000</v>
          </cell>
          <cell r="R4387">
            <v>3311818</v>
          </cell>
          <cell r="S4387">
            <v>360000</v>
          </cell>
          <cell r="T4387">
            <v>0</v>
          </cell>
          <cell r="U4387">
            <v>0</v>
          </cell>
          <cell r="V4387">
            <v>6251746</v>
          </cell>
          <cell r="W4387">
            <v>1927272</v>
          </cell>
          <cell r="X4387">
            <v>4061846</v>
          </cell>
          <cell r="Y4387">
            <v>0</v>
          </cell>
          <cell r="Z4387">
            <v>10450636</v>
          </cell>
          <cell r="AA4387">
            <v>1400000</v>
          </cell>
          <cell r="AB4387">
            <v>5666635</v>
          </cell>
          <cell r="AC4387">
            <v>3000000</v>
          </cell>
          <cell r="AD4387">
            <v>2108546</v>
          </cell>
          <cell r="AE4387">
            <v>0</v>
          </cell>
          <cell r="AF4387">
            <v>0</v>
          </cell>
          <cell r="AG4387">
            <v>500000</v>
          </cell>
          <cell r="AH4387">
            <v>5209091</v>
          </cell>
          <cell r="AI4387">
            <v>0</v>
          </cell>
        </row>
        <row r="4388">
          <cell r="A4388">
            <v>505010701</v>
          </cell>
          <cell r="C4388">
            <v>0</v>
          </cell>
          <cell r="D4388">
            <v>0</v>
          </cell>
          <cell r="E4388">
            <v>0</v>
          </cell>
          <cell r="F4388">
            <v>17846</v>
          </cell>
          <cell r="G4388">
            <v>6042</v>
          </cell>
          <cell r="H4388">
            <v>0</v>
          </cell>
          <cell r="I4388">
            <v>0</v>
          </cell>
          <cell r="J4388">
            <v>0</v>
          </cell>
          <cell r="K4388">
            <v>26708</v>
          </cell>
          <cell r="L4388">
            <v>0</v>
          </cell>
          <cell r="M4388">
            <v>0</v>
          </cell>
          <cell r="N4388">
            <v>0</v>
          </cell>
          <cell r="O4388">
            <v>20778</v>
          </cell>
          <cell r="P4388">
            <v>5103</v>
          </cell>
          <cell r="Q4388">
            <v>6250000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40460</v>
          </cell>
          <cell r="Y4388">
            <v>0</v>
          </cell>
          <cell r="Z4388">
            <v>0</v>
          </cell>
          <cell r="AA4388">
            <v>0</v>
          </cell>
          <cell r="AB4388">
            <v>3214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</row>
        <row r="4389">
          <cell r="A4389">
            <v>505010702</v>
          </cell>
          <cell r="C4389">
            <v>875636</v>
          </cell>
          <cell r="D4389">
            <v>10938200</v>
          </cell>
          <cell r="E4389">
            <v>0</v>
          </cell>
          <cell r="F4389">
            <v>1157890</v>
          </cell>
          <cell r="G4389">
            <v>4375000</v>
          </cell>
          <cell r="H4389">
            <v>38969998</v>
          </cell>
          <cell r="I4389">
            <v>1240000</v>
          </cell>
          <cell r="J4389">
            <v>3100000</v>
          </cell>
          <cell r="K4389">
            <v>500000</v>
          </cell>
          <cell r="L4389">
            <v>0</v>
          </cell>
          <cell r="M4389">
            <v>0</v>
          </cell>
          <cell r="N4389">
            <v>15594059</v>
          </cell>
          <cell r="O4389">
            <v>1132535</v>
          </cell>
          <cell r="P4389">
            <v>0</v>
          </cell>
          <cell r="Q4389">
            <v>0</v>
          </cell>
          <cell r="R4389">
            <v>3311818</v>
          </cell>
          <cell r="S4389">
            <v>360000</v>
          </cell>
          <cell r="T4389">
            <v>0</v>
          </cell>
          <cell r="U4389">
            <v>0</v>
          </cell>
          <cell r="V4389">
            <v>6251746</v>
          </cell>
          <cell r="W4389">
            <v>1927272</v>
          </cell>
          <cell r="X4389">
            <v>4021386</v>
          </cell>
          <cell r="Y4389">
            <v>0</v>
          </cell>
          <cell r="Z4389">
            <v>10450636</v>
          </cell>
          <cell r="AA4389">
            <v>1400000</v>
          </cell>
          <cell r="AB4389">
            <v>5663421</v>
          </cell>
          <cell r="AC4389">
            <v>3000000</v>
          </cell>
          <cell r="AD4389">
            <v>2108546</v>
          </cell>
          <cell r="AE4389">
            <v>0</v>
          </cell>
          <cell r="AF4389">
            <v>0</v>
          </cell>
          <cell r="AG4389">
            <v>500000</v>
          </cell>
          <cell r="AH4389">
            <v>5209091</v>
          </cell>
          <cell r="AI4389">
            <v>0</v>
          </cell>
        </row>
        <row r="4390">
          <cell r="A4390">
            <v>505010703</v>
          </cell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</row>
        <row r="4391">
          <cell r="A4391">
            <v>505010704</v>
          </cell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R4391">
            <v>0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</row>
        <row r="4392">
          <cell r="A4392">
            <v>505010800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9494600</v>
          </cell>
          <cell r="N4392">
            <v>831826888</v>
          </cell>
          <cell r="O4392">
            <v>0</v>
          </cell>
          <cell r="P4392">
            <v>0</v>
          </cell>
          <cell r="Q4392">
            <v>0</v>
          </cell>
          <cell r="R4392">
            <v>0</v>
          </cell>
          <cell r="S4392">
            <v>0</v>
          </cell>
          <cell r="T4392">
            <v>168129137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1064889</v>
          </cell>
          <cell r="AG4392">
            <v>0</v>
          </cell>
          <cell r="AH4392">
            <v>0</v>
          </cell>
          <cell r="AI4392">
            <v>59204159</v>
          </cell>
        </row>
        <row r="4393">
          <cell r="A4393">
            <v>505010801</v>
          </cell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168129137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59204159</v>
          </cell>
        </row>
        <row r="4394">
          <cell r="A4394">
            <v>505010802</v>
          </cell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G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9494600</v>
          </cell>
          <cell r="N4394">
            <v>831826888</v>
          </cell>
          <cell r="O4394">
            <v>0</v>
          </cell>
          <cell r="P4394">
            <v>0</v>
          </cell>
          <cell r="Q4394">
            <v>0</v>
          </cell>
          <cell r="R4394">
            <v>0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1064889</v>
          </cell>
          <cell r="AG4394">
            <v>0</v>
          </cell>
          <cell r="AH4394">
            <v>0</v>
          </cell>
          <cell r="AI4394">
            <v>0</v>
          </cell>
        </row>
        <row r="4395">
          <cell r="A4395">
            <v>505010803</v>
          </cell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G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R4395">
            <v>0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</row>
        <row r="4396">
          <cell r="A4396">
            <v>505010804</v>
          </cell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R4396">
            <v>0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</row>
        <row r="4397">
          <cell r="A4397">
            <v>505010900</v>
          </cell>
          <cell r="C4397">
            <v>36550245</v>
          </cell>
          <cell r="D4397">
            <v>129236329</v>
          </cell>
          <cell r="E4397">
            <v>11404500</v>
          </cell>
          <cell r="F4397">
            <v>80900</v>
          </cell>
          <cell r="G4397">
            <v>29275809</v>
          </cell>
          <cell r="H4397">
            <v>36253082</v>
          </cell>
          <cell r="I4397">
            <v>7126947</v>
          </cell>
          <cell r="J4397">
            <v>0</v>
          </cell>
          <cell r="K4397">
            <v>502462</v>
          </cell>
          <cell r="L4397">
            <v>0</v>
          </cell>
          <cell r="M4397">
            <v>0</v>
          </cell>
          <cell r="N4397">
            <v>495948850</v>
          </cell>
          <cell r="O4397">
            <v>27591839</v>
          </cell>
          <cell r="P4397">
            <v>2597</v>
          </cell>
          <cell r="Q4397">
            <v>0</v>
          </cell>
          <cell r="R4397">
            <v>0</v>
          </cell>
          <cell r="S4397">
            <v>0</v>
          </cell>
          <cell r="T4397">
            <v>15671364</v>
          </cell>
          <cell r="U4397">
            <v>0</v>
          </cell>
          <cell r="V4397">
            <v>195292877</v>
          </cell>
          <cell r="W4397">
            <v>14322616</v>
          </cell>
          <cell r="X4397">
            <v>25588698</v>
          </cell>
          <cell r="Y4397">
            <v>0</v>
          </cell>
          <cell r="Z4397">
            <v>10605273</v>
          </cell>
          <cell r="AA4397">
            <v>0</v>
          </cell>
          <cell r="AB4397">
            <v>45025402</v>
          </cell>
          <cell r="AC4397">
            <v>800000</v>
          </cell>
          <cell r="AD4397">
            <v>29469722</v>
          </cell>
          <cell r="AE4397">
            <v>344390195</v>
          </cell>
          <cell r="AF4397">
            <v>164414152</v>
          </cell>
          <cell r="AG4397">
            <v>3658822</v>
          </cell>
          <cell r="AH4397">
            <v>35486292</v>
          </cell>
          <cell r="AI4397">
            <v>0</v>
          </cell>
        </row>
        <row r="4398">
          <cell r="A4398">
            <v>505010901</v>
          </cell>
          <cell r="C4398">
            <v>0</v>
          </cell>
          <cell r="D4398">
            <v>0</v>
          </cell>
          <cell r="E4398">
            <v>11404500</v>
          </cell>
          <cell r="F4398">
            <v>13818</v>
          </cell>
          <cell r="G4398">
            <v>468039</v>
          </cell>
          <cell r="H4398">
            <v>0</v>
          </cell>
          <cell r="I4398">
            <v>0</v>
          </cell>
          <cell r="J4398">
            <v>0</v>
          </cell>
          <cell r="K4398">
            <v>2462</v>
          </cell>
          <cell r="L4398">
            <v>0</v>
          </cell>
          <cell r="M4398">
            <v>0</v>
          </cell>
          <cell r="N4398">
            <v>0</v>
          </cell>
          <cell r="O4398">
            <v>47306</v>
          </cell>
          <cell r="P4398">
            <v>2597</v>
          </cell>
          <cell r="Q4398">
            <v>0</v>
          </cell>
          <cell r="R4398">
            <v>0</v>
          </cell>
          <cell r="S4398">
            <v>0</v>
          </cell>
          <cell r="T4398">
            <v>15671364</v>
          </cell>
          <cell r="U4398">
            <v>0</v>
          </cell>
          <cell r="V4398">
            <v>0</v>
          </cell>
          <cell r="W4398">
            <v>0</v>
          </cell>
          <cell r="X4398">
            <v>157986</v>
          </cell>
          <cell r="Y4398">
            <v>0</v>
          </cell>
          <cell r="Z4398">
            <v>0</v>
          </cell>
          <cell r="AA4398">
            <v>0</v>
          </cell>
          <cell r="AB4398">
            <v>606442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</row>
        <row r="4399">
          <cell r="A4399">
            <v>505010902</v>
          </cell>
          <cell r="C4399">
            <v>36550245</v>
          </cell>
          <cell r="D4399">
            <v>129236329</v>
          </cell>
          <cell r="E4399">
            <v>0</v>
          </cell>
          <cell r="F4399">
            <v>67082</v>
          </cell>
          <cell r="G4399">
            <v>28807770</v>
          </cell>
          <cell r="H4399">
            <v>36253082</v>
          </cell>
          <cell r="I4399">
            <v>7126947</v>
          </cell>
          <cell r="J4399">
            <v>0</v>
          </cell>
          <cell r="K4399">
            <v>500000</v>
          </cell>
          <cell r="L4399">
            <v>0</v>
          </cell>
          <cell r="M4399">
            <v>0</v>
          </cell>
          <cell r="N4399">
            <v>495948850</v>
          </cell>
          <cell r="O4399">
            <v>27544533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195292877</v>
          </cell>
          <cell r="W4399">
            <v>14322616</v>
          </cell>
          <cell r="X4399">
            <v>25430712</v>
          </cell>
          <cell r="Y4399">
            <v>0</v>
          </cell>
          <cell r="Z4399">
            <v>10605273</v>
          </cell>
          <cell r="AA4399">
            <v>0</v>
          </cell>
          <cell r="AB4399">
            <v>44418960</v>
          </cell>
          <cell r="AC4399">
            <v>800000</v>
          </cell>
          <cell r="AD4399">
            <v>29469722</v>
          </cell>
          <cell r="AE4399">
            <v>344390195</v>
          </cell>
          <cell r="AF4399">
            <v>164414152</v>
          </cell>
          <cell r="AG4399">
            <v>3658822</v>
          </cell>
          <cell r="AH4399">
            <v>35486292</v>
          </cell>
          <cell r="AI4399">
            <v>0</v>
          </cell>
        </row>
        <row r="4400">
          <cell r="A4400">
            <v>505010903</v>
          </cell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</row>
        <row r="4401">
          <cell r="A4401">
            <v>505010904</v>
          </cell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</row>
        <row r="4402">
          <cell r="A4402">
            <v>505011000</v>
          </cell>
          <cell r="C4402">
            <v>311917657</v>
          </cell>
          <cell r="D4402">
            <v>144336369</v>
          </cell>
          <cell r="E4402">
            <v>102598526</v>
          </cell>
          <cell r="F4402">
            <v>78566799</v>
          </cell>
          <cell r="G4402">
            <v>85689744</v>
          </cell>
          <cell r="H4402">
            <v>97554087</v>
          </cell>
          <cell r="I4402">
            <v>80561380</v>
          </cell>
          <cell r="J4402">
            <v>79061380</v>
          </cell>
          <cell r="K4402">
            <v>78561380</v>
          </cell>
          <cell r="L4402">
            <v>78489391</v>
          </cell>
          <cell r="M4402">
            <v>78561380</v>
          </cell>
          <cell r="N4402">
            <v>107246601</v>
          </cell>
          <cell r="O4402">
            <v>167009610</v>
          </cell>
          <cell r="P4402">
            <v>82228916</v>
          </cell>
          <cell r="Q4402">
            <v>82561380</v>
          </cell>
          <cell r="R4402">
            <v>92659562</v>
          </cell>
          <cell r="S4402">
            <v>79261380</v>
          </cell>
          <cell r="T4402">
            <v>60089695</v>
          </cell>
          <cell r="U4402">
            <v>0</v>
          </cell>
          <cell r="V4402">
            <v>29447750</v>
          </cell>
          <cell r="W4402">
            <v>93636640</v>
          </cell>
          <cell r="X4402">
            <v>85906209</v>
          </cell>
          <cell r="Y4402">
            <v>79063458</v>
          </cell>
          <cell r="Z4402">
            <v>108561380</v>
          </cell>
          <cell r="AA4402">
            <v>78561380</v>
          </cell>
          <cell r="AB4402">
            <v>99582752</v>
          </cell>
          <cell r="AC4402">
            <v>78561380</v>
          </cell>
          <cell r="AD4402">
            <v>81650470</v>
          </cell>
          <cell r="AE4402">
            <v>59226089</v>
          </cell>
          <cell r="AF4402">
            <v>82346380</v>
          </cell>
          <cell r="AG4402">
            <v>82266380</v>
          </cell>
          <cell r="AH4402">
            <v>32000000</v>
          </cell>
          <cell r="AI4402">
            <v>0</v>
          </cell>
        </row>
        <row r="4403">
          <cell r="A4403">
            <v>505011001</v>
          </cell>
          <cell r="C4403">
            <v>0</v>
          </cell>
          <cell r="D4403">
            <v>850095</v>
          </cell>
          <cell r="E4403">
            <v>23607241</v>
          </cell>
          <cell r="F4403">
            <v>855514</v>
          </cell>
          <cell r="G4403">
            <v>862095</v>
          </cell>
          <cell r="H4403">
            <v>850095</v>
          </cell>
          <cell r="I4403">
            <v>850095</v>
          </cell>
          <cell r="J4403">
            <v>850095</v>
          </cell>
          <cell r="K4403">
            <v>850095</v>
          </cell>
          <cell r="L4403">
            <v>778106</v>
          </cell>
          <cell r="M4403">
            <v>850095</v>
          </cell>
          <cell r="N4403">
            <v>0</v>
          </cell>
          <cell r="O4403">
            <v>3429816</v>
          </cell>
          <cell r="P4403">
            <v>971160</v>
          </cell>
          <cell r="Q4403">
            <v>4850095</v>
          </cell>
          <cell r="R4403">
            <v>850095</v>
          </cell>
          <cell r="S4403">
            <v>850095</v>
          </cell>
          <cell r="T4403">
            <v>2484755</v>
          </cell>
          <cell r="U4403">
            <v>0</v>
          </cell>
          <cell r="V4403">
            <v>0</v>
          </cell>
          <cell r="W4403">
            <v>2350095</v>
          </cell>
          <cell r="X4403">
            <v>1217126</v>
          </cell>
          <cell r="Y4403">
            <v>852173</v>
          </cell>
          <cell r="Z4403">
            <v>850095</v>
          </cell>
          <cell r="AA4403">
            <v>850095</v>
          </cell>
          <cell r="AB4403">
            <v>1360325</v>
          </cell>
          <cell r="AC4403">
            <v>850095</v>
          </cell>
          <cell r="AD4403">
            <v>850095</v>
          </cell>
          <cell r="AE4403">
            <v>0</v>
          </cell>
          <cell r="AF4403">
            <v>850095</v>
          </cell>
          <cell r="AG4403">
            <v>1130095</v>
          </cell>
          <cell r="AH4403">
            <v>0</v>
          </cell>
          <cell r="AI4403">
            <v>0</v>
          </cell>
        </row>
        <row r="4404">
          <cell r="A4404">
            <v>505011002</v>
          </cell>
          <cell r="C4404">
            <v>311917657</v>
          </cell>
          <cell r="D4404">
            <v>143486274</v>
          </cell>
          <cell r="E4404">
            <v>78991285</v>
          </cell>
          <cell r="F4404">
            <v>77711285</v>
          </cell>
          <cell r="G4404">
            <v>84827649</v>
          </cell>
          <cell r="H4404">
            <v>96703992</v>
          </cell>
          <cell r="I4404">
            <v>79711285</v>
          </cell>
          <cell r="J4404">
            <v>78211285</v>
          </cell>
          <cell r="K4404">
            <v>77711285</v>
          </cell>
          <cell r="L4404">
            <v>77711285</v>
          </cell>
          <cell r="M4404">
            <v>77711285</v>
          </cell>
          <cell r="N4404">
            <v>107246601</v>
          </cell>
          <cell r="O4404">
            <v>163579794</v>
          </cell>
          <cell r="P4404">
            <v>81257756</v>
          </cell>
          <cell r="Q4404">
            <v>77711285</v>
          </cell>
          <cell r="R4404">
            <v>91809467</v>
          </cell>
          <cell r="S4404">
            <v>78411285</v>
          </cell>
          <cell r="T4404">
            <v>57604940</v>
          </cell>
          <cell r="U4404">
            <v>0</v>
          </cell>
          <cell r="V4404">
            <v>29447750</v>
          </cell>
          <cell r="W4404">
            <v>91286545</v>
          </cell>
          <cell r="X4404">
            <v>84689083</v>
          </cell>
          <cell r="Y4404">
            <v>78211285</v>
          </cell>
          <cell r="Z4404">
            <v>107711285</v>
          </cell>
          <cell r="AA4404">
            <v>77711285</v>
          </cell>
          <cell r="AB4404">
            <v>98222427</v>
          </cell>
          <cell r="AC4404">
            <v>77711285</v>
          </cell>
          <cell r="AD4404">
            <v>80800375</v>
          </cell>
          <cell r="AE4404">
            <v>59226089</v>
          </cell>
          <cell r="AF4404">
            <v>81496285</v>
          </cell>
          <cell r="AG4404">
            <v>81136285</v>
          </cell>
          <cell r="AH4404">
            <v>32000000</v>
          </cell>
          <cell r="AI4404">
            <v>0</v>
          </cell>
        </row>
        <row r="4405">
          <cell r="A4405">
            <v>505011003</v>
          </cell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</row>
        <row r="4406">
          <cell r="A4406">
            <v>505011004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</row>
        <row r="4407">
          <cell r="A4407">
            <v>505011100</v>
          </cell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G4407">
            <v>751663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111033334</v>
          </cell>
          <cell r="X4407">
            <v>25737067</v>
          </cell>
          <cell r="Y4407">
            <v>0</v>
          </cell>
          <cell r="Z4407">
            <v>57000000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</row>
        <row r="4408">
          <cell r="A4408">
            <v>505011101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1663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111033334</v>
          </cell>
          <cell r="X4408">
            <v>77067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</row>
        <row r="4409">
          <cell r="A4409">
            <v>505011102</v>
          </cell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G4409">
            <v>750000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R4409">
            <v>0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25660000</v>
          </cell>
          <cell r="Y4409">
            <v>0</v>
          </cell>
          <cell r="Z4409">
            <v>57000000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</row>
        <row r="4410">
          <cell r="A4410">
            <v>505011103</v>
          </cell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</row>
        <row r="4411">
          <cell r="A4411">
            <v>505011104</v>
          </cell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R4411">
            <v>0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</row>
        <row r="4412">
          <cell r="A4412">
            <v>505011200</v>
          </cell>
          <cell r="C4412">
            <v>453200548</v>
          </cell>
          <cell r="D4412">
            <v>131569018</v>
          </cell>
          <cell r="E4412">
            <v>5000000</v>
          </cell>
          <cell r="F4412">
            <v>623850</v>
          </cell>
          <cell r="G4412">
            <v>12529709</v>
          </cell>
          <cell r="H4412">
            <v>158088254</v>
          </cell>
          <cell r="I4412">
            <v>12830500</v>
          </cell>
          <cell r="J4412">
            <v>0</v>
          </cell>
          <cell r="K4412">
            <v>212</v>
          </cell>
          <cell r="L4412">
            <v>1357447</v>
          </cell>
          <cell r="M4412">
            <v>0</v>
          </cell>
          <cell r="N4412">
            <v>83087204</v>
          </cell>
          <cell r="O4412">
            <v>76488799</v>
          </cell>
          <cell r="P4412">
            <v>233224</v>
          </cell>
          <cell r="Q4412">
            <v>73000000</v>
          </cell>
          <cell r="R4412">
            <v>105969570</v>
          </cell>
          <cell r="S4412">
            <v>3000000</v>
          </cell>
          <cell r="T4412">
            <v>161430000</v>
          </cell>
          <cell r="U4412">
            <v>0</v>
          </cell>
          <cell r="V4412">
            <v>52164531</v>
          </cell>
          <cell r="W4412">
            <v>124581303</v>
          </cell>
          <cell r="X4412">
            <v>29954681</v>
          </cell>
          <cell r="Y4412">
            <v>0</v>
          </cell>
          <cell r="Z4412">
            <v>0</v>
          </cell>
          <cell r="AA4412">
            <v>0</v>
          </cell>
          <cell r="AB4412">
            <v>56516845</v>
          </cell>
          <cell r="AC4412">
            <v>1750000</v>
          </cell>
          <cell r="AD4412">
            <v>14620000</v>
          </cell>
          <cell r="AE4412">
            <v>27921487</v>
          </cell>
          <cell r="AF4412">
            <v>82324570</v>
          </cell>
          <cell r="AG4412">
            <v>9351080</v>
          </cell>
          <cell r="AH4412">
            <v>11450000</v>
          </cell>
          <cell r="AI4412">
            <v>0</v>
          </cell>
        </row>
        <row r="4413">
          <cell r="A4413">
            <v>505011201</v>
          </cell>
          <cell r="C4413">
            <v>0</v>
          </cell>
          <cell r="D4413">
            <v>0</v>
          </cell>
          <cell r="E4413">
            <v>5000000</v>
          </cell>
          <cell r="F4413">
            <v>12054</v>
          </cell>
          <cell r="G4413">
            <v>79709</v>
          </cell>
          <cell r="H4413">
            <v>0</v>
          </cell>
          <cell r="I4413">
            <v>0</v>
          </cell>
          <cell r="J4413">
            <v>0</v>
          </cell>
          <cell r="K4413">
            <v>212</v>
          </cell>
          <cell r="L4413">
            <v>0</v>
          </cell>
          <cell r="M4413">
            <v>0</v>
          </cell>
          <cell r="N4413">
            <v>0</v>
          </cell>
          <cell r="O4413">
            <v>1142343</v>
          </cell>
          <cell r="P4413">
            <v>7499</v>
          </cell>
          <cell r="Q4413">
            <v>73000000</v>
          </cell>
          <cell r="R4413">
            <v>0</v>
          </cell>
          <cell r="S4413">
            <v>0</v>
          </cell>
          <cell r="T4413">
            <v>161430000</v>
          </cell>
          <cell r="U4413">
            <v>0</v>
          </cell>
          <cell r="V4413">
            <v>0</v>
          </cell>
          <cell r="W4413">
            <v>0</v>
          </cell>
          <cell r="X4413">
            <v>125233</v>
          </cell>
          <cell r="Y4413">
            <v>0</v>
          </cell>
          <cell r="Z4413">
            <v>0</v>
          </cell>
          <cell r="AA4413">
            <v>0</v>
          </cell>
          <cell r="AB4413">
            <v>867607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</row>
        <row r="4414">
          <cell r="A4414">
            <v>505011202</v>
          </cell>
          <cell r="C4414">
            <v>453200548</v>
          </cell>
          <cell r="D4414">
            <v>131569018</v>
          </cell>
          <cell r="E4414">
            <v>0</v>
          </cell>
          <cell r="F4414">
            <v>611796</v>
          </cell>
          <cell r="G4414">
            <v>12450000</v>
          </cell>
          <cell r="H4414">
            <v>158088254</v>
          </cell>
          <cell r="I4414">
            <v>12830500</v>
          </cell>
          <cell r="J4414">
            <v>0</v>
          </cell>
          <cell r="K4414">
            <v>0</v>
          </cell>
          <cell r="L4414">
            <v>1357447</v>
          </cell>
          <cell r="M4414">
            <v>0</v>
          </cell>
          <cell r="N4414">
            <v>83087204</v>
          </cell>
          <cell r="O4414">
            <v>75346456</v>
          </cell>
          <cell r="P4414">
            <v>225725</v>
          </cell>
          <cell r="Q4414">
            <v>0</v>
          </cell>
          <cell r="R4414">
            <v>105969570</v>
          </cell>
          <cell r="S4414">
            <v>3000000</v>
          </cell>
          <cell r="T4414">
            <v>0</v>
          </cell>
          <cell r="U4414">
            <v>0</v>
          </cell>
          <cell r="V4414">
            <v>52164531</v>
          </cell>
          <cell r="W4414">
            <v>124581303</v>
          </cell>
          <cell r="X4414">
            <v>29829448</v>
          </cell>
          <cell r="Y4414">
            <v>0</v>
          </cell>
          <cell r="Z4414">
            <v>0</v>
          </cell>
          <cell r="AA4414">
            <v>0</v>
          </cell>
          <cell r="AB4414">
            <v>55649238</v>
          </cell>
          <cell r="AC4414">
            <v>1750000</v>
          </cell>
          <cell r="AD4414">
            <v>14620000</v>
          </cell>
          <cell r="AE4414">
            <v>27921487</v>
          </cell>
          <cell r="AF4414">
            <v>82324570</v>
          </cell>
          <cell r="AG4414">
            <v>9351080</v>
          </cell>
          <cell r="AH4414">
            <v>11450000</v>
          </cell>
          <cell r="AI4414">
            <v>0</v>
          </cell>
        </row>
        <row r="4415">
          <cell r="A4415">
            <v>505011203</v>
          </cell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</row>
        <row r="4416">
          <cell r="A4416">
            <v>505011204</v>
          </cell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</row>
        <row r="4417">
          <cell r="A4417">
            <v>505011300</v>
          </cell>
          <cell r="C4417">
            <v>659712</v>
          </cell>
          <cell r="D4417">
            <v>100290000</v>
          </cell>
          <cell r="E4417">
            <v>0</v>
          </cell>
          <cell r="F4417">
            <v>1259646</v>
          </cell>
          <cell r="G4417">
            <v>64586678</v>
          </cell>
          <cell r="H4417">
            <v>293445382</v>
          </cell>
          <cell r="I4417">
            <v>0</v>
          </cell>
          <cell r="J4417">
            <v>8210797</v>
          </cell>
          <cell r="K4417">
            <v>0</v>
          </cell>
          <cell r="L4417">
            <v>0</v>
          </cell>
          <cell r="M4417">
            <v>0</v>
          </cell>
          <cell r="N4417">
            <v>104638667</v>
          </cell>
          <cell r="O4417">
            <v>5819713</v>
          </cell>
          <cell r="P4417">
            <v>0</v>
          </cell>
          <cell r="Q4417">
            <v>278761651</v>
          </cell>
          <cell r="R4417">
            <v>1261269936</v>
          </cell>
          <cell r="S4417">
            <v>26840166</v>
          </cell>
          <cell r="T4417">
            <v>24520000</v>
          </cell>
          <cell r="U4417">
            <v>0</v>
          </cell>
          <cell r="V4417">
            <v>1630200</v>
          </cell>
          <cell r="W4417">
            <v>2934458</v>
          </cell>
          <cell r="X4417">
            <v>7828963</v>
          </cell>
          <cell r="Y4417">
            <v>102021051</v>
          </cell>
          <cell r="Z4417">
            <v>25500000</v>
          </cell>
          <cell r="AA4417">
            <v>0</v>
          </cell>
          <cell r="AB4417">
            <v>7559252</v>
          </cell>
          <cell r="AC4417">
            <v>358200000</v>
          </cell>
          <cell r="AD4417">
            <v>503640</v>
          </cell>
          <cell r="AE4417">
            <v>0</v>
          </cell>
          <cell r="AF4417">
            <v>9480806</v>
          </cell>
          <cell r="AG4417">
            <v>5000000</v>
          </cell>
          <cell r="AH4417">
            <v>5000000</v>
          </cell>
          <cell r="AI4417">
            <v>0</v>
          </cell>
        </row>
        <row r="4418">
          <cell r="A4418">
            <v>505011301</v>
          </cell>
          <cell r="C4418">
            <v>0</v>
          </cell>
          <cell r="D4418">
            <v>0</v>
          </cell>
          <cell r="E4418">
            <v>0</v>
          </cell>
          <cell r="F4418">
            <v>85718</v>
          </cell>
          <cell r="G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219713</v>
          </cell>
          <cell r="P4418">
            <v>0</v>
          </cell>
          <cell r="Q4418">
            <v>278761651</v>
          </cell>
          <cell r="R4418">
            <v>0</v>
          </cell>
          <cell r="S4418">
            <v>0</v>
          </cell>
          <cell r="T4418">
            <v>7700000</v>
          </cell>
          <cell r="U4418">
            <v>0</v>
          </cell>
          <cell r="V4418">
            <v>0</v>
          </cell>
          <cell r="W4418">
            <v>0</v>
          </cell>
          <cell r="X4418">
            <v>450841</v>
          </cell>
          <cell r="Y4418">
            <v>2021051</v>
          </cell>
          <cell r="Z4418">
            <v>0</v>
          </cell>
          <cell r="AA4418">
            <v>0</v>
          </cell>
          <cell r="AB4418">
            <v>172816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</row>
        <row r="4419">
          <cell r="A4419">
            <v>505011302</v>
          </cell>
          <cell r="C4419">
            <v>659712</v>
          </cell>
          <cell r="D4419">
            <v>100290000</v>
          </cell>
          <cell r="E4419">
            <v>0</v>
          </cell>
          <cell r="F4419">
            <v>1173928</v>
          </cell>
          <cell r="G4419">
            <v>64586678</v>
          </cell>
          <cell r="H4419">
            <v>293445382</v>
          </cell>
          <cell r="I4419">
            <v>0</v>
          </cell>
          <cell r="J4419">
            <v>8210797</v>
          </cell>
          <cell r="K4419">
            <v>0</v>
          </cell>
          <cell r="L4419">
            <v>0</v>
          </cell>
          <cell r="M4419">
            <v>0</v>
          </cell>
          <cell r="N4419">
            <v>104638667</v>
          </cell>
          <cell r="O4419">
            <v>5600000</v>
          </cell>
          <cell r="P4419">
            <v>0</v>
          </cell>
          <cell r="Q4419">
            <v>0</v>
          </cell>
          <cell r="R4419">
            <v>14347680</v>
          </cell>
          <cell r="S4419">
            <v>26840166</v>
          </cell>
          <cell r="T4419">
            <v>0</v>
          </cell>
          <cell r="U4419">
            <v>0</v>
          </cell>
          <cell r="V4419">
            <v>1630200</v>
          </cell>
          <cell r="W4419">
            <v>2934458</v>
          </cell>
          <cell r="X4419">
            <v>7378122</v>
          </cell>
          <cell r="Y4419">
            <v>100000000</v>
          </cell>
          <cell r="Z4419">
            <v>25500000</v>
          </cell>
          <cell r="AA4419">
            <v>0</v>
          </cell>
          <cell r="AB4419">
            <v>7386436</v>
          </cell>
          <cell r="AC4419">
            <v>358200000</v>
          </cell>
          <cell r="AD4419">
            <v>503640</v>
          </cell>
          <cell r="AE4419">
            <v>0</v>
          </cell>
          <cell r="AF4419">
            <v>9480806</v>
          </cell>
          <cell r="AG4419">
            <v>5000000</v>
          </cell>
          <cell r="AH4419">
            <v>5000000</v>
          </cell>
          <cell r="AI4419">
            <v>0</v>
          </cell>
        </row>
        <row r="4420">
          <cell r="A4420">
            <v>505011303</v>
          </cell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1246922256</v>
          </cell>
          <cell r="S4420">
            <v>0</v>
          </cell>
          <cell r="T4420">
            <v>16820000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</row>
        <row r="4421">
          <cell r="A4421">
            <v>505011304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R4421">
            <v>0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</row>
        <row r="4422">
          <cell r="A4422">
            <v>505012000</v>
          </cell>
          <cell r="C4422">
            <v>12489335</v>
          </cell>
          <cell r="D4422">
            <v>54890737</v>
          </cell>
          <cell r="E4422">
            <v>36849413</v>
          </cell>
          <cell r="F4422">
            <v>6156091</v>
          </cell>
          <cell r="G4422">
            <v>557279204</v>
          </cell>
          <cell r="H4422">
            <v>403575986</v>
          </cell>
          <cell r="I4422">
            <v>0</v>
          </cell>
          <cell r="J4422">
            <v>0</v>
          </cell>
          <cell r="K4422">
            <v>21258909</v>
          </cell>
          <cell r="L4422">
            <v>80000000</v>
          </cell>
          <cell r="M4422">
            <v>0</v>
          </cell>
          <cell r="N4422">
            <v>710825108</v>
          </cell>
          <cell r="O4422">
            <v>3955263</v>
          </cell>
          <cell r="P4422">
            <v>0</v>
          </cell>
          <cell r="Q4422">
            <v>0</v>
          </cell>
          <cell r="R4422">
            <v>263529585</v>
          </cell>
          <cell r="S4422">
            <v>0</v>
          </cell>
          <cell r="T4422">
            <v>282992701</v>
          </cell>
          <cell r="U4422">
            <v>0</v>
          </cell>
          <cell r="V4422">
            <v>152284916</v>
          </cell>
          <cell r="W4422">
            <v>695040</v>
          </cell>
          <cell r="X4422">
            <v>249973321</v>
          </cell>
          <cell r="Y4422">
            <v>0</v>
          </cell>
          <cell r="Z4422">
            <v>19019087</v>
          </cell>
          <cell r="AA4422">
            <v>0</v>
          </cell>
          <cell r="AB4422">
            <v>811734170</v>
          </cell>
          <cell r="AC4422">
            <v>0</v>
          </cell>
          <cell r="AD4422">
            <v>243856654</v>
          </cell>
          <cell r="AE4422">
            <v>145935140</v>
          </cell>
          <cell r="AF4422">
            <v>194321143</v>
          </cell>
          <cell r="AG4422">
            <v>3100000</v>
          </cell>
          <cell r="AH4422">
            <v>380698174</v>
          </cell>
          <cell r="AI4422">
            <v>0</v>
          </cell>
        </row>
        <row r="4423">
          <cell r="A4423">
            <v>505012001</v>
          </cell>
          <cell r="C4423">
            <v>0</v>
          </cell>
          <cell r="D4423">
            <v>0</v>
          </cell>
          <cell r="E4423">
            <v>0</v>
          </cell>
          <cell r="F4423">
            <v>264116</v>
          </cell>
          <cell r="G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100178</v>
          </cell>
          <cell r="L4423">
            <v>0</v>
          </cell>
          <cell r="M4423">
            <v>0</v>
          </cell>
          <cell r="N4423">
            <v>0</v>
          </cell>
          <cell r="O4423">
            <v>29780</v>
          </cell>
          <cell r="P4423">
            <v>0</v>
          </cell>
          <cell r="Q4423">
            <v>0</v>
          </cell>
          <cell r="R4423">
            <v>0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1033658</v>
          </cell>
          <cell r="Y4423">
            <v>0</v>
          </cell>
          <cell r="Z4423">
            <v>0</v>
          </cell>
          <cell r="AA4423">
            <v>0</v>
          </cell>
          <cell r="AB4423">
            <v>9540202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</row>
        <row r="4424">
          <cell r="A4424">
            <v>505012002</v>
          </cell>
          <cell r="C4424">
            <v>12489335</v>
          </cell>
          <cell r="D4424">
            <v>54890737</v>
          </cell>
          <cell r="E4424">
            <v>0</v>
          </cell>
          <cell r="F4424">
            <v>5891975</v>
          </cell>
          <cell r="G4424">
            <v>550304687</v>
          </cell>
          <cell r="H4424">
            <v>403575986</v>
          </cell>
          <cell r="I4424">
            <v>0</v>
          </cell>
          <cell r="J4424">
            <v>0</v>
          </cell>
          <cell r="K4424">
            <v>21158731</v>
          </cell>
          <cell r="L4424">
            <v>80000000</v>
          </cell>
          <cell r="M4424">
            <v>0</v>
          </cell>
          <cell r="N4424">
            <v>0</v>
          </cell>
          <cell r="O4424">
            <v>3925483</v>
          </cell>
          <cell r="P4424">
            <v>0</v>
          </cell>
          <cell r="Q4424">
            <v>0</v>
          </cell>
          <cell r="R4424">
            <v>263529585</v>
          </cell>
          <cell r="S4424">
            <v>0</v>
          </cell>
          <cell r="T4424">
            <v>0</v>
          </cell>
          <cell r="U4424">
            <v>0</v>
          </cell>
          <cell r="V4424">
            <v>152284916</v>
          </cell>
          <cell r="W4424">
            <v>695040</v>
          </cell>
          <cell r="X4424">
            <v>248939663</v>
          </cell>
          <cell r="Y4424">
            <v>0</v>
          </cell>
          <cell r="Z4424">
            <v>19019087</v>
          </cell>
          <cell r="AA4424">
            <v>0</v>
          </cell>
          <cell r="AB4424">
            <v>802193968</v>
          </cell>
          <cell r="AC4424">
            <v>0</v>
          </cell>
          <cell r="AD4424">
            <v>243856654</v>
          </cell>
          <cell r="AE4424">
            <v>145935140</v>
          </cell>
          <cell r="AF4424">
            <v>194321143</v>
          </cell>
          <cell r="AG4424">
            <v>3100000</v>
          </cell>
          <cell r="AH4424">
            <v>380698174</v>
          </cell>
          <cell r="AI4424">
            <v>0</v>
          </cell>
        </row>
        <row r="4425">
          <cell r="A4425">
            <v>505012003</v>
          </cell>
          <cell r="C4425">
            <v>0</v>
          </cell>
          <cell r="D4425">
            <v>0</v>
          </cell>
          <cell r="E4425">
            <v>36849413</v>
          </cell>
          <cell r="F4425">
            <v>0</v>
          </cell>
          <cell r="G4425">
            <v>6974517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710825108</v>
          </cell>
          <cell r="O4425">
            <v>0</v>
          </cell>
          <cell r="P4425">
            <v>0</v>
          </cell>
          <cell r="Q4425">
            <v>0</v>
          </cell>
          <cell r="R4425">
            <v>0</v>
          </cell>
          <cell r="S4425">
            <v>0</v>
          </cell>
          <cell r="T4425">
            <v>282992701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</row>
        <row r="4426">
          <cell r="A4426">
            <v>505012004</v>
          </cell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</row>
        <row r="4427">
          <cell r="A4427">
            <v>506000000</v>
          </cell>
          <cell r="C4427">
            <v>14821114783</v>
          </cell>
          <cell r="D4427">
            <v>14830027130</v>
          </cell>
          <cell r="E4427">
            <v>6141878836</v>
          </cell>
          <cell r="F4427">
            <v>4327829385</v>
          </cell>
          <cell r="G4427">
            <v>17440387496</v>
          </cell>
          <cell r="H4427">
            <v>32245150157</v>
          </cell>
          <cell r="I4427">
            <v>9562943965</v>
          </cell>
          <cell r="J4427">
            <v>2092613346</v>
          </cell>
          <cell r="K4427">
            <v>2460443541</v>
          </cell>
          <cell r="L4427">
            <v>914296611</v>
          </cell>
          <cell r="M4427">
            <v>1715208460</v>
          </cell>
          <cell r="N4427">
            <v>36729953965</v>
          </cell>
          <cell r="O4427">
            <v>5848104966</v>
          </cell>
          <cell r="P4427">
            <v>4938983437</v>
          </cell>
          <cell r="Q4427">
            <v>5887148622</v>
          </cell>
          <cell r="R4427">
            <v>4689478606</v>
          </cell>
          <cell r="S4427">
            <v>848146659</v>
          </cell>
          <cell r="T4427">
            <v>22443564661</v>
          </cell>
          <cell r="U4427">
            <v>10000000</v>
          </cell>
          <cell r="V4427">
            <v>29372310895</v>
          </cell>
          <cell r="W4427">
            <v>7346464378</v>
          </cell>
          <cell r="X4427">
            <v>9471792471</v>
          </cell>
          <cell r="Y4427">
            <v>1685921600</v>
          </cell>
          <cell r="Z4427">
            <v>8730701994</v>
          </cell>
          <cell r="AA4427">
            <v>1608720567</v>
          </cell>
          <cell r="AB4427">
            <v>20454567724</v>
          </cell>
          <cell r="AC4427">
            <v>2462294186</v>
          </cell>
          <cell r="AD4427">
            <v>11204355085</v>
          </cell>
          <cell r="AE4427">
            <v>104804262247</v>
          </cell>
          <cell r="AF4427">
            <v>8632953011</v>
          </cell>
          <cell r="AG4427">
            <v>6430778617</v>
          </cell>
          <cell r="AH4427">
            <v>10870265068</v>
          </cell>
          <cell r="AI4427">
            <v>16713565417</v>
          </cell>
        </row>
        <row r="4428">
          <cell r="A4428">
            <v>506010000</v>
          </cell>
          <cell r="C4428">
            <v>14821114783</v>
          </cell>
          <cell r="D4428">
            <v>14830027130</v>
          </cell>
          <cell r="E4428">
            <v>6141878836</v>
          </cell>
          <cell r="F4428">
            <v>4327829385</v>
          </cell>
          <cell r="G4428">
            <v>17440387496</v>
          </cell>
          <cell r="H4428">
            <v>32245150157</v>
          </cell>
          <cell r="I4428">
            <v>9562943965</v>
          </cell>
          <cell r="J4428">
            <v>2092613346</v>
          </cell>
          <cell r="K4428">
            <v>2460443541</v>
          </cell>
          <cell r="L4428">
            <v>914296611</v>
          </cell>
          <cell r="M4428">
            <v>1715208460</v>
          </cell>
          <cell r="N4428">
            <v>36729953965</v>
          </cell>
          <cell r="O4428">
            <v>5848104966</v>
          </cell>
          <cell r="P4428">
            <v>4938983437</v>
          </cell>
          <cell r="Q4428">
            <v>5887148622</v>
          </cell>
          <cell r="R4428">
            <v>4689478606</v>
          </cell>
          <cell r="S4428">
            <v>848146659</v>
          </cell>
          <cell r="T4428">
            <v>22443564661</v>
          </cell>
          <cell r="U4428">
            <v>10000000</v>
          </cell>
          <cell r="V4428">
            <v>29372310895</v>
          </cell>
          <cell r="W4428">
            <v>7346464378</v>
          </cell>
          <cell r="X4428">
            <v>9471792471</v>
          </cell>
          <cell r="Y4428">
            <v>1685921600</v>
          </cell>
          <cell r="Z4428">
            <v>8730701994</v>
          </cell>
          <cell r="AA4428">
            <v>1608720567</v>
          </cell>
          <cell r="AB4428">
            <v>20454567724</v>
          </cell>
          <cell r="AC4428">
            <v>2462294186</v>
          </cell>
          <cell r="AD4428">
            <v>11204355085</v>
          </cell>
          <cell r="AE4428">
            <v>104804262247</v>
          </cell>
          <cell r="AF4428">
            <v>8632953011</v>
          </cell>
          <cell r="AG4428">
            <v>6430778617</v>
          </cell>
          <cell r="AH4428">
            <v>10870265068</v>
          </cell>
          <cell r="AI4428">
            <v>16713565417</v>
          </cell>
        </row>
        <row r="4429">
          <cell r="A4429">
            <v>506010100</v>
          </cell>
          <cell r="C4429">
            <v>868073057</v>
          </cell>
          <cell r="D4429">
            <v>1114861484</v>
          </cell>
          <cell r="E4429">
            <v>1911939581</v>
          </cell>
          <cell r="F4429">
            <v>848040547</v>
          </cell>
          <cell r="G4429">
            <v>403280788</v>
          </cell>
          <cell r="H4429">
            <v>4116560922</v>
          </cell>
          <cell r="I4429">
            <v>1989264785</v>
          </cell>
          <cell r="J4429">
            <v>10286218</v>
          </cell>
          <cell r="K4429">
            <v>10085000</v>
          </cell>
          <cell r="L4429">
            <v>71393546</v>
          </cell>
          <cell r="M4429">
            <v>4434545</v>
          </cell>
          <cell r="N4429">
            <v>1992630656</v>
          </cell>
          <cell r="O4429">
            <v>961335512</v>
          </cell>
          <cell r="P4429">
            <v>105313059</v>
          </cell>
          <cell r="Q4429">
            <v>1683897061</v>
          </cell>
          <cell r="R4429">
            <v>71852196</v>
          </cell>
          <cell r="S4429">
            <v>350183</v>
          </cell>
          <cell r="T4429">
            <v>1271107651</v>
          </cell>
          <cell r="U4429">
            <v>0</v>
          </cell>
          <cell r="V4429">
            <v>1398488081</v>
          </cell>
          <cell r="W4429">
            <v>111749645</v>
          </cell>
          <cell r="X4429">
            <v>339704644</v>
          </cell>
          <cell r="Y4429">
            <v>46417109</v>
          </cell>
          <cell r="Z4429">
            <v>100120000</v>
          </cell>
          <cell r="AA4429">
            <v>43627282</v>
          </cell>
          <cell r="AB4429">
            <v>1279516852</v>
          </cell>
          <cell r="AC4429">
            <v>446050079</v>
          </cell>
          <cell r="AD4429">
            <v>423821306</v>
          </cell>
          <cell r="AE4429">
            <v>10458064737</v>
          </cell>
          <cell r="AF4429">
            <v>270213163</v>
          </cell>
          <cell r="AG4429">
            <v>163874596</v>
          </cell>
          <cell r="AH4429">
            <v>233781460</v>
          </cell>
          <cell r="AI4429">
            <v>1091000</v>
          </cell>
        </row>
        <row r="4430">
          <cell r="A4430">
            <v>506010101</v>
          </cell>
          <cell r="C4430">
            <v>868073057</v>
          </cell>
          <cell r="D4430">
            <v>1114861484</v>
          </cell>
          <cell r="E4430">
            <v>1911939581</v>
          </cell>
          <cell r="F4430">
            <v>848040547</v>
          </cell>
          <cell r="G4430">
            <v>403280788</v>
          </cell>
          <cell r="H4430">
            <v>4116560922</v>
          </cell>
          <cell r="I4430">
            <v>1989264785</v>
          </cell>
          <cell r="J4430">
            <v>10286218</v>
          </cell>
          <cell r="K4430">
            <v>10085000</v>
          </cell>
          <cell r="L4430">
            <v>71393546</v>
          </cell>
          <cell r="M4430">
            <v>4434545</v>
          </cell>
          <cell r="N4430">
            <v>1992630656</v>
          </cell>
          <cell r="O4430">
            <v>961335512</v>
          </cell>
          <cell r="P4430">
            <v>105313059</v>
          </cell>
          <cell r="Q4430">
            <v>1683897061</v>
          </cell>
          <cell r="R4430">
            <v>71852196</v>
          </cell>
          <cell r="S4430">
            <v>350183</v>
          </cell>
          <cell r="T4430">
            <v>1271107651</v>
          </cell>
          <cell r="U4430">
            <v>0</v>
          </cell>
          <cell r="V4430">
            <v>1398488081</v>
          </cell>
          <cell r="W4430">
            <v>111749645</v>
          </cell>
          <cell r="X4430">
            <v>339704644</v>
          </cell>
          <cell r="Y4430">
            <v>46417109</v>
          </cell>
          <cell r="Z4430">
            <v>100120000</v>
          </cell>
          <cell r="AA4430">
            <v>43627282</v>
          </cell>
          <cell r="AB4430">
            <v>1279516852</v>
          </cell>
          <cell r="AC4430">
            <v>446050079</v>
          </cell>
          <cell r="AD4430">
            <v>423821306</v>
          </cell>
          <cell r="AE4430">
            <v>10458064737</v>
          </cell>
          <cell r="AF4430">
            <v>270213163</v>
          </cell>
          <cell r="AG4430">
            <v>163874596</v>
          </cell>
          <cell r="AH4430">
            <v>233781460</v>
          </cell>
          <cell r="AI4430">
            <v>1091000</v>
          </cell>
        </row>
        <row r="4431">
          <cell r="A4431">
            <v>506010200</v>
          </cell>
          <cell r="C4431">
            <v>449513656</v>
          </cell>
          <cell r="D4431">
            <v>117043421</v>
          </cell>
          <cell r="E4431">
            <v>54122463</v>
          </cell>
          <cell r="F4431">
            <v>121841338</v>
          </cell>
          <cell r="G4431">
            <v>38440600</v>
          </cell>
          <cell r="H4431">
            <v>488872287</v>
          </cell>
          <cell r="I4431">
            <v>15228686</v>
          </cell>
          <cell r="J4431">
            <v>2842000</v>
          </cell>
          <cell r="K4431">
            <v>0</v>
          </cell>
          <cell r="L4431">
            <v>0</v>
          </cell>
          <cell r="M4431">
            <v>39041139</v>
          </cell>
          <cell r="N4431">
            <v>296248955</v>
          </cell>
          <cell r="O4431">
            <v>36225827</v>
          </cell>
          <cell r="P4431">
            <v>88656977</v>
          </cell>
          <cell r="Q4431">
            <v>660184036</v>
          </cell>
          <cell r="R4431">
            <v>64166764</v>
          </cell>
          <cell r="S4431">
            <v>0</v>
          </cell>
          <cell r="T4431">
            <v>242833201</v>
          </cell>
          <cell r="U4431">
            <v>0</v>
          </cell>
          <cell r="V4431">
            <v>714532929</v>
          </cell>
          <cell r="W4431">
            <v>15602538</v>
          </cell>
          <cell r="X4431">
            <v>265669807</v>
          </cell>
          <cell r="Y4431">
            <v>58597548</v>
          </cell>
          <cell r="Z4431">
            <v>17346759</v>
          </cell>
          <cell r="AA4431">
            <v>12088821</v>
          </cell>
          <cell r="AB4431">
            <v>313920968</v>
          </cell>
          <cell r="AC4431">
            <v>1767500</v>
          </cell>
          <cell r="AD4431">
            <v>40331733</v>
          </cell>
          <cell r="AE4431">
            <v>4136409693</v>
          </cell>
          <cell r="AF4431">
            <v>15896879</v>
          </cell>
          <cell r="AG4431">
            <v>441731645</v>
          </cell>
          <cell r="AH4431">
            <v>0</v>
          </cell>
          <cell r="AI4431">
            <v>0</v>
          </cell>
        </row>
        <row r="4432">
          <cell r="A4432">
            <v>506010201</v>
          </cell>
          <cell r="C4432">
            <v>449513656</v>
          </cell>
          <cell r="D4432">
            <v>117043421</v>
          </cell>
          <cell r="E4432">
            <v>54122463</v>
          </cell>
          <cell r="F4432">
            <v>121841338</v>
          </cell>
          <cell r="G4432">
            <v>38440600</v>
          </cell>
          <cell r="H4432">
            <v>488872287</v>
          </cell>
          <cell r="I4432">
            <v>15228686</v>
          </cell>
          <cell r="J4432">
            <v>2842000</v>
          </cell>
          <cell r="K4432">
            <v>0</v>
          </cell>
          <cell r="L4432">
            <v>0</v>
          </cell>
          <cell r="M4432">
            <v>39041139</v>
          </cell>
          <cell r="N4432">
            <v>296248955</v>
          </cell>
          <cell r="O4432">
            <v>36225827</v>
          </cell>
          <cell r="P4432">
            <v>88656977</v>
          </cell>
          <cell r="Q4432">
            <v>660184036</v>
          </cell>
          <cell r="R4432">
            <v>64166764</v>
          </cell>
          <cell r="S4432">
            <v>0</v>
          </cell>
          <cell r="T4432">
            <v>242833201</v>
          </cell>
          <cell r="U4432">
            <v>0</v>
          </cell>
          <cell r="V4432">
            <v>714532929</v>
          </cell>
          <cell r="W4432">
            <v>15602538</v>
          </cell>
          <cell r="X4432">
            <v>265669807</v>
          </cell>
          <cell r="Y4432">
            <v>58597548</v>
          </cell>
          <cell r="Z4432">
            <v>17346759</v>
          </cell>
          <cell r="AA4432">
            <v>12088821</v>
          </cell>
          <cell r="AB4432">
            <v>313920968</v>
          </cell>
          <cell r="AC4432">
            <v>1767500</v>
          </cell>
          <cell r="AD4432">
            <v>40331733</v>
          </cell>
          <cell r="AE4432">
            <v>4136409693</v>
          </cell>
          <cell r="AF4432">
            <v>15896879</v>
          </cell>
          <cell r="AG4432">
            <v>441731645</v>
          </cell>
          <cell r="AH4432">
            <v>0</v>
          </cell>
          <cell r="AI4432">
            <v>0</v>
          </cell>
        </row>
        <row r="4433">
          <cell r="A4433">
            <v>506010300</v>
          </cell>
          <cell r="C4433">
            <v>0</v>
          </cell>
          <cell r="D4433">
            <v>13394321</v>
          </cell>
          <cell r="E4433">
            <v>232005520</v>
          </cell>
          <cell r="F4433">
            <v>178118</v>
          </cell>
          <cell r="G4433">
            <v>0</v>
          </cell>
          <cell r="H4433">
            <v>0</v>
          </cell>
          <cell r="I4433">
            <v>0</v>
          </cell>
          <cell r="J4433">
            <v>5523486</v>
          </cell>
          <cell r="K4433">
            <v>0</v>
          </cell>
          <cell r="L4433">
            <v>20000000</v>
          </cell>
          <cell r="M4433">
            <v>0</v>
          </cell>
          <cell r="N4433">
            <v>33863521</v>
          </cell>
          <cell r="O4433">
            <v>14429273</v>
          </cell>
          <cell r="P4433">
            <v>72777417</v>
          </cell>
          <cell r="Q4433">
            <v>10702674</v>
          </cell>
          <cell r="R4433">
            <v>79774329</v>
          </cell>
          <cell r="S4433">
            <v>1623773</v>
          </cell>
          <cell r="T4433">
            <v>401122990</v>
          </cell>
          <cell r="U4433">
            <v>0</v>
          </cell>
          <cell r="V4433">
            <v>148617050</v>
          </cell>
          <cell r="W4433">
            <v>1600000</v>
          </cell>
          <cell r="X4433">
            <v>72513091</v>
          </cell>
          <cell r="Y4433">
            <v>0</v>
          </cell>
          <cell r="Z4433">
            <v>0</v>
          </cell>
          <cell r="AA4433">
            <v>769000</v>
          </cell>
          <cell r="AB4433">
            <v>150007507</v>
          </cell>
          <cell r="AC4433">
            <v>3743500</v>
          </cell>
          <cell r="AD4433">
            <v>7293641</v>
          </cell>
          <cell r="AE4433">
            <v>45646114</v>
          </cell>
          <cell r="AF4433">
            <v>431279735</v>
          </cell>
          <cell r="AG4433">
            <v>37913717</v>
          </cell>
          <cell r="AH4433">
            <v>6968182</v>
          </cell>
          <cell r="AI4433">
            <v>0</v>
          </cell>
        </row>
        <row r="4434">
          <cell r="A4434">
            <v>506010301</v>
          </cell>
          <cell r="C4434">
            <v>0</v>
          </cell>
          <cell r="D4434">
            <v>13394321</v>
          </cell>
          <cell r="E4434">
            <v>232005520</v>
          </cell>
          <cell r="F4434">
            <v>178118</v>
          </cell>
          <cell r="G4434">
            <v>0</v>
          </cell>
          <cell r="H4434">
            <v>0</v>
          </cell>
          <cell r="I4434">
            <v>0</v>
          </cell>
          <cell r="J4434">
            <v>5523486</v>
          </cell>
          <cell r="K4434">
            <v>0</v>
          </cell>
          <cell r="L4434">
            <v>20000000</v>
          </cell>
          <cell r="M4434">
            <v>0</v>
          </cell>
          <cell r="N4434">
            <v>33863521</v>
          </cell>
          <cell r="O4434">
            <v>14429273</v>
          </cell>
          <cell r="P4434">
            <v>72777417</v>
          </cell>
          <cell r="Q4434">
            <v>10702674</v>
          </cell>
          <cell r="R4434">
            <v>79774329</v>
          </cell>
          <cell r="S4434">
            <v>1623773</v>
          </cell>
          <cell r="T4434">
            <v>401122990</v>
          </cell>
          <cell r="U4434">
            <v>0</v>
          </cell>
          <cell r="V4434">
            <v>148617050</v>
          </cell>
          <cell r="W4434">
            <v>1600000</v>
          </cell>
          <cell r="X4434">
            <v>72513091</v>
          </cell>
          <cell r="Y4434">
            <v>0</v>
          </cell>
          <cell r="Z4434">
            <v>0</v>
          </cell>
          <cell r="AA4434">
            <v>769000</v>
          </cell>
          <cell r="AB4434">
            <v>150007507</v>
          </cell>
          <cell r="AC4434">
            <v>3743500</v>
          </cell>
          <cell r="AD4434">
            <v>7293641</v>
          </cell>
          <cell r="AE4434">
            <v>45646114</v>
          </cell>
          <cell r="AF4434">
            <v>431279735</v>
          </cell>
          <cell r="AG4434">
            <v>37913717</v>
          </cell>
          <cell r="AH4434">
            <v>6968182</v>
          </cell>
          <cell r="AI4434">
            <v>0</v>
          </cell>
        </row>
        <row r="4435">
          <cell r="A4435">
            <v>506010400</v>
          </cell>
          <cell r="C4435">
            <v>10744056547</v>
          </cell>
          <cell r="D4435">
            <v>11580471446</v>
          </cell>
          <cell r="E4435">
            <v>2809047892</v>
          </cell>
          <cell r="F4435">
            <v>2954721869</v>
          </cell>
          <cell r="G4435">
            <v>8265442554</v>
          </cell>
          <cell r="H4435">
            <v>24702270739</v>
          </cell>
          <cell r="I4435">
            <v>6636318713</v>
          </cell>
          <cell r="J4435">
            <v>1926883958</v>
          </cell>
          <cell r="K4435">
            <v>1844235251</v>
          </cell>
          <cell r="L4435">
            <v>564433569</v>
          </cell>
          <cell r="M4435">
            <v>1319374521</v>
          </cell>
          <cell r="N4435">
            <v>7498654714</v>
          </cell>
          <cell r="O4435">
            <v>4207291278</v>
          </cell>
          <cell r="P4435">
            <v>4436173671</v>
          </cell>
          <cell r="Q4435">
            <v>3369943620</v>
          </cell>
          <cell r="R4435">
            <v>2216025674</v>
          </cell>
          <cell r="S4435">
            <v>707060501</v>
          </cell>
          <cell r="T4435">
            <v>10789382991</v>
          </cell>
          <cell r="U4435">
            <v>10000000</v>
          </cell>
          <cell r="V4435">
            <v>23196360941</v>
          </cell>
          <cell r="W4435">
            <v>6531902194</v>
          </cell>
          <cell r="X4435">
            <v>7271100382</v>
          </cell>
          <cell r="Y4435">
            <v>1106597065</v>
          </cell>
          <cell r="Z4435">
            <v>7014249720</v>
          </cell>
          <cell r="AA4435">
            <v>1390588448</v>
          </cell>
          <cell r="AB4435">
            <v>13904479439</v>
          </cell>
          <cell r="AC4435">
            <v>1767698671</v>
          </cell>
          <cell r="AD4435">
            <v>8168654269</v>
          </cell>
          <cell r="AE4435">
            <v>55330030506</v>
          </cell>
          <cell r="AF4435">
            <v>4723172847</v>
          </cell>
          <cell r="AG4435">
            <v>5212573717</v>
          </cell>
          <cell r="AH4435">
            <v>5286352960</v>
          </cell>
          <cell r="AI4435">
            <v>38711925</v>
          </cell>
        </row>
        <row r="4436">
          <cell r="A4436">
            <v>506010401</v>
          </cell>
          <cell r="C4436">
            <v>10744056547</v>
          </cell>
          <cell r="D4436">
            <v>11580471446</v>
          </cell>
          <cell r="E4436">
            <v>2809047892</v>
          </cell>
          <cell r="F4436">
            <v>2954721869</v>
          </cell>
          <cell r="G4436">
            <v>8265442554</v>
          </cell>
          <cell r="H4436">
            <v>24702270739</v>
          </cell>
          <cell r="I4436">
            <v>6636318713</v>
          </cell>
          <cell r="J4436">
            <v>1926883958</v>
          </cell>
          <cell r="K4436">
            <v>1844235251</v>
          </cell>
          <cell r="L4436">
            <v>564433569</v>
          </cell>
          <cell r="M4436">
            <v>1319374521</v>
          </cell>
          <cell r="N4436">
            <v>7498654714</v>
          </cell>
          <cell r="O4436">
            <v>4207291278</v>
          </cell>
          <cell r="P4436">
            <v>4436173671</v>
          </cell>
          <cell r="Q4436">
            <v>3369943620</v>
          </cell>
          <cell r="R4436">
            <v>2216025674</v>
          </cell>
          <cell r="S4436">
            <v>707060501</v>
          </cell>
          <cell r="T4436">
            <v>10789382991</v>
          </cell>
          <cell r="U4436">
            <v>10000000</v>
          </cell>
          <cell r="V4436">
            <v>23196360941</v>
          </cell>
          <cell r="W4436">
            <v>6531902194</v>
          </cell>
          <cell r="X4436">
            <v>7271100382</v>
          </cell>
          <cell r="Y4436">
            <v>1106597065</v>
          </cell>
          <cell r="Z4436">
            <v>7014249720</v>
          </cell>
          <cell r="AA4436">
            <v>1390588448</v>
          </cell>
          <cell r="AB4436">
            <v>13904479439</v>
          </cell>
          <cell r="AC4436">
            <v>1767698671</v>
          </cell>
          <cell r="AD4436">
            <v>8168654269</v>
          </cell>
          <cell r="AE4436">
            <v>55330030506</v>
          </cell>
          <cell r="AF4436">
            <v>4723172847</v>
          </cell>
          <cell r="AG4436">
            <v>5212573717</v>
          </cell>
          <cell r="AH4436">
            <v>5286352960</v>
          </cell>
          <cell r="AI4436">
            <v>38711925</v>
          </cell>
        </row>
        <row r="4437">
          <cell r="A4437">
            <v>506010500</v>
          </cell>
          <cell r="C4437">
            <v>56851374</v>
          </cell>
          <cell r="D4437">
            <v>0</v>
          </cell>
          <cell r="E4437">
            <v>0</v>
          </cell>
          <cell r="F4437">
            <v>56851374</v>
          </cell>
          <cell r="G4437">
            <v>436106062</v>
          </cell>
          <cell r="H4437">
            <v>57413120</v>
          </cell>
          <cell r="I4437">
            <v>57113106</v>
          </cell>
          <cell r="J4437">
            <v>51319702</v>
          </cell>
          <cell r="K4437">
            <v>56851374</v>
          </cell>
          <cell r="L4437">
            <v>56851374</v>
          </cell>
          <cell r="M4437">
            <v>56851374</v>
          </cell>
          <cell r="N4437">
            <v>0</v>
          </cell>
          <cell r="O4437">
            <v>0</v>
          </cell>
          <cell r="P4437">
            <v>56851374</v>
          </cell>
          <cell r="Q4437">
            <v>0</v>
          </cell>
          <cell r="R4437">
            <v>56851496</v>
          </cell>
          <cell r="S4437">
            <v>56851374</v>
          </cell>
          <cell r="T4437">
            <v>0</v>
          </cell>
          <cell r="U4437">
            <v>0</v>
          </cell>
          <cell r="V4437">
            <v>0</v>
          </cell>
          <cell r="W4437">
            <v>56851856</v>
          </cell>
          <cell r="X4437">
            <v>56851374</v>
          </cell>
          <cell r="Y4437">
            <v>357912842</v>
          </cell>
          <cell r="Z4437">
            <v>53886455</v>
          </cell>
          <cell r="AA4437">
            <v>56851382</v>
          </cell>
          <cell r="AB4437">
            <v>56851382</v>
          </cell>
          <cell r="AC4437">
            <v>56851374</v>
          </cell>
          <cell r="AD4437">
            <v>0</v>
          </cell>
          <cell r="AE4437">
            <v>0</v>
          </cell>
          <cell r="AF4437">
            <v>0</v>
          </cell>
          <cell r="AG4437">
            <v>56851374</v>
          </cell>
          <cell r="AH4437">
            <v>0</v>
          </cell>
          <cell r="AI4437">
            <v>0</v>
          </cell>
        </row>
        <row r="4438">
          <cell r="A4438">
            <v>506010501</v>
          </cell>
          <cell r="C4438">
            <v>56851374</v>
          </cell>
          <cell r="D4438">
            <v>0</v>
          </cell>
          <cell r="E4438">
            <v>0</v>
          </cell>
          <cell r="F4438">
            <v>56851374</v>
          </cell>
          <cell r="G4438">
            <v>436106062</v>
          </cell>
          <cell r="H4438">
            <v>57413120</v>
          </cell>
          <cell r="I4438">
            <v>57113106</v>
          </cell>
          <cell r="J4438">
            <v>51319702</v>
          </cell>
          <cell r="K4438">
            <v>56851374</v>
          </cell>
          <cell r="L4438">
            <v>56851374</v>
          </cell>
          <cell r="M4438">
            <v>56851374</v>
          </cell>
          <cell r="N4438">
            <v>0</v>
          </cell>
          <cell r="O4438">
            <v>0</v>
          </cell>
          <cell r="P4438">
            <v>56851374</v>
          </cell>
          <cell r="Q4438">
            <v>0</v>
          </cell>
          <cell r="R4438">
            <v>56851496</v>
          </cell>
          <cell r="S4438">
            <v>56851374</v>
          </cell>
          <cell r="T4438">
            <v>0</v>
          </cell>
          <cell r="U4438">
            <v>0</v>
          </cell>
          <cell r="V4438">
            <v>0</v>
          </cell>
          <cell r="W4438">
            <v>56851856</v>
          </cell>
          <cell r="X4438">
            <v>56851374</v>
          </cell>
          <cell r="Y4438">
            <v>357912842</v>
          </cell>
          <cell r="Z4438">
            <v>53886455</v>
          </cell>
          <cell r="AA4438">
            <v>56851382</v>
          </cell>
          <cell r="AB4438">
            <v>56851382</v>
          </cell>
          <cell r="AC4438">
            <v>56851374</v>
          </cell>
          <cell r="AD4438">
            <v>0</v>
          </cell>
          <cell r="AE4438">
            <v>0</v>
          </cell>
          <cell r="AF4438">
            <v>0</v>
          </cell>
          <cell r="AG4438">
            <v>56851374</v>
          </cell>
          <cell r="AH4438">
            <v>0</v>
          </cell>
          <cell r="AI4438">
            <v>0</v>
          </cell>
        </row>
        <row r="4439">
          <cell r="A4439">
            <v>506010600</v>
          </cell>
          <cell r="C4439">
            <v>379021425</v>
          </cell>
          <cell r="D4439">
            <v>489921938</v>
          </cell>
          <cell r="E4439">
            <v>97924336</v>
          </cell>
          <cell r="F4439">
            <v>204733529</v>
          </cell>
          <cell r="G4439">
            <v>228029854</v>
          </cell>
          <cell r="H4439">
            <v>310166698</v>
          </cell>
          <cell r="I4439">
            <v>117184863</v>
          </cell>
          <cell r="J4439">
            <v>23100000</v>
          </cell>
          <cell r="K4439">
            <v>0</v>
          </cell>
          <cell r="L4439">
            <v>1491000</v>
          </cell>
          <cell r="M4439">
            <v>114628783</v>
          </cell>
          <cell r="N4439">
            <v>455809933</v>
          </cell>
          <cell r="O4439">
            <v>163006155</v>
          </cell>
          <cell r="P4439">
            <v>101077585</v>
          </cell>
          <cell r="Q4439">
            <v>47556071</v>
          </cell>
          <cell r="R4439">
            <v>540274797</v>
          </cell>
          <cell r="S4439">
            <v>9500000</v>
          </cell>
          <cell r="T4439">
            <v>290652370</v>
          </cell>
          <cell r="U4439">
            <v>0</v>
          </cell>
          <cell r="V4439">
            <v>765591515</v>
          </cell>
          <cell r="W4439">
            <v>415116311</v>
          </cell>
          <cell r="X4439">
            <v>475199172</v>
          </cell>
          <cell r="Y4439">
            <v>33000000</v>
          </cell>
          <cell r="Z4439">
            <v>625980591</v>
          </cell>
          <cell r="AA4439">
            <v>36331401</v>
          </cell>
          <cell r="AB4439">
            <v>348772478</v>
          </cell>
          <cell r="AC4439">
            <v>47096100</v>
          </cell>
          <cell r="AD4439">
            <v>1048700487</v>
          </cell>
          <cell r="AE4439">
            <v>6849322651</v>
          </cell>
          <cell r="AF4439">
            <v>77312874</v>
          </cell>
          <cell r="AG4439">
            <v>210157891</v>
          </cell>
          <cell r="AH4439">
            <v>1482415307</v>
          </cell>
          <cell r="AI4439">
            <v>0</v>
          </cell>
        </row>
        <row r="4440">
          <cell r="A4440">
            <v>506010601</v>
          </cell>
          <cell r="C4440">
            <v>379021425</v>
          </cell>
          <cell r="D4440">
            <v>489921938</v>
          </cell>
          <cell r="E4440">
            <v>97924336</v>
          </cell>
          <cell r="F4440">
            <v>204733529</v>
          </cell>
          <cell r="G4440">
            <v>228029854</v>
          </cell>
          <cell r="H4440">
            <v>310166698</v>
          </cell>
          <cell r="I4440">
            <v>117184863</v>
          </cell>
          <cell r="J4440">
            <v>23100000</v>
          </cell>
          <cell r="K4440">
            <v>0</v>
          </cell>
          <cell r="L4440">
            <v>1491000</v>
          </cell>
          <cell r="M4440">
            <v>114628783</v>
          </cell>
          <cell r="N4440">
            <v>455809933</v>
          </cell>
          <cell r="O4440">
            <v>163006155</v>
          </cell>
          <cell r="P4440">
            <v>101077585</v>
          </cell>
          <cell r="Q4440">
            <v>47556071</v>
          </cell>
          <cell r="R4440">
            <v>540274797</v>
          </cell>
          <cell r="S4440">
            <v>9500000</v>
          </cell>
          <cell r="T4440">
            <v>290652370</v>
          </cell>
          <cell r="U4440">
            <v>0</v>
          </cell>
          <cell r="V4440">
            <v>765591515</v>
          </cell>
          <cell r="W4440">
            <v>415116311</v>
          </cell>
          <cell r="X4440">
            <v>475199172</v>
          </cell>
          <cell r="Y4440">
            <v>33000000</v>
          </cell>
          <cell r="Z4440">
            <v>625980591</v>
          </cell>
          <cell r="AA4440">
            <v>36331401</v>
          </cell>
          <cell r="AB4440">
            <v>348772478</v>
          </cell>
          <cell r="AC4440">
            <v>47096100</v>
          </cell>
          <cell r="AD4440">
            <v>1048700487</v>
          </cell>
          <cell r="AE4440">
            <v>6849322651</v>
          </cell>
          <cell r="AF4440">
            <v>77312874</v>
          </cell>
          <cell r="AG4440">
            <v>210157891</v>
          </cell>
          <cell r="AH4440">
            <v>1482415307</v>
          </cell>
          <cell r="AI4440">
            <v>0</v>
          </cell>
        </row>
        <row r="4441">
          <cell r="A4441">
            <v>506010700</v>
          </cell>
          <cell r="C4441">
            <v>6288648</v>
          </cell>
          <cell r="D4441">
            <v>25816183</v>
          </cell>
          <cell r="E4441">
            <v>0</v>
          </cell>
          <cell r="F4441">
            <v>11394606</v>
          </cell>
          <cell r="G4441">
            <v>7281455</v>
          </cell>
          <cell r="H4441">
            <v>103109728</v>
          </cell>
          <cell r="I4441">
            <v>11642792</v>
          </cell>
          <cell r="J4441">
            <v>2187272</v>
          </cell>
          <cell r="K4441">
            <v>0</v>
          </cell>
          <cell r="L4441">
            <v>0</v>
          </cell>
          <cell r="M4441">
            <v>0</v>
          </cell>
          <cell r="N4441">
            <v>12781458</v>
          </cell>
          <cell r="O4441">
            <v>5560538</v>
          </cell>
          <cell r="P4441">
            <v>1070000</v>
          </cell>
          <cell r="Q4441">
            <v>6867469</v>
          </cell>
          <cell r="R4441">
            <v>5635728</v>
          </cell>
          <cell r="S4441">
            <v>0</v>
          </cell>
          <cell r="T4441">
            <v>500000</v>
          </cell>
          <cell r="U4441">
            <v>0</v>
          </cell>
          <cell r="V4441">
            <v>14239027</v>
          </cell>
          <cell r="W4441">
            <v>2686363</v>
          </cell>
          <cell r="X4441">
            <v>12895119</v>
          </cell>
          <cell r="Y4441">
            <v>0</v>
          </cell>
          <cell r="Z4441">
            <v>8464272</v>
          </cell>
          <cell r="AA4441">
            <v>0</v>
          </cell>
          <cell r="AB4441">
            <v>15679666</v>
          </cell>
          <cell r="AC4441">
            <v>0</v>
          </cell>
          <cell r="AD4441">
            <v>7092731</v>
          </cell>
          <cell r="AE4441">
            <v>43863940</v>
          </cell>
          <cell r="AF4441">
            <v>0</v>
          </cell>
          <cell r="AG4441">
            <v>572727</v>
          </cell>
          <cell r="AH4441">
            <v>7891683</v>
          </cell>
          <cell r="AI4441">
            <v>0</v>
          </cell>
        </row>
        <row r="4442">
          <cell r="A4442">
            <v>506010701</v>
          </cell>
          <cell r="C4442">
            <v>6288648</v>
          </cell>
          <cell r="D4442">
            <v>25816183</v>
          </cell>
          <cell r="E4442">
            <v>0</v>
          </cell>
          <cell r="F4442">
            <v>11394606</v>
          </cell>
          <cell r="G4442">
            <v>7281455</v>
          </cell>
          <cell r="H4442">
            <v>103109728</v>
          </cell>
          <cell r="I4442">
            <v>11642792</v>
          </cell>
          <cell r="J4442">
            <v>2187272</v>
          </cell>
          <cell r="K4442">
            <v>0</v>
          </cell>
          <cell r="L4442">
            <v>0</v>
          </cell>
          <cell r="M4442">
            <v>0</v>
          </cell>
          <cell r="N4442">
            <v>12781458</v>
          </cell>
          <cell r="O4442">
            <v>5560538</v>
          </cell>
          <cell r="P4442">
            <v>1070000</v>
          </cell>
          <cell r="Q4442">
            <v>6867469</v>
          </cell>
          <cell r="R4442">
            <v>5635728</v>
          </cell>
          <cell r="S4442">
            <v>0</v>
          </cell>
          <cell r="T4442">
            <v>500000</v>
          </cell>
          <cell r="U4442">
            <v>0</v>
          </cell>
          <cell r="V4442">
            <v>14239027</v>
          </cell>
          <cell r="W4442">
            <v>2686363</v>
          </cell>
          <cell r="X4442">
            <v>12895119</v>
          </cell>
          <cell r="Y4442">
            <v>0</v>
          </cell>
          <cell r="Z4442">
            <v>8464272</v>
          </cell>
          <cell r="AA4442">
            <v>0</v>
          </cell>
          <cell r="AB4442">
            <v>15679666</v>
          </cell>
          <cell r="AC4442">
            <v>0</v>
          </cell>
          <cell r="AD4442">
            <v>7092731</v>
          </cell>
          <cell r="AE4442">
            <v>43863940</v>
          </cell>
          <cell r="AF4442">
            <v>0</v>
          </cell>
          <cell r="AG4442">
            <v>572727</v>
          </cell>
          <cell r="AH4442">
            <v>7891683</v>
          </cell>
          <cell r="AI4442">
            <v>0</v>
          </cell>
        </row>
        <row r="4443">
          <cell r="A4443">
            <v>506010800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112413865</v>
          </cell>
          <cell r="N4443">
            <v>24157746058</v>
          </cell>
          <cell r="O4443">
            <v>0</v>
          </cell>
          <cell r="P4443">
            <v>0</v>
          </cell>
          <cell r="Q4443">
            <v>0</v>
          </cell>
          <cell r="R4443">
            <v>0</v>
          </cell>
          <cell r="S4443">
            <v>0</v>
          </cell>
          <cell r="T4443">
            <v>8431641631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7345014706</v>
          </cell>
          <cell r="AF4443">
            <v>212776403</v>
          </cell>
          <cell r="AG4443">
            <v>0</v>
          </cell>
          <cell r="AH4443">
            <v>0</v>
          </cell>
          <cell r="AI4443">
            <v>16624119692</v>
          </cell>
        </row>
        <row r="4444">
          <cell r="A4444">
            <v>506010801</v>
          </cell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112413865</v>
          </cell>
          <cell r="N4444">
            <v>24157746058</v>
          </cell>
          <cell r="O4444">
            <v>0</v>
          </cell>
          <cell r="P4444">
            <v>0</v>
          </cell>
          <cell r="Q4444">
            <v>0</v>
          </cell>
          <cell r="R4444">
            <v>0</v>
          </cell>
          <cell r="S4444">
            <v>0</v>
          </cell>
          <cell r="T4444">
            <v>8431641631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7345014706</v>
          </cell>
          <cell r="AF4444">
            <v>212776403</v>
          </cell>
          <cell r="AG4444">
            <v>0</v>
          </cell>
          <cell r="AH4444">
            <v>0</v>
          </cell>
          <cell r="AI4444">
            <v>16624119692</v>
          </cell>
        </row>
        <row r="4445">
          <cell r="A4445">
            <v>506010900</v>
          </cell>
          <cell r="C4445">
            <v>85797880</v>
          </cell>
          <cell r="D4445">
            <v>51126597</v>
          </cell>
          <cell r="E4445">
            <v>25063704</v>
          </cell>
          <cell r="F4445">
            <v>0</v>
          </cell>
          <cell r="G4445">
            <v>251045543</v>
          </cell>
          <cell r="H4445">
            <v>64603853</v>
          </cell>
          <cell r="I4445">
            <v>625162385</v>
          </cell>
          <cell r="J4445">
            <v>1556477</v>
          </cell>
          <cell r="K4445">
            <v>227273</v>
          </cell>
          <cell r="L4445">
            <v>5544000</v>
          </cell>
          <cell r="M4445">
            <v>0</v>
          </cell>
          <cell r="N4445">
            <v>872209776</v>
          </cell>
          <cell r="O4445">
            <v>206291241</v>
          </cell>
          <cell r="P4445">
            <v>0</v>
          </cell>
          <cell r="Q4445">
            <v>0</v>
          </cell>
          <cell r="R4445">
            <v>863648207</v>
          </cell>
          <cell r="S4445">
            <v>4296595</v>
          </cell>
          <cell r="T4445">
            <v>32321952</v>
          </cell>
          <cell r="U4445">
            <v>0</v>
          </cell>
          <cell r="V4445">
            <v>790781824</v>
          </cell>
          <cell r="W4445">
            <v>76835191</v>
          </cell>
          <cell r="X4445">
            <v>46636333</v>
          </cell>
          <cell r="Y4445">
            <v>0</v>
          </cell>
          <cell r="Z4445">
            <v>51923222</v>
          </cell>
          <cell r="AA4445">
            <v>0</v>
          </cell>
          <cell r="AB4445">
            <v>132386247</v>
          </cell>
          <cell r="AC4445">
            <v>0</v>
          </cell>
          <cell r="AD4445">
            <v>37557145</v>
          </cell>
          <cell r="AE4445">
            <v>2036756046</v>
          </cell>
          <cell r="AF4445">
            <v>687273979</v>
          </cell>
          <cell r="AG4445">
            <v>15786993</v>
          </cell>
          <cell r="AH4445">
            <v>66760322</v>
          </cell>
          <cell r="AI4445">
            <v>2305000</v>
          </cell>
        </row>
        <row r="4446">
          <cell r="A4446">
            <v>506010901</v>
          </cell>
          <cell r="C4446">
            <v>85797880</v>
          </cell>
          <cell r="D4446">
            <v>51126597</v>
          </cell>
          <cell r="E4446">
            <v>25063704</v>
          </cell>
          <cell r="F4446">
            <v>0</v>
          </cell>
          <cell r="G4446">
            <v>251045543</v>
          </cell>
          <cell r="H4446">
            <v>64603853</v>
          </cell>
          <cell r="I4446">
            <v>625162385</v>
          </cell>
          <cell r="J4446">
            <v>1556477</v>
          </cell>
          <cell r="K4446">
            <v>227273</v>
          </cell>
          <cell r="L4446">
            <v>5544000</v>
          </cell>
          <cell r="M4446">
            <v>0</v>
          </cell>
          <cell r="N4446">
            <v>872209776</v>
          </cell>
          <cell r="O4446">
            <v>206291241</v>
          </cell>
          <cell r="P4446">
            <v>0</v>
          </cell>
          <cell r="Q4446">
            <v>0</v>
          </cell>
          <cell r="R4446">
            <v>863648207</v>
          </cell>
          <cell r="S4446">
            <v>4296595</v>
          </cell>
          <cell r="T4446">
            <v>32321952</v>
          </cell>
          <cell r="U4446">
            <v>0</v>
          </cell>
          <cell r="V4446">
            <v>790781824</v>
          </cell>
          <cell r="W4446">
            <v>76835191</v>
          </cell>
          <cell r="X4446">
            <v>46636333</v>
          </cell>
          <cell r="Y4446">
            <v>0</v>
          </cell>
          <cell r="Z4446">
            <v>51923222</v>
          </cell>
          <cell r="AA4446">
            <v>0</v>
          </cell>
          <cell r="AB4446">
            <v>132386247</v>
          </cell>
          <cell r="AC4446">
            <v>0</v>
          </cell>
          <cell r="AD4446">
            <v>37557145</v>
          </cell>
          <cell r="AE4446">
            <v>2036756046</v>
          </cell>
          <cell r="AF4446">
            <v>687273979</v>
          </cell>
          <cell r="AG4446">
            <v>15786993</v>
          </cell>
          <cell r="AH4446">
            <v>66760322</v>
          </cell>
          <cell r="AI4446">
            <v>2305000</v>
          </cell>
        </row>
        <row r="4447">
          <cell r="A4447">
            <v>506011000</v>
          </cell>
          <cell r="C4447">
            <v>1577652406</v>
          </cell>
          <cell r="D4447">
            <v>129033438</v>
          </cell>
          <cell r="E4447">
            <v>289838332</v>
          </cell>
          <cell r="F4447">
            <v>68464233</v>
          </cell>
          <cell r="G4447">
            <v>71929351</v>
          </cell>
          <cell r="H4447">
            <v>214906428</v>
          </cell>
          <cell r="I4447">
            <v>68572652</v>
          </cell>
          <cell r="J4447">
            <v>68914233</v>
          </cell>
          <cell r="K4447">
            <v>68464233</v>
          </cell>
          <cell r="L4447">
            <v>68464233</v>
          </cell>
          <cell r="M4447">
            <v>68464233</v>
          </cell>
          <cell r="N4447">
            <v>51749326</v>
          </cell>
          <cell r="O4447">
            <v>126878790</v>
          </cell>
          <cell r="P4447">
            <v>74648906</v>
          </cell>
          <cell r="Q4447">
            <v>84385352</v>
          </cell>
          <cell r="R4447">
            <v>95774245</v>
          </cell>
          <cell r="S4447">
            <v>68464233</v>
          </cell>
          <cell r="T4447">
            <v>37869949</v>
          </cell>
          <cell r="U4447">
            <v>0</v>
          </cell>
          <cell r="V4447">
            <v>165972818</v>
          </cell>
          <cell r="W4447">
            <v>86775767</v>
          </cell>
          <cell r="X4447">
            <v>96854915</v>
          </cell>
          <cell r="Y4447">
            <v>78365436</v>
          </cell>
          <cell r="Z4447">
            <v>98464233</v>
          </cell>
          <cell r="AA4447">
            <v>68464233</v>
          </cell>
          <cell r="AB4447">
            <v>81030918</v>
          </cell>
          <cell r="AC4447">
            <v>68464233</v>
          </cell>
          <cell r="AD4447">
            <v>77040304</v>
          </cell>
          <cell r="AE4447">
            <v>260651264</v>
          </cell>
          <cell r="AF4447">
            <v>73183279</v>
          </cell>
          <cell r="AG4447">
            <v>77421523</v>
          </cell>
          <cell r="AH4447">
            <v>31327060</v>
          </cell>
          <cell r="AI4447">
            <v>0</v>
          </cell>
        </row>
        <row r="4448">
          <cell r="A4448">
            <v>506011001</v>
          </cell>
          <cell r="C4448">
            <v>1577652406</v>
          </cell>
          <cell r="D4448">
            <v>129033438</v>
          </cell>
          <cell r="E4448">
            <v>289838332</v>
          </cell>
          <cell r="F4448">
            <v>68464233</v>
          </cell>
          <cell r="G4448">
            <v>71929351</v>
          </cell>
          <cell r="H4448">
            <v>214906428</v>
          </cell>
          <cell r="I4448">
            <v>68572652</v>
          </cell>
          <cell r="J4448">
            <v>68914233</v>
          </cell>
          <cell r="K4448">
            <v>68464233</v>
          </cell>
          <cell r="L4448">
            <v>68464233</v>
          </cell>
          <cell r="M4448">
            <v>68464233</v>
          </cell>
          <cell r="N4448">
            <v>51749326</v>
          </cell>
          <cell r="O4448">
            <v>126878790</v>
          </cell>
          <cell r="P4448">
            <v>74648906</v>
          </cell>
          <cell r="Q4448">
            <v>84385352</v>
          </cell>
          <cell r="R4448">
            <v>95774245</v>
          </cell>
          <cell r="S4448">
            <v>68464233</v>
          </cell>
          <cell r="T4448">
            <v>37869949</v>
          </cell>
          <cell r="U4448">
            <v>0</v>
          </cell>
          <cell r="V4448">
            <v>165972818</v>
          </cell>
          <cell r="W4448">
            <v>86775767</v>
          </cell>
          <cell r="X4448">
            <v>96854915</v>
          </cell>
          <cell r="Y4448">
            <v>78365436</v>
          </cell>
          <cell r="Z4448">
            <v>98464233</v>
          </cell>
          <cell r="AA4448">
            <v>68464233</v>
          </cell>
          <cell r="AB4448">
            <v>81030918</v>
          </cell>
          <cell r="AC4448">
            <v>68464233</v>
          </cell>
          <cell r="AD4448">
            <v>77040304</v>
          </cell>
          <cell r="AE4448">
            <v>260651264</v>
          </cell>
          <cell r="AF4448">
            <v>73183279</v>
          </cell>
          <cell r="AG4448">
            <v>77421523</v>
          </cell>
          <cell r="AH4448">
            <v>31327060</v>
          </cell>
          <cell r="AI4448">
            <v>0</v>
          </cell>
        </row>
        <row r="4449">
          <cell r="A4449">
            <v>506011100</v>
          </cell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G4449">
            <v>0</v>
          </cell>
          <cell r="H4449">
            <v>37200000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33000000</v>
          </cell>
          <cell r="U4449">
            <v>0</v>
          </cell>
          <cell r="V4449">
            <v>0</v>
          </cell>
          <cell r="W4449">
            <v>0</v>
          </cell>
          <cell r="X4449">
            <v>217692000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</row>
        <row r="4450">
          <cell r="A4450">
            <v>506011101</v>
          </cell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37200000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R4450">
            <v>0</v>
          </cell>
          <cell r="S4450">
            <v>0</v>
          </cell>
          <cell r="T4450">
            <v>33000000</v>
          </cell>
          <cell r="U4450">
            <v>0</v>
          </cell>
          <cell r="V4450">
            <v>0</v>
          </cell>
          <cell r="W4450">
            <v>0</v>
          </cell>
          <cell r="X4450">
            <v>217692000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</row>
        <row r="4451">
          <cell r="A4451">
            <v>506011200</v>
          </cell>
          <cell r="C4451">
            <v>504591742</v>
          </cell>
          <cell r="D4451">
            <v>556733267</v>
          </cell>
          <cell r="E4451">
            <v>235445904</v>
          </cell>
          <cell r="F4451">
            <v>9220145</v>
          </cell>
          <cell r="G4451">
            <v>48359292</v>
          </cell>
          <cell r="H4451">
            <v>231339817</v>
          </cell>
          <cell r="I4451">
            <v>19529983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104774296</v>
          </cell>
          <cell r="O4451">
            <v>118444487</v>
          </cell>
          <cell r="P4451">
            <v>2414448</v>
          </cell>
          <cell r="Q4451">
            <v>4410000</v>
          </cell>
          <cell r="R4451">
            <v>67091106</v>
          </cell>
          <cell r="S4451">
            <v>0</v>
          </cell>
          <cell r="T4451">
            <v>263545359</v>
          </cell>
          <cell r="U4451">
            <v>0</v>
          </cell>
          <cell r="V4451">
            <v>397169871</v>
          </cell>
          <cell r="W4451">
            <v>3591540</v>
          </cell>
          <cell r="X4451">
            <v>67712012</v>
          </cell>
          <cell r="Y4451">
            <v>0</v>
          </cell>
          <cell r="Z4451">
            <v>0</v>
          </cell>
          <cell r="AA4451">
            <v>0</v>
          </cell>
          <cell r="AB4451">
            <v>50725389</v>
          </cell>
          <cell r="AC4451">
            <v>5000000</v>
          </cell>
          <cell r="AD4451">
            <v>89021810</v>
          </cell>
          <cell r="AE4451">
            <v>16068022238</v>
          </cell>
          <cell r="AF4451">
            <v>57875706</v>
          </cell>
          <cell r="AG4451">
            <v>20175762</v>
          </cell>
          <cell r="AH4451">
            <v>36381642</v>
          </cell>
          <cell r="AI4451">
            <v>0</v>
          </cell>
        </row>
        <row r="4452">
          <cell r="A4452">
            <v>506011201</v>
          </cell>
          <cell r="C4452">
            <v>504591742</v>
          </cell>
          <cell r="D4452">
            <v>556733267</v>
          </cell>
          <cell r="E4452">
            <v>235445904</v>
          </cell>
          <cell r="F4452">
            <v>9220145</v>
          </cell>
          <cell r="G4452">
            <v>48359292</v>
          </cell>
          <cell r="H4452">
            <v>231339817</v>
          </cell>
          <cell r="I4452">
            <v>19529983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104774296</v>
          </cell>
          <cell r="O4452">
            <v>118444487</v>
          </cell>
          <cell r="P4452">
            <v>2414448</v>
          </cell>
          <cell r="Q4452">
            <v>4410000</v>
          </cell>
          <cell r="R4452">
            <v>67091106</v>
          </cell>
          <cell r="S4452">
            <v>0</v>
          </cell>
          <cell r="T4452">
            <v>263545359</v>
          </cell>
          <cell r="U4452">
            <v>0</v>
          </cell>
          <cell r="V4452">
            <v>397169871</v>
          </cell>
          <cell r="W4452">
            <v>3591540</v>
          </cell>
          <cell r="X4452">
            <v>67712012</v>
          </cell>
          <cell r="Y4452">
            <v>0</v>
          </cell>
          <cell r="Z4452">
            <v>0</v>
          </cell>
          <cell r="AA4452">
            <v>0</v>
          </cell>
          <cell r="AB4452">
            <v>50725389</v>
          </cell>
          <cell r="AC4452">
            <v>5000000</v>
          </cell>
          <cell r="AD4452">
            <v>89021810</v>
          </cell>
          <cell r="AE4452">
            <v>16068022238</v>
          </cell>
          <cell r="AF4452">
            <v>57875706</v>
          </cell>
          <cell r="AG4452">
            <v>20175762</v>
          </cell>
          <cell r="AH4452">
            <v>36381642</v>
          </cell>
          <cell r="AI4452">
            <v>0</v>
          </cell>
        </row>
        <row r="4453">
          <cell r="A4453">
            <v>506011300</v>
          </cell>
          <cell r="C4453">
            <v>0</v>
          </cell>
          <cell r="D4453">
            <v>327120328</v>
          </cell>
          <cell r="E4453">
            <v>46220000</v>
          </cell>
          <cell r="F4453">
            <v>0</v>
          </cell>
          <cell r="G4453">
            <v>197204320</v>
          </cell>
          <cell r="H4453">
            <v>311136528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9300995</v>
          </cell>
          <cell r="O4453">
            <v>0</v>
          </cell>
          <cell r="P4453">
            <v>0</v>
          </cell>
          <cell r="Q4453">
            <v>19202339</v>
          </cell>
          <cell r="R4453">
            <v>0</v>
          </cell>
          <cell r="S4453">
            <v>0</v>
          </cell>
          <cell r="T4453">
            <v>32730217</v>
          </cell>
          <cell r="U4453">
            <v>0</v>
          </cell>
          <cell r="V4453">
            <v>0</v>
          </cell>
          <cell r="W4453">
            <v>1552724</v>
          </cell>
          <cell r="X4453">
            <v>13378122</v>
          </cell>
          <cell r="Y4453">
            <v>5031600</v>
          </cell>
          <cell r="Z4453">
            <v>0</v>
          </cell>
          <cell r="AA4453">
            <v>0</v>
          </cell>
          <cell r="AB4453">
            <v>0</v>
          </cell>
          <cell r="AC4453">
            <v>65622729</v>
          </cell>
          <cell r="AD4453">
            <v>437765885</v>
          </cell>
          <cell r="AE4453">
            <v>65228898</v>
          </cell>
          <cell r="AF4453">
            <v>36900045</v>
          </cell>
          <cell r="AG4453">
            <v>0</v>
          </cell>
          <cell r="AH4453">
            <v>0</v>
          </cell>
          <cell r="AI4453">
            <v>0</v>
          </cell>
        </row>
        <row r="4454">
          <cell r="A4454">
            <v>506011301</v>
          </cell>
          <cell r="C4454">
            <v>0</v>
          </cell>
          <cell r="D4454">
            <v>327120328</v>
          </cell>
          <cell r="E4454">
            <v>46220000</v>
          </cell>
          <cell r="F4454">
            <v>0</v>
          </cell>
          <cell r="G4454">
            <v>197204320</v>
          </cell>
          <cell r="H4454">
            <v>311136528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9300995</v>
          </cell>
          <cell r="O4454">
            <v>0</v>
          </cell>
          <cell r="P4454">
            <v>0</v>
          </cell>
          <cell r="Q4454">
            <v>19202339</v>
          </cell>
          <cell r="R4454">
            <v>0</v>
          </cell>
          <cell r="S4454">
            <v>0</v>
          </cell>
          <cell r="T4454">
            <v>32730217</v>
          </cell>
          <cell r="U4454">
            <v>0</v>
          </cell>
          <cell r="V4454">
            <v>0</v>
          </cell>
          <cell r="W4454">
            <v>1552724</v>
          </cell>
          <cell r="X4454">
            <v>13378122</v>
          </cell>
          <cell r="Y4454">
            <v>5031600</v>
          </cell>
          <cell r="Z4454">
            <v>0</v>
          </cell>
          <cell r="AA4454">
            <v>0</v>
          </cell>
          <cell r="AB4454">
            <v>0</v>
          </cell>
          <cell r="AC4454">
            <v>65622729</v>
          </cell>
          <cell r="AD4454">
            <v>437765885</v>
          </cell>
          <cell r="AE4454">
            <v>65228898</v>
          </cell>
          <cell r="AF4454">
            <v>36900045</v>
          </cell>
          <cell r="AG4454">
            <v>0</v>
          </cell>
          <cell r="AH4454">
            <v>0</v>
          </cell>
          <cell r="AI4454">
            <v>0</v>
          </cell>
        </row>
        <row r="4455">
          <cell r="A4455">
            <v>506012000</v>
          </cell>
          <cell r="C4455">
            <v>149268048</v>
          </cell>
          <cell r="D4455">
            <v>424504707</v>
          </cell>
          <cell r="E4455">
            <v>440271104</v>
          </cell>
          <cell r="F4455">
            <v>52383626</v>
          </cell>
          <cell r="G4455">
            <v>7493267677</v>
          </cell>
          <cell r="H4455">
            <v>1607570037</v>
          </cell>
          <cell r="I4455">
            <v>22926000</v>
          </cell>
          <cell r="J4455">
            <v>0</v>
          </cell>
          <cell r="K4455">
            <v>480580410</v>
          </cell>
          <cell r="L4455">
            <v>126118889</v>
          </cell>
          <cell r="M4455">
            <v>0</v>
          </cell>
          <cell r="N4455">
            <v>1244184277</v>
          </cell>
          <cell r="O4455">
            <v>8641865</v>
          </cell>
          <cell r="P4455">
            <v>0</v>
          </cell>
          <cell r="Q4455">
            <v>0</v>
          </cell>
          <cell r="R4455">
            <v>628384064</v>
          </cell>
          <cell r="S4455">
            <v>0</v>
          </cell>
          <cell r="T4455">
            <v>616856350</v>
          </cell>
          <cell r="U4455">
            <v>0</v>
          </cell>
          <cell r="V4455">
            <v>1780556839</v>
          </cell>
          <cell r="W4455">
            <v>42200249</v>
          </cell>
          <cell r="X4455">
            <v>535585500</v>
          </cell>
          <cell r="Y4455">
            <v>0</v>
          </cell>
          <cell r="Z4455">
            <v>760266742</v>
          </cell>
          <cell r="AA4455">
            <v>0</v>
          </cell>
          <cell r="AB4455">
            <v>4121196878</v>
          </cell>
          <cell r="AC4455">
            <v>0</v>
          </cell>
          <cell r="AD4455">
            <v>867075774</v>
          </cell>
          <cell r="AE4455">
            <v>2165251454</v>
          </cell>
          <cell r="AF4455">
            <v>2047068101</v>
          </cell>
          <cell r="AG4455">
            <v>193718672</v>
          </cell>
          <cell r="AH4455">
            <v>3718386452</v>
          </cell>
          <cell r="AI4455">
            <v>47337800</v>
          </cell>
        </row>
        <row r="4456">
          <cell r="A4456">
            <v>506012001</v>
          </cell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R4456">
            <v>0</v>
          </cell>
          <cell r="S4456">
            <v>0</v>
          </cell>
          <cell r="T4456">
            <v>616856350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47337800</v>
          </cell>
        </row>
        <row r="4457">
          <cell r="A4457">
            <v>506012002</v>
          </cell>
          <cell r="C4457">
            <v>149268048</v>
          </cell>
          <cell r="D4457">
            <v>424504707</v>
          </cell>
          <cell r="E4457">
            <v>0</v>
          </cell>
          <cell r="F4457">
            <v>52383626</v>
          </cell>
          <cell r="G4457">
            <v>7493267677</v>
          </cell>
          <cell r="H4457">
            <v>0</v>
          </cell>
          <cell r="I4457">
            <v>0</v>
          </cell>
          <cell r="J4457">
            <v>0</v>
          </cell>
          <cell r="K4457">
            <v>368033246</v>
          </cell>
          <cell r="L4457">
            <v>126118889</v>
          </cell>
          <cell r="M4457">
            <v>0</v>
          </cell>
          <cell r="N4457">
            <v>0</v>
          </cell>
          <cell r="O4457">
            <v>8641865</v>
          </cell>
          <cell r="P4457">
            <v>0</v>
          </cell>
          <cell r="Q4457">
            <v>0</v>
          </cell>
          <cell r="R4457">
            <v>628384064</v>
          </cell>
          <cell r="S4457">
            <v>0</v>
          </cell>
          <cell r="T4457">
            <v>0</v>
          </cell>
          <cell r="U4457">
            <v>0</v>
          </cell>
          <cell r="V4457">
            <v>1780556839</v>
          </cell>
          <cell r="W4457">
            <v>42200249</v>
          </cell>
          <cell r="X4457">
            <v>535585500</v>
          </cell>
          <cell r="Y4457">
            <v>0</v>
          </cell>
          <cell r="Z4457">
            <v>760266742</v>
          </cell>
          <cell r="AA4457">
            <v>0</v>
          </cell>
          <cell r="AB4457">
            <v>4121196878</v>
          </cell>
          <cell r="AC4457">
            <v>0</v>
          </cell>
          <cell r="AD4457">
            <v>867075774</v>
          </cell>
          <cell r="AE4457">
            <v>2165251454</v>
          </cell>
          <cell r="AF4457">
            <v>2047068101</v>
          </cell>
          <cell r="AG4457">
            <v>193718672</v>
          </cell>
          <cell r="AH4457">
            <v>3718386452</v>
          </cell>
          <cell r="AI4457">
            <v>0</v>
          </cell>
        </row>
        <row r="4458">
          <cell r="A4458">
            <v>506012003</v>
          </cell>
          <cell r="C4458">
            <v>0</v>
          </cell>
          <cell r="D4458">
            <v>0</v>
          </cell>
          <cell r="E4458">
            <v>440271104</v>
          </cell>
          <cell r="F4458">
            <v>0</v>
          </cell>
          <cell r="G4458">
            <v>0</v>
          </cell>
          <cell r="H4458">
            <v>1607570037</v>
          </cell>
          <cell r="I4458">
            <v>22926000</v>
          </cell>
          <cell r="J4458">
            <v>0</v>
          </cell>
          <cell r="K4458">
            <v>112547164</v>
          </cell>
          <cell r="L4458">
            <v>0</v>
          </cell>
          <cell r="M4458">
            <v>0</v>
          </cell>
          <cell r="N4458">
            <v>1244184277</v>
          </cell>
          <cell r="O4458">
            <v>0</v>
          </cell>
          <cell r="P4458">
            <v>0</v>
          </cell>
          <cell r="Q4458">
            <v>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</row>
        <row r="4459">
          <cell r="A4459">
            <v>506012004</v>
          </cell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</row>
        <row r="4460">
          <cell r="A4460">
            <v>506012005</v>
          </cell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</row>
        <row r="4461">
          <cell r="A4461">
            <v>507000000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R4461">
            <v>0</v>
          </cell>
          <cell r="S4461">
            <v>0</v>
          </cell>
          <cell r="T4461">
            <v>47800000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</row>
        <row r="4462">
          <cell r="A4462">
            <v>507010000</v>
          </cell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</row>
        <row r="4463">
          <cell r="A4463">
            <v>507010100</v>
          </cell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</row>
        <row r="4464">
          <cell r="A4464">
            <v>507010101</v>
          </cell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</row>
        <row r="4465">
          <cell r="A4465">
            <v>507020000</v>
          </cell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R4465">
            <v>0</v>
          </cell>
          <cell r="S4465">
            <v>0</v>
          </cell>
          <cell r="T4465">
            <v>47800000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</row>
        <row r="4466">
          <cell r="A4466">
            <v>507020100</v>
          </cell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47800000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</row>
        <row r="4467">
          <cell r="A4467">
            <v>507020101</v>
          </cell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R4467">
            <v>0</v>
          </cell>
          <cell r="S4467">
            <v>0</v>
          </cell>
          <cell r="T4467">
            <v>47800000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</row>
        <row r="4468">
          <cell r="A4468">
            <v>507020200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</row>
        <row r="4469">
          <cell r="A4469">
            <v>507020201</v>
          </cell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</row>
        <row r="4470">
          <cell r="A4470">
            <v>508000000</v>
          </cell>
          <cell r="C4470">
            <v>443360294</v>
          </cell>
          <cell r="D4470">
            <v>278969339</v>
          </cell>
          <cell r="E4470">
            <v>76491351</v>
          </cell>
          <cell r="F4470">
            <v>120881097</v>
          </cell>
          <cell r="G4470">
            <v>21044489</v>
          </cell>
          <cell r="H4470">
            <v>485159924</v>
          </cell>
          <cell r="I4470">
            <v>157272810</v>
          </cell>
          <cell r="J4470">
            <v>28330193</v>
          </cell>
          <cell r="K4470">
            <v>22333508</v>
          </cell>
          <cell r="L4470">
            <v>28204728</v>
          </cell>
          <cell r="M4470">
            <v>21782485</v>
          </cell>
          <cell r="N4470">
            <v>217338985</v>
          </cell>
          <cell r="O4470">
            <v>414586631</v>
          </cell>
          <cell r="P4470">
            <v>81364947</v>
          </cell>
          <cell r="Q4470">
            <v>160628577</v>
          </cell>
          <cell r="R4470">
            <v>215156084</v>
          </cell>
          <cell r="S4470">
            <v>9247508</v>
          </cell>
          <cell r="T4470">
            <v>510699168</v>
          </cell>
          <cell r="U4470">
            <v>0</v>
          </cell>
          <cell r="V4470">
            <v>874582120</v>
          </cell>
          <cell r="W4470">
            <v>40477514</v>
          </cell>
          <cell r="X4470">
            <v>157216279</v>
          </cell>
          <cell r="Y4470">
            <v>34222242</v>
          </cell>
          <cell r="Z4470">
            <v>80272893</v>
          </cell>
          <cell r="AA4470">
            <v>15787514</v>
          </cell>
          <cell r="AB4470">
            <v>268140235</v>
          </cell>
          <cell r="AC4470">
            <v>58475537</v>
          </cell>
          <cell r="AD4470">
            <v>227903645</v>
          </cell>
          <cell r="AE4470">
            <v>329837811</v>
          </cell>
          <cell r="AF4470">
            <v>42814333</v>
          </cell>
          <cell r="AG4470">
            <v>74006745</v>
          </cell>
          <cell r="AH4470">
            <v>62846933</v>
          </cell>
          <cell r="AI4470">
            <v>0</v>
          </cell>
        </row>
        <row r="4471">
          <cell r="A4471">
            <v>508010000</v>
          </cell>
          <cell r="C4471">
            <v>443360294</v>
          </cell>
          <cell r="D4471">
            <v>246074865</v>
          </cell>
          <cell r="E4471">
            <v>76491351</v>
          </cell>
          <cell r="F4471">
            <v>100927029</v>
          </cell>
          <cell r="G4471">
            <v>20910211</v>
          </cell>
          <cell r="H4471">
            <v>485159924</v>
          </cell>
          <cell r="I4471">
            <v>157272810</v>
          </cell>
          <cell r="J4471">
            <v>28330193</v>
          </cell>
          <cell r="K4471">
            <v>22333508</v>
          </cell>
          <cell r="L4471">
            <v>28204728</v>
          </cell>
          <cell r="M4471">
            <v>21782485</v>
          </cell>
          <cell r="N4471">
            <v>217338985</v>
          </cell>
          <cell r="O4471">
            <v>319083431</v>
          </cell>
          <cell r="P4471">
            <v>81364947</v>
          </cell>
          <cell r="Q4471">
            <v>160628577</v>
          </cell>
          <cell r="R4471">
            <v>215004720</v>
          </cell>
          <cell r="S4471">
            <v>9247508</v>
          </cell>
          <cell r="T4471">
            <v>507180077</v>
          </cell>
          <cell r="U4471">
            <v>0</v>
          </cell>
          <cell r="V4471">
            <v>870008728</v>
          </cell>
          <cell r="W4471">
            <v>38207514</v>
          </cell>
          <cell r="X4471">
            <v>157216279</v>
          </cell>
          <cell r="Y4471">
            <v>30276787</v>
          </cell>
          <cell r="Z4471">
            <v>80272893</v>
          </cell>
          <cell r="AA4471">
            <v>15787514</v>
          </cell>
          <cell r="AB4471">
            <v>225070719</v>
          </cell>
          <cell r="AC4471">
            <v>57500537</v>
          </cell>
          <cell r="AD4471">
            <v>148300246</v>
          </cell>
          <cell r="AE4471">
            <v>329837811</v>
          </cell>
          <cell r="AF4471">
            <v>35557341</v>
          </cell>
          <cell r="AG4471">
            <v>74006745</v>
          </cell>
          <cell r="AH4471">
            <v>22026000</v>
          </cell>
          <cell r="AI4471">
            <v>0</v>
          </cell>
        </row>
        <row r="4472">
          <cell r="A4472">
            <v>508010100</v>
          </cell>
          <cell r="C4472">
            <v>333847182</v>
          </cell>
          <cell r="D4472">
            <v>61250416</v>
          </cell>
          <cell r="E4472">
            <v>21717623</v>
          </cell>
          <cell r="F4472">
            <v>29926500</v>
          </cell>
          <cell r="G4472">
            <v>6675831</v>
          </cell>
          <cell r="H4472">
            <v>213368641</v>
          </cell>
          <cell r="I4472">
            <v>56344098</v>
          </cell>
          <cell r="J4472">
            <v>0</v>
          </cell>
          <cell r="K4472">
            <v>1165000</v>
          </cell>
          <cell r="L4472">
            <v>7960000</v>
          </cell>
          <cell r="M4472">
            <v>0</v>
          </cell>
          <cell r="N4472">
            <v>58473181</v>
          </cell>
          <cell r="O4472">
            <v>174582285</v>
          </cell>
          <cell r="P4472">
            <v>1852200</v>
          </cell>
          <cell r="Q4472">
            <v>38629000</v>
          </cell>
          <cell r="R4472">
            <v>2360000</v>
          </cell>
          <cell r="S4472">
            <v>0</v>
          </cell>
          <cell r="T4472">
            <v>36946642</v>
          </cell>
          <cell r="U4472">
            <v>0</v>
          </cell>
          <cell r="V4472">
            <v>117432547</v>
          </cell>
          <cell r="W4472">
            <v>2060000</v>
          </cell>
          <cell r="X4472">
            <v>12912000</v>
          </cell>
          <cell r="Y4472">
            <v>0</v>
          </cell>
          <cell r="Z4472">
            <v>4380700</v>
          </cell>
          <cell r="AA4472">
            <v>1300000</v>
          </cell>
          <cell r="AB4472">
            <v>83356226</v>
          </cell>
          <cell r="AC4472">
            <v>41324801</v>
          </cell>
          <cell r="AD4472">
            <v>1544013</v>
          </cell>
          <cell r="AE4472">
            <v>370000</v>
          </cell>
          <cell r="AF4472">
            <v>3929800</v>
          </cell>
          <cell r="AG4472">
            <v>900000</v>
          </cell>
          <cell r="AH4472">
            <v>6340000</v>
          </cell>
          <cell r="AI4472">
            <v>0</v>
          </cell>
        </row>
        <row r="4473">
          <cell r="A4473">
            <v>508010101</v>
          </cell>
          <cell r="C4473">
            <v>333847182</v>
          </cell>
          <cell r="D4473">
            <v>61250416</v>
          </cell>
          <cell r="E4473">
            <v>21717623</v>
          </cell>
          <cell r="F4473">
            <v>29926500</v>
          </cell>
          <cell r="G4473">
            <v>6675831</v>
          </cell>
          <cell r="H4473">
            <v>213368641</v>
          </cell>
          <cell r="I4473">
            <v>56344098</v>
          </cell>
          <cell r="J4473">
            <v>0</v>
          </cell>
          <cell r="K4473">
            <v>995000</v>
          </cell>
          <cell r="L4473">
            <v>7960000</v>
          </cell>
          <cell r="M4473">
            <v>0</v>
          </cell>
          <cell r="N4473">
            <v>58473181</v>
          </cell>
          <cell r="O4473">
            <v>174582285</v>
          </cell>
          <cell r="P4473">
            <v>0</v>
          </cell>
          <cell r="Q4473">
            <v>38629000</v>
          </cell>
          <cell r="R4473">
            <v>1145000</v>
          </cell>
          <cell r="S4473">
            <v>0</v>
          </cell>
          <cell r="T4473">
            <v>30662056</v>
          </cell>
          <cell r="U4473">
            <v>0</v>
          </cell>
          <cell r="V4473">
            <v>43923832</v>
          </cell>
          <cell r="W4473">
            <v>1880000</v>
          </cell>
          <cell r="X4473">
            <v>12912000</v>
          </cell>
          <cell r="Y4473">
            <v>0</v>
          </cell>
          <cell r="Z4473">
            <v>4180700</v>
          </cell>
          <cell r="AA4473">
            <v>1300000</v>
          </cell>
          <cell r="AB4473">
            <v>83196226</v>
          </cell>
          <cell r="AC4473">
            <v>41324801</v>
          </cell>
          <cell r="AD4473">
            <v>200000</v>
          </cell>
          <cell r="AE4473">
            <v>370000</v>
          </cell>
          <cell r="AF4473">
            <v>3929800</v>
          </cell>
          <cell r="AG4473">
            <v>900000</v>
          </cell>
          <cell r="AH4473">
            <v>6340000</v>
          </cell>
          <cell r="AI4473">
            <v>0</v>
          </cell>
        </row>
        <row r="4474">
          <cell r="A4474">
            <v>508010102</v>
          </cell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170000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R4474">
            <v>0</v>
          </cell>
          <cell r="S4474">
            <v>0</v>
          </cell>
          <cell r="T4474">
            <v>6284586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200000</v>
          </cell>
          <cell r="AA4474">
            <v>0</v>
          </cell>
          <cell r="AB4474">
            <v>0</v>
          </cell>
          <cell r="AC4474">
            <v>0</v>
          </cell>
          <cell r="AD4474">
            <v>1344013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</row>
        <row r="4475">
          <cell r="A4475">
            <v>508010103</v>
          </cell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1852200</v>
          </cell>
          <cell r="Q4475">
            <v>0</v>
          </cell>
          <cell r="R4475">
            <v>1215000</v>
          </cell>
          <cell r="S4475">
            <v>0</v>
          </cell>
          <cell r="T4475">
            <v>0</v>
          </cell>
          <cell r="U4475">
            <v>0</v>
          </cell>
          <cell r="V4475">
            <v>73508715</v>
          </cell>
          <cell r="W4475">
            <v>180000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160000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</row>
        <row r="4476">
          <cell r="A4476">
            <v>508010200</v>
          </cell>
          <cell r="C4476">
            <v>780000</v>
          </cell>
          <cell r="D4476">
            <v>46938400</v>
          </cell>
          <cell r="E4476">
            <v>8375895</v>
          </cell>
          <cell r="F4476">
            <v>22506001</v>
          </cell>
          <cell r="G4476">
            <v>0</v>
          </cell>
          <cell r="H4476">
            <v>47783697</v>
          </cell>
          <cell r="I4476">
            <v>240000</v>
          </cell>
          <cell r="J4476">
            <v>340200</v>
          </cell>
          <cell r="K4476">
            <v>0</v>
          </cell>
          <cell r="L4476">
            <v>0</v>
          </cell>
          <cell r="M4476">
            <v>0</v>
          </cell>
          <cell r="N4476">
            <v>21872700</v>
          </cell>
          <cell r="O4476">
            <v>52854000</v>
          </cell>
          <cell r="P4476">
            <v>1800000</v>
          </cell>
          <cell r="Q4476">
            <v>108583801</v>
          </cell>
          <cell r="R4476">
            <v>2395000</v>
          </cell>
          <cell r="S4476">
            <v>0</v>
          </cell>
          <cell r="T4476">
            <v>25598695</v>
          </cell>
          <cell r="U4476">
            <v>0</v>
          </cell>
          <cell r="V4476">
            <v>158934400</v>
          </cell>
          <cell r="W4476">
            <v>0</v>
          </cell>
          <cell r="X4476">
            <v>59883435</v>
          </cell>
          <cell r="Y4476">
            <v>0</v>
          </cell>
          <cell r="Z4476">
            <v>0</v>
          </cell>
          <cell r="AA4476">
            <v>1340000</v>
          </cell>
          <cell r="AB4476">
            <v>29394923</v>
          </cell>
          <cell r="AC4476">
            <v>0</v>
          </cell>
          <cell r="AD4476">
            <v>38638200</v>
          </cell>
          <cell r="AE4476">
            <v>0</v>
          </cell>
          <cell r="AF4476">
            <v>0</v>
          </cell>
          <cell r="AG4476">
            <v>22467087</v>
          </cell>
          <cell r="AH4476">
            <v>1450000</v>
          </cell>
          <cell r="AI4476">
            <v>0</v>
          </cell>
        </row>
        <row r="4477">
          <cell r="A4477">
            <v>508010201</v>
          </cell>
          <cell r="C4477">
            <v>780000</v>
          </cell>
          <cell r="D4477">
            <v>46777400</v>
          </cell>
          <cell r="E4477">
            <v>8375895</v>
          </cell>
          <cell r="F4477">
            <v>21806000</v>
          </cell>
          <cell r="G4477">
            <v>0</v>
          </cell>
          <cell r="H4477">
            <v>47783697</v>
          </cell>
          <cell r="I4477">
            <v>240000</v>
          </cell>
          <cell r="J4477">
            <v>340200</v>
          </cell>
          <cell r="K4477">
            <v>0</v>
          </cell>
          <cell r="L4477">
            <v>0</v>
          </cell>
          <cell r="M4477">
            <v>0</v>
          </cell>
          <cell r="N4477">
            <v>21872700</v>
          </cell>
          <cell r="O4477">
            <v>52854000</v>
          </cell>
          <cell r="P4477">
            <v>1800000</v>
          </cell>
          <cell r="Q4477">
            <v>108583801</v>
          </cell>
          <cell r="R4477">
            <v>2395000</v>
          </cell>
          <cell r="S4477">
            <v>0</v>
          </cell>
          <cell r="T4477">
            <v>2830000</v>
          </cell>
          <cell r="U4477">
            <v>0</v>
          </cell>
          <cell r="V4477">
            <v>51264700</v>
          </cell>
          <cell r="W4477">
            <v>0</v>
          </cell>
          <cell r="X4477">
            <v>59814435</v>
          </cell>
          <cell r="Y4477">
            <v>0</v>
          </cell>
          <cell r="Z4477">
            <v>0</v>
          </cell>
          <cell r="AA4477">
            <v>1340000</v>
          </cell>
          <cell r="AB4477">
            <v>12130000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22467087</v>
          </cell>
          <cell r="AH4477">
            <v>1450000</v>
          </cell>
          <cell r="AI4477">
            <v>0</v>
          </cell>
        </row>
        <row r="4478">
          <cell r="A4478">
            <v>508010202</v>
          </cell>
          <cell r="C4478">
            <v>0</v>
          </cell>
          <cell r="D4478">
            <v>161000</v>
          </cell>
          <cell r="E4478">
            <v>0</v>
          </cell>
          <cell r="F4478">
            <v>700001</v>
          </cell>
          <cell r="G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R4478">
            <v>0</v>
          </cell>
          <cell r="S4478">
            <v>0</v>
          </cell>
          <cell r="T4478">
            <v>22768695</v>
          </cell>
          <cell r="U4478">
            <v>0</v>
          </cell>
          <cell r="V4478">
            <v>235000</v>
          </cell>
          <cell r="W4478">
            <v>0</v>
          </cell>
          <cell r="X4478">
            <v>69000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38638200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</row>
        <row r="4479">
          <cell r="A4479">
            <v>508010203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107434700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17264923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</row>
        <row r="4480">
          <cell r="A4480">
            <v>508010300</v>
          </cell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1256500</v>
          </cell>
          <cell r="M4480">
            <v>409091</v>
          </cell>
          <cell r="N4480">
            <v>0</v>
          </cell>
          <cell r="O4480">
            <v>2763000</v>
          </cell>
          <cell r="P4480">
            <v>0</v>
          </cell>
          <cell r="Q4480">
            <v>0</v>
          </cell>
          <cell r="R4480">
            <v>2340000</v>
          </cell>
          <cell r="S4480">
            <v>0</v>
          </cell>
          <cell r="T4480">
            <v>7084000</v>
          </cell>
          <cell r="U4480">
            <v>0</v>
          </cell>
          <cell r="V4480">
            <v>6351500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</row>
        <row r="4481">
          <cell r="A4481">
            <v>508010301</v>
          </cell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1256500</v>
          </cell>
          <cell r="M4481">
            <v>0</v>
          </cell>
          <cell r="N4481">
            <v>0</v>
          </cell>
          <cell r="O4481">
            <v>2763000</v>
          </cell>
          <cell r="P4481">
            <v>0</v>
          </cell>
          <cell r="Q4481">
            <v>0</v>
          </cell>
          <cell r="R4481">
            <v>2340000</v>
          </cell>
          <cell r="S4481">
            <v>0</v>
          </cell>
          <cell r="T4481">
            <v>7084000</v>
          </cell>
          <cell r="U4481">
            <v>0</v>
          </cell>
          <cell r="V4481">
            <v>1656300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</row>
        <row r="4482">
          <cell r="A4482">
            <v>508010302</v>
          </cell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409091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</row>
        <row r="4483">
          <cell r="A4483">
            <v>508010303</v>
          </cell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4695200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</row>
        <row r="4484">
          <cell r="A4484">
            <v>508010400</v>
          </cell>
          <cell r="C4484">
            <v>27845316</v>
          </cell>
          <cell r="D4484">
            <v>58556849</v>
          </cell>
          <cell r="E4484">
            <v>14072000</v>
          </cell>
          <cell r="F4484">
            <v>31044520</v>
          </cell>
          <cell r="G4484">
            <v>5017882</v>
          </cell>
          <cell r="H4484">
            <v>188783621</v>
          </cell>
          <cell r="I4484">
            <v>83189808</v>
          </cell>
          <cell r="J4484">
            <v>18175285</v>
          </cell>
          <cell r="K4484">
            <v>11921000</v>
          </cell>
          <cell r="L4484">
            <v>9740720</v>
          </cell>
          <cell r="M4484">
            <v>7916586</v>
          </cell>
          <cell r="N4484">
            <v>18621250</v>
          </cell>
          <cell r="O4484">
            <v>27369990</v>
          </cell>
          <cell r="P4484">
            <v>55694674</v>
          </cell>
          <cell r="Q4484">
            <v>0</v>
          </cell>
          <cell r="R4484">
            <v>78477728</v>
          </cell>
          <cell r="S4484">
            <v>0</v>
          </cell>
          <cell r="T4484">
            <v>360250927</v>
          </cell>
          <cell r="U4484">
            <v>0</v>
          </cell>
          <cell r="V4484">
            <v>400337517</v>
          </cell>
          <cell r="W4484">
            <v>4100000</v>
          </cell>
          <cell r="X4484">
            <v>31952000</v>
          </cell>
          <cell r="Y4484">
            <v>21591011</v>
          </cell>
          <cell r="Z4484">
            <v>43334400</v>
          </cell>
          <cell r="AA4484">
            <v>3410000</v>
          </cell>
          <cell r="AB4484">
            <v>87460304</v>
          </cell>
          <cell r="AC4484">
            <v>4938828</v>
          </cell>
          <cell r="AD4484">
            <v>78522906</v>
          </cell>
          <cell r="AE4484">
            <v>304142811</v>
          </cell>
          <cell r="AF4484">
            <v>3844400</v>
          </cell>
          <cell r="AG4484">
            <v>33293059</v>
          </cell>
          <cell r="AH4484">
            <v>2676000</v>
          </cell>
          <cell r="AI4484">
            <v>0</v>
          </cell>
        </row>
        <row r="4485">
          <cell r="A4485">
            <v>508010401</v>
          </cell>
          <cell r="C4485">
            <v>21345316</v>
          </cell>
          <cell r="D4485">
            <v>58162249</v>
          </cell>
          <cell r="E4485">
            <v>14072000</v>
          </cell>
          <cell r="F4485">
            <v>8737114</v>
          </cell>
          <cell r="G4485">
            <v>5017882</v>
          </cell>
          <cell r="H4485">
            <v>188783621</v>
          </cell>
          <cell r="I4485">
            <v>83189808</v>
          </cell>
          <cell r="J4485">
            <v>18175285</v>
          </cell>
          <cell r="K4485">
            <v>11681000</v>
          </cell>
          <cell r="L4485">
            <v>9740720</v>
          </cell>
          <cell r="M4485">
            <v>4500000</v>
          </cell>
          <cell r="N4485">
            <v>18621250</v>
          </cell>
          <cell r="O4485">
            <v>27369990</v>
          </cell>
          <cell r="P4485">
            <v>5839744</v>
          </cell>
          <cell r="Q4485">
            <v>0</v>
          </cell>
          <cell r="R4485">
            <v>78477728</v>
          </cell>
          <cell r="S4485">
            <v>0</v>
          </cell>
          <cell r="T4485">
            <v>147618522</v>
          </cell>
          <cell r="U4485">
            <v>0</v>
          </cell>
          <cell r="V4485">
            <v>245324150</v>
          </cell>
          <cell r="W4485">
            <v>3500000</v>
          </cell>
          <cell r="X4485">
            <v>31952000</v>
          </cell>
          <cell r="Y4485">
            <v>17991011</v>
          </cell>
          <cell r="Z4485">
            <v>1034400</v>
          </cell>
          <cell r="AA4485">
            <v>3410000</v>
          </cell>
          <cell r="AB4485">
            <v>52109258</v>
          </cell>
          <cell r="AC4485">
            <v>4938828</v>
          </cell>
          <cell r="AD4485">
            <v>57265392</v>
          </cell>
          <cell r="AE4485">
            <v>304142811</v>
          </cell>
          <cell r="AF4485">
            <v>3248600</v>
          </cell>
          <cell r="AG4485">
            <v>33293059</v>
          </cell>
          <cell r="AH4485">
            <v>2676000</v>
          </cell>
          <cell r="AI4485">
            <v>0</v>
          </cell>
        </row>
        <row r="4486">
          <cell r="A4486">
            <v>508010402</v>
          </cell>
          <cell r="C4486">
            <v>0</v>
          </cell>
          <cell r="D4486">
            <v>0</v>
          </cell>
          <cell r="E4486">
            <v>0</v>
          </cell>
          <cell r="F4486">
            <v>1491687</v>
          </cell>
          <cell r="G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3416586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212632405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42300000</v>
          </cell>
          <cell r="AA4486">
            <v>0</v>
          </cell>
          <cell r="AB4486">
            <v>1500000</v>
          </cell>
          <cell r="AC4486">
            <v>0</v>
          </cell>
          <cell r="AD4486">
            <v>15142174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</row>
        <row r="4487">
          <cell r="A4487">
            <v>508010403</v>
          </cell>
          <cell r="C4487">
            <v>6500000</v>
          </cell>
          <cell r="D4487">
            <v>394600</v>
          </cell>
          <cell r="E4487">
            <v>0</v>
          </cell>
          <cell r="F4487">
            <v>20815719</v>
          </cell>
          <cell r="G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240000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49854930</v>
          </cell>
          <cell r="Q4487">
            <v>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155013367</v>
          </cell>
          <cell r="W4487">
            <v>600000</v>
          </cell>
          <cell r="X4487">
            <v>0</v>
          </cell>
          <cell r="Y4487">
            <v>3600000</v>
          </cell>
          <cell r="Z4487">
            <v>0</v>
          </cell>
          <cell r="AA4487">
            <v>0</v>
          </cell>
          <cell r="AB4487">
            <v>33851046</v>
          </cell>
          <cell r="AC4487">
            <v>0</v>
          </cell>
          <cell r="AD4487">
            <v>6115340</v>
          </cell>
          <cell r="AE4487">
            <v>0</v>
          </cell>
          <cell r="AF4487">
            <v>595800</v>
          </cell>
          <cell r="AG4487">
            <v>0</v>
          </cell>
          <cell r="AH4487">
            <v>0</v>
          </cell>
          <cell r="AI4487">
            <v>0</v>
          </cell>
        </row>
        <row r="4488">
          <cell r="A4488">
            <v>508010500</v>
          </cell>
          <cell r="C4488">
            <v>561732</v>
          </cell>
          <cell r="D4488">
            <v>0</v>
          </cell>
          <cell r="E4488">
            <v>0</v>
          </cell>
          <cell r="F4488">
            <v>561732</v>
          </cell>
          <cell r="G4488">
            <v>0</v>
          </cell>
          <cell r="H4488">
            <v>0</v>
          </cell>
          <cell r="I4488">
            <v>0</v>
          </cell>
          <cell r="J4488">
            <v>561732</v>
          </cell>
          <cell r="K4488">
            <v>561732</v>
          </cell>
          <cell r="L4488">
            <v>561732</v>
          </cell>
          <cell r="M4488">
            <v>561732</v>
          </cell>
          <cell r="N4488">
            <v>0</v>
          </cell>
          <cell r="O4488">
            <v>0</v>
          </cell>
          <cell r="P4488">
            <v>561732</v>
          </cell>
          <cell r="Q4488">
            <v>0</v>
          </cell>
          <cell r="R4488">
            <v>561784</v>
          </cell>
          <cell r="S4488">
            <v>561732</v>
          </cell>
          <cell r="T4488">
            <v>0</v>
          </cell>
          <cell r="U4488">
            <v>0</v>
          </cell>
          <cell r="V4488">
            <v>0</v>
          </cell>
          <cell r="W4488">
            <v>561738</v>
          </cell>
          <cell r="X4488">
            <v>561732</v>
          </cell>
          <cell r="Y4488">
            <v>0</v>
          </cell>
          <cell r="Z4488">
            <v>561732</v>
          </cell>
          <cell r="AA4488">
            <v>561738</v>
          </cell>
          <cell r="AB4488">
            <v>561738</v>
          </cell>
          <cell r="AC4488">
            <v>561732</v>
          </cell>
          <cell r="AD4488">
            <v>0</v>
          </cell>
          <cell r="AE4488">
            <v>0</v>
          </cell>
          <cell r="AF4488">
            <v>0</v>
          </cell>
          <cell r="AG4488">
            <v>561732</v>
          </cell>
          <cell r="AH4488">
            <v>0</v>
          </cell>
          <cell r="AI4488">
            <v>0</v>
          </cell>
        </row>
        <row r="4489">
          <cell r="A4489">
            <v>508010501</v>
          </cell>
          <cell r="C4489">
            <v>402018</v>
          </cell>
          <cell r="D4489">
            <v>0</v>
          </cell>
          <cell r="E4489">
            <v>0</v>
          </cell>
          <cell r="F4489">
            <v>402018</v>
          </cell>
          <cell r="G4489">
            <v>0</v>
          </cell>
          <cell r="H4489">
            <v>0</v>
          </cell>
          <cell r="I4489">
            <v>0</v>
          </cell>
          <cell r="J4489">
            <v>402018</v>
          </cell>
          <cell r="K4489">
            <v>402018</v>
          </cell>
          <cell r="L4489">
            <v>402018</v>
          </cell>
          <cell r="M4489">
            <v>402018</v>
          </cell>
          <cell r="N4489">
            <v>0</v>
          </cell>
          <cell r="O4489">
            <v>0</v>
          </cell>
          <cell r="P4489">
            <v>402018</v>
          </cell>
          <cell r="Q4489">
            <v>0</v>
          </cell>
          <cell r="R4489">
            <v>402058</v>
          </cell>
          <cell r="S4489">
            <v>402018</v>
          </cell>
          <cell r="T4489">
            <v>0</v>
          </cell>
          <cell r="U4489">
            <v>0</v>
          </cell>
          <cell r="V4489">
            <v>0</v>
          </cell>
          <cell r="W4489">
            <v>402024</v>
          </cell>
          <cell r="X4489">
            <v>402018</v>
          </cell>
          <cell r="Y4489">
            <v>0</v>
          </cell>
          <cell r="Z4489">
            <v>402018</v>
          </cell>
          <cell r="AA4489">
            <v>402024</v>
          </cell>
          <cell r="AB4489">
            <v>402024</v>
          </cell>
          <cell r="AC4489">
            <v>402018</v>
          </cell>
          <cell r="AD4489">
            <v>0</v>
          </cell>
          <cell r="AE4489">
            <v>0</v>
          </cell>
          <cell r="AF4489">
            <v>0</v>
          </cell>
          <cell r="AG4489">
            <v>402018</v>
          </cell>
          <cell r="AH4489">
            <v>0</v>
          </cell>
          <cell r="AI4489">
            <v>0</v>
          </cell>
        </row>
        <row r="4490">
          <cell r="A4490">
            <v>508010502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R4490">
            <v>0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</row>
        <row r="4491">
          <cell r="A4491">
            <v>508010503</v>
          </cell>
          <cell r="C4491">
            <v>159714</v>
          </cell>
          <cell r="D4491">
            <v>0</v>
          </cell>
          <cell r="E4491">
            <v>0</v>
          </cell>
          <cell r="F4491">
            <v>159714</v>
          </cell>
          <cell r="G4491">
            <v>0</v>
          </cell>
          <cell r="H4491">
            <v>0</v>
          </cell>
          <cell r="I4491">
            <v>0</v>
          </cell>
          <cell r="J4491">
            <v>159714</v>
          </cell>
          <cell r="K4491">
            <v>159714</v>
          </cell>
          <cell r="L4491">
            <v>159714</v>
          </cell>
          <cell r="M4491">
            <v>159714</v>
          </cell>
          <cell r="N4491">
            <v>0</v>
          </cell>
          <cell r="O4491">
            <v>0</v>
          </cell>
          <cell r="P4491">
            <v>159714</v>
          </cell>
          <cell r="Q4491">
            <v>0</v>
          </cell>
          <cell r="R4491">
            <v>159726</v>
          </cell>
          <cell r="S4491">
            <v>159714</v>
          </cell>
          <cell r="T4491">
            <v>0</v>
          </cell>
          <cell r="U4491">
            <v>0</v>
          </cell>
          <cell r="V4491">
            <v>0</v>
          </cell>
          <cell r="W4491">
            <v>159714</v>
          </cell>
          <cell r="X4491">
            <v>159714</v>
          </cell>
          <cell r="Y4491">
            <v>0</v>
          </cell>
          <cell r="Z4491">
            <v>159714</v>
          </cell>
          <cell r="AA4491">
            <v>159714</v>
          </cell>
          <cell r="AB4491">
            <v>159714</v>
          </cell>
          <cell r="AC4491">
            <v>159714</v>
          </cell>
          <cell r="AD4491">
            <v>0</v>
          </cell>
          <cell r="AE4491">
            <v>0</v>
          </cell>
          <cell r="AF4491">
            <v>0</v>
          </cell>
          <cell r="AG4491">
            <v>159714</v>
          </cell>
          <cell r="AH4491">
            <v>0</v>
          </cell>
          <cell r="AI4491">
            <v>0</v>
          </cell>
        </row>
        <row r="4492">
          <cell r="A4492">
            <v>508010600</v>
          </cell>
          <cell r="C4492">
            <v>55189700</v>
          </cell>
          <cell r="D4492">
            <v>21161469</v>
          </cell>
          <cell r="E4492">
            <v>3378750</v>
          </cell>
          <cell r="F4492">
            <v>6947500</v>
          </cell>
          <cell r="G4492">
            <v>460000</v>
          </cell>
          <cell r="H4492">
            <v>6852900</v>
          </cell>
          <cell r="I4492">
            <v>3490500</v>
          </cell>
          <cell r="J4492">
            <v>567200</v>
          </cell>
          <cell r="K4492">
            <v>0</v>
          </cell>
          <cell r="L4492">
            <v>0</v>
          </cell>
          <cell r="M4492">
            <v>4209300</v>
          </cell>
          <cell r="N4492">
            <v>26051486</v>
          </cell>
          <cell r="O4492">
            <v>15286017</v>
          </cell>
          <cell r="P4492">
            <v>12770354</v>
          </cell>
          <cell r="Q4492">
            <v>2325000</v>
          </cell>
          <cell r="R4492">
            <v>16006250</v>
          </cell>
          <cell r="S4492">
            <v>0</v>
          </cell>
          <cell r="T4492">
            <v>11482000</v>
          </cell>
          <cell r="U4492">
            <v>0</v>
          </cell>
          <cell r="V4492">
            <v>38428170</v>
          </cell>
          <cell r="W4492">
            <v>22215000</v>
          </cell>
          <cell r="X4492">
            <v>22587336</v>
          </cell>
          <cell r="Y4492">
            <v>0</v>
          </cell>
          <cell r="Z4492">
            <v>22660285</v>
          </cell>
          <cell r="AA4492">
            <v>490000</v>
          </cell>
          <cell r="AB4492">
            <v>4647440</v>
          </cell>
          <cell r="AC4492">
            <v>939400</v>
          </cell>
          <cell r="AD4492">
            <v>14908350</v>
          </cell>
          <cell r="AE4492">
            <v>500000</v>
          </cell>
          <cell r="AF4492">
            <v>452600</v>
          </cell>
          <cell r="AG4492">
            <v>5499091</v>
          </cell>
          <cell r="AH4492">
            <v>6610000</v>
          </cell>
          <cell r="AI4492">
            <v>0</v>
          </cell>
        </row>
        <row r="4493">
          <cell r="A4493">
            <v>508010601</v>
          </cell>
          <cell r="C4493">
            <v>54349700</v>
          </cell>
          <cell r="D4493">
            <v>21161469</v>
          </cell>
          <cell r="E4493">
            <v>3378750</v>
          </cell>
          <cell r="F4493">
            <v>6947500</v>
          </cell>
          <cell r="G4493">
            <v>460000</v>
          </cell>
          <cell r="H4493">
            <v>6852900</v>
          </cell>
          <cell r="I4493">
            <v>3490500</v>
          </cell>
          <cell r="J4493">
            <v>567200</v>
          </cell>
          <cell r="K4493">
            <v>0</v>
          </cell>
          <cell r="L4493">
            <v>0</v>
          </cell>
          <cell r="M4493">
            <v>0</v>
          </cell>
          <cell r="N4493">
            <v>26051486</v>
          </cell>
          <cell r="O4493">
            <v>15286017</v>
          </cell>
          <cell r="P4493">
            <v>0</v>
          </cell>
          <cell r="Q4493">
            <v>2325000</v>
          </cell>
          <cell r="R4493">
            <v>15636250</v>
          </cell>
          <cell r="S4493">
            <v>0</v>
          </cell>
          <cell r="T4493">
            <v>11482000</v>
          </cell>
          <cell r="U4493">
            <v>0</v>
          </cell>
          <cell r="V4493">
            <v>17971250</v>
          </cell>
          <cell r="W4493">
            <v>14190000</v>
          </cell>
          <cell r="X4493">
            <v>22587336</v>
          </cell>
          <cell r="Y4493">
            <v>0</v>
          </cell>
          <cell r="Z4493">
            <v>22660285</v>
          </cell>
          <cell r="AA4493">
            <v>490000</v>
          </cell>
          <cell r="AB4493">
            <v>4357440</v>
          </cell>
          <cell r="AC4493">
            <v>939400</v>
          </cell>
          <cell r="AD4493">
            <v>7500000</v>
          </cell>
          <cell r="AE4493">
            <v>500000</v>
          </cell>
          <cell r="AF4493">
            <v>452600</v>
          </cell>
          <cell r="AG4493">
            <v>5499091</v>
          </cell>
          <cell r="AH4493">
            <v>6610000</v>
          </cell>
          <cell r="AI4493">
            <v>0</v>
          </cell>
        </row>
        <row r="4494">
          <cell r="A4494">
            <v>508010602</v>
          </cell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1725000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</row>
        <row r="4495">
          <cell r="A4495">
            <v>508010603</v>
          </cell>
          <cell r="C4495">
            <v>840000</v>
          </cell>
          <cell r="D4495">
            <v>0</v>
          </cell>
          <cell r="E4495">
            <v>0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2484300</v>
          </cell>
          <cell r="N4495">
            <v>0</v>
          </cell>
          <cell r="O4495">
            <v>0</v>
          </cell>
          <cell r="P4495">
            <v>12770354</v>
          </cell>
          <cell r="Q4495">
            <v>0</v>
          </cell>
          <cell r="R4495">
            <v>370000</v>
          </cell>
          <cell r="S4495">
            <v>0</v>
          </cell>
          <cell r="T4495">
            <v>0</v>
          </cell>
          <cell r="U4495">
            <v>0</v>
          </cell>
          <cell r="V4495">
            <v>20456920</v>
          </cell>
          <cell r="W4495">
            <v>8025000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290000</v>
          </cell>
          <cell r="AC4495">
            <v>0</v>
          </cell>
          <cell r="AD4495">
            <v>7408350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</row>
        <row r="4496">
          <cell r="A4496">
            <v>508010700</v>
          </cell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1285900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R4496">
            <v>0</v>
          </cell>
          <cell r="S4496">
            <v>0</v>
          </cell>
          <cell r="T4496">
            <v>920000</v>
          </cell>
          <cell r="U4496">
            <v>0</v>
          </cell>
          <cell r="V4496">
            <v>24000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335524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</row>
        <row r="4497">
          <cell r="A4497">
            <v>508010701</v>
          </cell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1285900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24000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335524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</row>
        <row r="4498">
          <cell r="A4498">
            <v>508010702</v>
          </cell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R4498">
            <v>0</v>
          </cell>
          <cell r="S4498">
            <v>0</v>
          </cell>
          <cell r="T4498">
            <v>920000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</row>
        <row r="4499">
          <cell r="A4499">
            <v>508010703</v>
          </cell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</row>
        <row r="4500">
          <cell r="A4500">
            <v>508010800</v>
          </cell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681810</v>
          </cell>
          <cell r="O4500">
            <v>0</v>
          </cell>
          <cell r="P4500">
            <v>0</v>
          </cell>
          <cell r="Q4500">
            <v>0</v>
          </cell>
          <cell r="R4500">
            <v>0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</row>
        <row r="4501">
          <cell r="A4501">
            <v>508010801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681810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</row>
        <row r="4502">
          <cell r="A4502">
            <v>508010802</v>
          </cell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</row>
        <row r="4503">
          <cell r="A4503">
            <v>508010803</v>
          </cell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</row>
        <row r="4504">
          <cell r="A4504">
            <v>508010900</v>
          </cell>
          <cell r="C4504">
            <v>0</v>
          </cell>
          <cell r="D4504">
            <v>5189735</v>
          </cell>
          <cell r="E4504">
            <v>1849868</v>
          </cell>
          <cell r="F4504">
            <v>0</v>
          </cell>
          <cell r="G4504">
            <v>0</v>
          </cell>
          <cell r="H4504">
            <v>2171690</v>
          </cell>
          <cell r="I4504">
            <v>5193847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76786190</v>
          </cell>
          <cell r="O4504">
            <v>6711000</v>
          </cell>
          <cell r="P4504">
            <v>0</v>
          </cell>
          <cell r="Q4504">
            <v>0</v>
          </cell>
          <cell r="R4504">
            <v>21800000</v>
          </cell>
          <cell r="S4504">
            <v>0</v>
          </cell>
          <cell r="T4504">
            <v>22076387</v>
          </cell>
          <cell r="U4504">
            <v>0</v>
          </cell>
          <cell r="V4504">
            <v>98222006</v>
          </cell>
          <cell r="W4504">
            <v>405000</v>
          </cell>
          <cell r="X4504">
            <v>2245000</v>
          </cell>
          <cell r="Y4504">
            <v>0</v>
          </cell>
          <cell r="Z4504">
            <v>0</v>
          </cell>
          <cell r="AA4504">
            <v>0</v>
          </cell>
          <cell r="AB4504">
            <v>7507846</v>
          </cell>
          <cell r="AC4504">
            <v>0</v>
          </cell>
          <cell r="AD4504">
            <v>0</v>
          </cell>
          <cell r="AE4504">
            <v>0</v>
          </cell>
          <cell r="AF4504">
            <v>14494767</v>
          </cell>
          <cell r="AG4504">
            <v>2600000</v>
          </cell>
          <cell r="AH4504">
            <v>3450000</v>
          </cell>
          <cell r="AI4504">
            <v>0</v>
          </cell>
        </row>
        <row r="4505">
          <cell r="A4505">
            <v>508010901</v>
          </cell>
          <cell r="C4505">
            <v>0</v>
          </cell>
          <cell r="D4505">
            <v>5189735</v>
          </cell>
          <cell r="E4505">
            <v>1849868</v>
          </cell>
          <cell r="F4505">
            <v>0</v>
          </cell>
          <cell r="G4505">
            <v>0</v>
          </cell>
          <cell r="H4505">
            <v>2171690</v>
          </cell>
          <cell r="I4505">
            <v>5193847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76786190</v>
          </cell>
          <cell r="O4505">
            <v>6711000</v>
          </cell>
          <cell r="P4505">
            <v>0</v>
          </cell>
          <cell r="Q4505">
            <v>0</v>
          </cell>
          <cell r="R4505">
            <v>21800000</v>
          </cell>
          <cell r="S4505">
            <v>0</v>
          </cell>
          <cell r="T4505">
            <v>0</v>
          </cell>
          <cell r="U4505">
            <v>0</v>
          </cell>
          <cell r="V4505">
            <v>61258823</v>
          </cell>
          <cell r="W4505">
            <v>405000</v>
          </cell>
          <cell r="X4505">
            <v>2245000</v>
          </cell>
          <cell r="Y4505">
            <v>0</v>
          </cell>
          <cell r="Z4505">
            <v>0</v>
          </cell>
          <cell r="AA4505">
            <v>0</v>
          </cell>
          <cell r="AB4505">
            <v>6958846</v>
          </cell>
          <cell r="AC4505">
            <v>0</v>
          </cell>
          <cell r="AD4505">
            <v>0</v>
          </cell>
          <cell r="AE4505">
            <v>0</v>
          </cell>
          <cell r="AF4505">
            <v>14494767</v>
          </cell>
          <cell r="AG4505">
            <v>2600000</v>
          </cell>
          <cell r="AH4505">
            <v>3450000</v>
          </cell>
          <cell r="AI4505">
            <v>0</v>
          </cell>
        </row>
        <row r="4506">
          <cell r="A4506">
            <v>508010902</v>
          </cell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22076387</v>
          </cell>
          <cell r="U4506">
            <v>0</v>
          </cell>
          <cell r="V4506">
            <v>450000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</row>
        <row r="4507">
          <cell r="A4507">
            <v>508010903</v>
          </cell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0</v>
          </cell>
          <cell r="U4507">
            <v>0</v>
          </cell>
          <cell r="V4507">
            <v>36513183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549000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</row>
        <row r="4508">
          <cell r="A4508">
            <v>508011000</v>
          </cell>
          <cell r="C4508">
            <v>0</v>
          </cell>
          <cell r="D4508">
            <v>9035776</v>
          </cell>
          <cell r="E4508">
            <v>13385776</v>
          </cell>
          <cell r="F4508">
            <v>8835776</v>
          </cell>
          <cell r="G4508">
            <v>8756498</v>
          </cell>
          <cell r="H4508">
            <v>3112779</v>
          </cell>
          <cell r="I4508">
            <v>8577357</v>
          </cell>
          <cell r="J4508">
            <v>8685776</v>
          </cell>
          <cell r="K4508">
            <v>8685776</v>
          </cell>
          <cell r="L4508">
            <v>8685776</v>
          </cell>
          <cell r="M4508">
            <v>8685776</v>
          </cell>
          <cell r="N4508">
            <v>6216767</v>
          </cell>
          <cell r="O4508">
            <v>17276139</v>
          </cell>
          <cell r="P4508">
            <v>8685987</v>
          </cell>
          <cell r="Q4508">
            <v>8985776</v>
          </cell>
          <cell r="R4508">
            <v>10200776</v>
          </cell>
          <cell r="S4508">
            <v>8685776</v>
          </cell>
          <cell r="T4508">
            <v>6380376</v>
          </cell>
          <cell r="U4508">
            <v>0</v>
          </cell>
          <cell r="V4508">
            <v>14779356</v>
          </cell>
          <cell r="W4508">
            <v>8685776</v>
          </cell>
          <cell r="X4508">
            <v>10365776</v>
          </cell>
          <cell r="Y4508">
            <v>8685776</v>
          </cell>
          <cell r="Z4508">
            <v>8685776</v>
          </cell>
          <cell r="AA4508">
            <v>8685776</v>
          </cell>
          <cell r="AB4508">
            <v>9993824</v>
          </cell>
          <cell r="AC4508">
            <v>8685776</v>
          </cell>
          <cell r="AD4508">
            <v>8685776</v>
          </cell>
          <cell r="AE4508">
            <v>24825000</v>
          </cell>
          <cell r="AF4508">
            <v>8685776</v>
          </cell>
          <cell r="AG4508">
            <v>8685776</v>
          </cell>
          <cell r="AH4508">
            <v>0</v>
          </cell>
          <cell r="AI4508">
            <v>0</v>
          </cell>
        </row>
        <row r="4509">
          <cell r="A4509">
            <v>508011001</v>
          </cell>
          <cell r="C4509">
            <v>0</v>
          </cell>
          <cell r="D4509">
            <v>6950941</v>
          </cell>
          <cell r="E4509">
            <v>11300941</v>
          </cell>
          <cell r="F4509">
            <v>6750941</v>
          </cell>
          <cell r="G4509">
            <v>6805941</v>
          </cell>
          <cell r="H4509">
            <v>2540700</v>
          </cell>
          <cell r="I4509">
            <v>8577357</v>
          </cell>
          <cell r="J4509">
            <v>6600941</v>
          </cell>
          <cell r="K4509">
            <v>6600941</v>
          </cell>
          <cell r="L4509">
            <v>6600941</v>
          </cell>
          <cell r="M4509">
            <v>6600941</v>
          </cell>
          <cell r="N4509">
            <v>6216767</v>
          </cell>
          <cell r="O4509">
            <v>15191304</v>
          </cell>
          <cell r="P4509">
            <v>6601023</v>
          </cell>
          <cell r="Q4509">
            <v>7238262</v>
          </cell>
          <cell r="R4509">
            <v>8115941</v>
          </cell>
          <cell r="S4509">
            <v>6600941</v>
          </cell>
          <cell r="T4509">
            <v>5735798</v>
          </cell>
          <cell r="U4509">
            <v>0</v>
          </cell>
          <cell r="V4509">
            <v>11412656</v>
          </cell>
          <cell r="W4509">
            <v>6600941</v>
          </cell>
          <cell r="X4509">
            <v>8280941</v>
          </cell>
          <cell r="Y4509">
            <v>6600941</v>
          </cell>
          <cell r="Z4509">
            <v>6600941</v>
          </cell>
          <cell r="AA4509">
            <v>6600941</v>
          </cell>
          <cell r="AB4509">
            <v>7908989</v>
          </cell>
          <cell r="AC4509">
            <v>6600941</v>
          </cell>
          <cell r="AD4509">
            <v>6600941</v>
          </cell>
          <cell r="AE4509">
            <v>24825000</v>
          </cell>
          <cell r="AF4509">
            <v>4754473</v>
          </cell>
          <cell r="AG4509">
            <v>6600941</v>
          </cell>
          <cell r="AH4509">
            <v>0</v>
          </cell>
          <cell r="AI4509">
            <v>0</v>
          </cell>
        </row>
        <row r="4510">
          <cell r="A4510">
            <v>508011002</v>
          </cell>
          <cell r="C4510">
            <v>0</v>
          </cell>
          <cell r="D4510">
            <v>1850077</v>
          </cell>
          <cell r="E4510">
            <v>1850077</v>
          </cell>
          <cell r="F4510">
            <v>1850077</v>
          </cell>
          <cell r="G4510">
            <v>1850077</v>
          </cell>
          <cell r="H4510">
            <v>0</v>
          </cell>
          <cell r="I4510">
            <v>0</v>
          </cell>
          <cell r="J4510">
            <v>1850077</v>
          </cell>
          <cell r="K4510">
            <v>1850077</v>
          </cell>
          <cell r="L4510">
            <v>1850077</v>
          </cell>
          <cell r="M4510">
            <v>1850077</v>
          </cell>
          <cell r="N4510">
            <v>0</v>
          </cell>
          <cell r="O4510">
            <v>1850077</v>
          </cell>
          <cell r="P4510">
            <v>1850164</v>
          </cell>
          <cell r="Q4510">
            <v>1512756</v>
          </cell>
          <cell r="R4510">
            <v>1850077</v>
          </cell>
          <cell r="S4510">
            <v>1850077</v>
          </cell>
          <cell r="T4510">
            <v>428089</v>
          </cell>
          <cell r="U4510">
            <v>0</v>
          </cell>
          <cell r="V4510">
            <v>0</v>
          </cell>
          <cell r="W4510">
            <v>1850077</v>
          </cell>
          <cell r="X4510">
            <v>1850077</v>
          </cell>
          <cell r="Y4510">
            <v>1850077</v>
          </cell>
          <cell r="Z4510">
            <v>1850077</v>
          </cell>
          <cell r="AA4510">
            <v>1850077</v>
          </cell>
          <cell r="AB4510">
            <v>1850077</v>
          </cell>
          <cell r="AC4510">
            <v>1850077</v>
          </cell>
          <cell r="AD4510">
            <v>1850077</v>
          </cell>
          <cell r="AE4510">
            <v>0</v>
          </cell>
          <cell r="AF4510">
            <v>3696545</v>
          </cell>
          <cell r="AG4510">
            <v>1850077</v>
          </cell>
          <cell r="AH4510">
            <v>0</v>
          </cell>
          <cell r="AI4510">
            <v>0</v>
          </cell>
        </row>
        <row r="4511">
          <cell r="A4511">
            <v>508011003</v>
          </cell>
          <cell r="C4511">
            <v>0</v>
          </cell>
          <cell r="D4511">
            <v>234758</v>
          </cell>
          <cell r="E4511">
            <v>234758</v>
          </cell>
          <cell r="F4511">
            <v>234758</v>
          </cell>
          <cell r="G4511">
            <v>100480</v>
          </cell>
          <cell r="H4511">
            <v>572079</v>
          </cell>
          <cell r="I4511">
            <v>0</v>
          </cell>
          <cell r="J4511">
            <v>234758</v>
          </cell>
          <cell r="K4511">
            <v>234758</v>
          </cell>
          <cell r="L4511">
            <v>234758</v>
          </cell>
          <cell r="M4511">
            <v>234758</v>
          </cell>
          <cell r="N4511">
            <v>0</v>
          </cell>
          <cell r="O4511">
            <v>234758</v>
          </cell>
          <cell r="P4511">
            <v>234800</v>
          </cell>
          <cell r="Q4511">
            <v>234758</v>
          </cell>
          <cell r="R4511">
            <v>234758</v>
          </cell>
          <cell r="S4511">
            <v>234758</v>
          </cell>
          <cell r="T4511">
            <v>216489</v>
          </cell>
          <cell r="U4511">
            <v>0</v>
          </cell>
          <cell r="V4511">
            <v>3366700</v>
          </cell>
          <cell r="W4511">
            <v>234758</v>
          </cell>
          <cell r="X4511">
            <v>234758</v>
          </cell>
          <cell r="Y4511">
            <v>234758</v>
          </cell>
          <cell r="Z4511">
            <v>234758</v>
          </cell>
          <cell r="AA4511">
            <v>234758</v>
          </cell>
          <cell r="AB4511">
            <v>234758</v>
          </cell>
          <cell r="AC4511">
            <v>234758</v>
          </cell>
          <cell r="AD4511">
            <v>234758</v>
          </cell>
          <cell r="AE4511">
            <v>0</v>
          </cell>
          <cell r="AF4511">
            <v>234758</v>
          </cell>
          <cell r="AG4511">
            <v>234758</v>
          </cell>
          <cell r="AH4511">
            <v>0</v>
          </cell>
          <cell r="AI4511">
            <v>0</v>
          </cell>
        </row>
        <row r="4512">
          <cell r="A4512">
            <v>508011100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0</v>
          </cell>
          <cell r="H4512">
            <v>1204500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R4512">
            <v>0</v>
          </cell>
          <cell r="S4512">
            <v>0</v>
          </cell>
          <cell r="T4512">
            <v>2700000</v>
          </cell>
          <cell r="U4512">
            <v>0</v>
          </cell>
          <cell r="V4512">
            <v>4350000</v>
          </cell>
          <cell r="W4512">
            <v>0</v>
          </cell>
          <cell r="X4512">
            <v>3500000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</row>
        <row r="4513">
          <cell r="A4513">
            <v>508011101</v>
          </cell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1204500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3500000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</row>
        <row r="4514">
          <cell r="A4514">
            <v>508011102</v>
          </cell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2700000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</row>
        <row r="4515">
          <cell r="A4515">
            <v>508011103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0</v>
          </cell>
          <cell r="U4515">
            <v>0</v>
          </cell>
          <cell r="V4515">
            <v>4350000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</row>
        <row r="4516">
          <cell r="A4516">
            <v>508011200</v>
          </cell>
          <cell r="C4516">
            <v>25136364</v>
          </cell>
          <cell r="D4516">
            <v>21732220</v>
          </cell>
          <cell r="E4516">
            <v>13711439</v>
          </cell>
          <cell r="F4516">
            <v>505000</v>
          </cell>
          <cell r="G4516">
            <v>0</v>
          </cell>
          <cell r="H4516">
            <v>9524700</v>
          </cell>
          <cell r="I4516">
            <v>237200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6381061</v>
          </cell>
          <cell r="O4516">
            <v>20629000</v>
          </cell>
          <cell r="P4516">
            <v>0</v>
          </cell>
          <cell r="Q4516">
            <v>1500000</v>
          </cell>
          <cell r="R4516">
            <v>11318182</v>
          </cell>
          <cell r="S4516">
            <v>0</v>
          </cell>
          <cell r="T4516">
            <v>32371959</v>
          </cell>
          <cell r="U4516">
            <v>0</v>
          </cell>
          <cell r="V4516">
            <v>27690883</v>
          </cell>
          <cell r="W4516">
            <v>180000</v>
          </cell>
          <cell r="X4516">
            <v>3780000</v>
          </cell>
          <cell r="Y4516">
            <v>0</v>
          </cell>
          <cell r="Z4516">
            <v>650000</v>
          </cell>
          <cell r="AA4516">
            <v>0</v>
          </cell>
          <cell r="AB4516">
            <v>1325211</v>
          </cell>
          <cell r="AC4516">
            <v>0</v>
          </cell>
          <cell r="AD4516">
            <v>6001001</v>
          </cell>
          <cell r="AE4516">
            <v>0</v>
          </cell>
          <cell r="AF4516">
            <v>0</v>
          </cell>
          <cell r="AG4516">
            <v>0</v>
          </cell>
          <cell r="AH4516">
            <v>950000</v>
          </cell>
          <cell r="AI4516">
            <v>0</v>
          </cell>
        </row>
        <row r="4517">
          <cell r="A4517">
            <v>508011201</v>
          </cell>
          <cell r="C4517">
            <v>25136364</v>
          </cell>
          <cell r="D4517">
            <v>21732220</v>
          </cell>
          <cell r="E4517">
            <v>13711439</v>
          </cell>
          <cell r="F4517">
            <v>425000</v>
          </cell>
          <cell r="G4517">
            <v>0</v>
          </cell>
          <cell r="H4517">
            <v>9524700</v>
          </cell>
          <cell r="I4517">
            <v>237200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6381061</v>
          </cell>
          <cell r="O4517">
            <v>20629000</v>
          </cell>
          <cell r="P4517">
            <v>0</v>
          </cell>
          <cell r="Q4517">
            <v>1500000</v>
          </cell>
          <cell r="R4517">
            <v>11318182</v>
          </cell>
          <cell r="S4517">
            <v>0</v>
          </cell>
          <cell r="T4517">
            <v>7735000</v>
          </cell>
          <cell r="U4517">
            <v>0</v>
          </cell>
          <cell r="V4517">
            <v>25253683</v>
          </cell>
          <cell r="W4517">
            <v>0</v>
          </cell>
          <cell r="X4517">
            <v>3780000</v>
          </cell>
          <cell r="Y4517">
            <v>0</v>
          </cell>
          <cell r="Z4517">
            <v>0</v>
          </cell>
          <cell r="AA4517">
            <v>0</v>
          </cell>
          <cell r="AB4517">
            <v>1325211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950000</v>
          </cell>
          <cell r="AI4517">
            <v>0</v>
          </cell>
        </row>
        <row r="4518">
          <cell r="A4518">
            <v>508011202</v>
          </cell>
          <cell r="C4518">
            <v>0</v>
          </cell>
          <cell r="D4518">
            <v>0</v>
          </cell>
          <cell r="E4518">
            <v>0</v>
          </cell>
          <cell r="F4518">
            <v>80000</v>
          </cell>
          <cell r="G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24636959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650000</v>
          </cell>
          <cell r="AA4518">
            <v>0</v>
          </cell>
          <cell r="AB4518">
            <v>0</v>
          </cell>
          <cell r="AC4518">
            <v>0</v>
          </cell>
          <cell r="AD4518">
            <v>6001001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</row>
        <row r="4519">
          <cell r="A4519">
            <v>508011203</v>
          </cell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2437200</v>
          </cell>
          <cell r="W4519">
            <v>180000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</row>
        <row r="4520">
          <cell r="A4520">
            <v>508011300</v>
          </cell>
          <cell r="C4520">
            <v>0</v>
          </cell>
          <cell r="D4520">
            <v>22210000</v>
          </cell>
          <cell r="E4520">
            <v>0</v>
          </cell>
          <cell r="F4520">
            <v>0</v>
          </cell>
          <cell r="G4520">
            <v>0</v>
          </cell>
          <cell r="H4520">
            <v>11071496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1800000</v>
          </cell>
          <cell r="O4520">
            <v>0</v>
          </cell>
          <cell r="P4520">
            <v>0</v>
          </cell>
          <cell r="Q4520">
            <v>605000</v>
          </cell>
          <cell r="R4520">
            <v>68200000</v>
          </cell>
          <cell r="S4520">
            <v>0</v>
          </cell>
          <cell r="T4520">
            <v>160000</v>
          </cell>
          <cell r="U4520">
            <v>0</v>
          </cell>
          <cell r="V4520">
            <v>337800</v>
          </cell>
          <cell r="W4520">
            <v>0</v>
          </cell>
          <cell r="X4520">
            <v>6000000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1050000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550000</v>
          </cell>
          <cell r="AI4520">
            <v>0</v>
          </cell>
        </row>
        <row r="4521">
          <cell r="A4521">
            <v>508011301</v>
          </cell>
          <cell r="C4521">
            <v>0</v>
          </cell>
          <cell r="D4521">
            <v>22210000</v>
          </cell>
          <cell r="E4521">
            <v>0</v>
          </cell>
          <cell r="F4521">
            <v>0</v>
          </cell>
          <cell r="G4521">
            <v>0</v>
          </cell>
          <cell r="H4521">
            <v>11071496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1800000</v>
          </cell>
          <cell r="O4521">
            <v>0</v>
          </cell>
          <cell r="P4521">
            <v>0</v>
          </cell>
          <cell r="Q4521">
            <v>605000</v>
          </cell>
          <cell r="R4521">
            <v>68200000</v>
          </cell>
          <cell r="S4521">
            <v>0</v>
          </cell>
          <cell r="T4521">
            <v>160000</v>
          </cell>
          <cell r="U4521">
            <v>0</v>
          </cell>
          <cell r="V4521">
            <v>0</v>
          </cell>
          <cell r="W4521">
            <v>0</v>
          </cell>
          <cell r="X4521">
            <v>6000000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1050000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550000</v>
          </cell>
          <cell r="AI4521">
            <v>0</v>
          </cell>
        </row>
        <row r="4522">
          <cell r="A4522">
            <v>508011302</v>
          </cell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</row>
        <row r="4523">
          <cell r="A4523">
            <v>508011303</v>
          </cell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R4523">
            <v>0</v>
          </cell>
          <cell r="S4523">
            <v>0</v>
          </cell>
          <cell r="T4523">
            <v>0</v>
          </cell>
          <cell r="U4523">
            <v>0</v>
          </cell>
          <cell r="V4523">
            <v>337800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</row>
        <row r="4524">
          <cell r="A4524">
            <v>508012000</v>
          </cell>
          <cell r="C4524">
            <v>0</v>
          </cell>
          <cell r="D4524">
            <v>0</v>
          </cell>
          <cell r="E4524">
            <v>0</v>
          </cell>
          <cell r="F4524">
            <v>600000</v>
          </cell>
          <cell r="G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454540</v>
          </cell>
          <cell r="O4524">
            <v>1612000</v>
          </cell>
          <cell r="P4524">
            <v>0</v>
          </cell>
          <cell r="Q4524">
            <v>0</v>
          </cell>
          <cell r="R4524">
            <v>1345000</v>
          </cell>
          <cell r="S4524">
            <v>0</v>
          </cell>
          <cell r="T4524">
            <v>1209091</v>
          </cell>
          <cell r="U4524">
            <v>0</v>
          </cell>
          <cell r="V4524">
            <v>3120549</v>
          </cell>
          <cell r="W4524">
            <v>0</v>
          </cell>
          <cell r="X4524">
            <v>3429000</v>
          </cell>
          <cell r="Y4524">
            <v>0</v>
          </cell>
          <cell r="Z4524">
            <v>0</v>
          </cell>
          <cell r="AA4524">
            <v>0</v>
          </cell>
          <cell r="AB4524">
            <v>487683</v>
          </cell>
          <cell r="AC4524">
            <v>0</v>
          </cell>
          <cell r="AD4524">
            <v>0</v>
          </cell>
          <cell r="AE4524">
            <v>0</v>
          </cell>
          <cell r="AF4524">
            <v>4149998</v>
          </cell>
          <cell r="AG4524">
            <v>0</v>
          </cell>
          <cell r="AH4524">
            <v>0</v>
          </cell>
          <cell r="AI4524">
            <v>0</v>
          </cell>
        </row>
        <row r="4525">
          <cell r="A4525">
            <v>508012001</v>
          </cell>
          <cell r="C4525">
            <v>0</v>
          </cell>
          <cell r="D4525">
            <v>0</v>
          </cell>
          <cell r="E4525">
            <v>0</v>
          </cell>
          <cell r="F4525">
            <v>600000</v>
          </cell>
          <cell r="G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454540</v>
          </cell>
          <cell r="O4525">
            <v>1612000</v>
          </cell>
          <cell r="P4525">
            <v>0</v>
          </cell>
          <cell r="Q4525">
            <v>0</v>
          </cell>
          <cell r="R4525">
            <v>1345000</v>
          </cell>
          <cell r="S4525">
            <v>0</v>
          </cell>
          <cell r="T4525">
            <v>0</v>
          </cell>
          <cell r="U4525">
            <v>0</v>
          </cell>
          <cell r="V4525">
            <v>822155</v>
          </cell>
          <cell r="W4525">
            <v>0</v>
          </cell>
          <cell r="X4525">
            <v>3429000</v>
          </cell>
          <cell r="Y4525">
            <v>0</v>
          </cell>
          <cell r="Z4525">
            <v>0</v>
          </cell>
          <cell r="AA4525">
            <v>0</v>
          </cell>
          <cell r="AB4525">
            <v>487683</v>
          </cell>
          <cell r="AC4525">
            <v>0</v>
          </cell>
          <cell r="AD4525">
            <v>0</v>
          </cell>
          <cell r="AE4525">
            <v>0</v>
          </cell>
          <cell r="AF4525">
            <v>4149998</v>
          </cell>
          <cell r="AG4525">
            <v>0</v>
          </cell>
          <cell r="AH4525">
            <v>0</v>
          </cell>
          <cell r="AI4525">
            <v>0</v>
          </cell>
        </row>
        <row r="4526">
          <cell r="A4526">
            <v>508012002</v>
          </cell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R4526">
            <v>0</v>
          </cell>
          <cell r="S4526">
            <v>0</v>
          </cell>
          <cell r="T4526">
            <v>1209091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</row>
        <row r="4527">
          <cell r="A4527">
            <v>508012003</v>
          </cell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2298394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</row>
        <row r="4528">
          <cell r="A4528">
            <v>508012004</v>
          </cell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</row>
        <row r="4529">
          <cell r="A4529">
            <v>508012005</v>
          </cell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</row>
        <row r="4530">
          <cell r="A4530">
            <v>508012006</v>
          </cell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</row>
        <row r="4531">
          <cell r="A4531">
            <v>508012007</v>
          </cell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R4531">
            <v>0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</row>
        <row r="4532">
          <cell r="A4532">
            <v>508012008</v>
          </cell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R4532">
            <v>0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</row>
        <row r="4533">
          <cell r="A4533">
            <v>508012009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R4533">
            <v>0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</row>
        <row r="4534">
          <cell r="A4534">
            <v>508020000</v>
          </cell>
          <cell r="C4534">
            <v>0</v>
          </cell>
          <cell r="D4534">
            <v>32894474</v>
          </cell>
          <cell r="E4534">
            <v>0</v>
          </cell>
          <cell r="F4534">
            <v>19954068</v>
          </cell>
          <cell r="G4534">
            <v>134278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95503200</v>
          </cell>
          <cell r="P4534">
            <v>0</v>
          </cell>
          <cell r="Q4534">
            <v>0</v>
          </cell>
          <cell r="R4534">
            <v>151364</v>
          </cell>
          <cell r="S4534">
            <v>0</v>
          </cell>
          <cell r="T4534">
            <v>3519091</v>
          </cell>
          <cell r="U4534">
            <v>0</v>
          </cell>
          <cell r="V4534">
            <v>4573392</v>
          </cell>
          <cell r="W4534">
            <v>2270000</v>
          </cell>
          <cell r="X4534">
            <v>0</v>
          </cell>
          <cell r="Y4534">
            <v>3945455</v>
          </cell>
          <cell r="Z4534">
            <v>0</v>
          </cell>
          <cell r="AA4534">
            <v>0</v>
          </cell>
          <cell r="AB4534">
            <v>43069516</v>
          </cell>
          <cell r="AC4534">
            <v>975000</v>
          </cell>
          <cell r="AD4534">
            <v>79603399</v>
          </cell>
          <cell r="AE4534">
            <v>0</v>
          </cell>
          <cell r="AF4534">
            <v>7256992</v>
          </cell>
          <cell r="AG4534">
            <v>0</v>
          </cell>
          <cell r="AH4534">
            <v>40820933</v>
          </cell>
          <cell r="AI4534">
            <v>0</v>
          </cell>
        </row>
        <row r="4535">
          <cell r="A4535">
            <v>508020100</v>
          </cell>
          <cell r="C4535">
            <v>0</v>
          </cell>
          <cell r="D4535">
            <v>0</v>
          </cell>
          <cell r="E4535">
            <v>0</v>
          </cell>
          <cell r="F4535">
            <v>8913000</v>
          </cell>
          <cell r="G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R4535">
            <v>0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</row>
        <row r="4536">
          <cell r="A4536">
            <v>508020104</v>
          </cell>
          <cell r="C4536">
            <v>0</v>
          </cell>
          <cell r="D4536">
            <v>0</v>
          </cell>
          <cell r="E4536">
            <v>0</v>
          </cell>
          <cell r="F4536">
            <v>8913000</v>
          </cell>
          <cell r="G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R4536">
            <v>0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</row>
        <row r="4537">
          <cell r="A4537">
            <v>508020200</v>
          </cell>
          <cell r="C4537">
            <v>0</v>
          </cell>
          <cell r="D4537">
            <v>0</v>
          </cell>
          <cell r="E4537">
            <v>0</v>
          </cell>
          <cell r="F4537">
            <v>174546</v>
          </cell>
          <cell r="G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R4537">
            <v>0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1500000</v>
          </cell>
          <cell r="Z4537">
            <v>0</v>
          </cell>
          <cell r="AA4537">
            <v>0</v>
          </cell>
          <cell r="AB4537">
            <v>13327500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</row>
        <row r="4538">
          <cell r="A4538">
            <v>508020204</v>
          </cell>
          <cell r="C4538">
            <v>0</v>
          </cell>
          <cell r="D4538">
            <v>0</v>
          </cell>
          <cell r="E4538">
            <v>0</v>
          </cell>
          <cell r="F4538">
            <v>174546</v>
          </cell>
          <cell r="G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R4538">
            <v>0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1500000</v>
          </cell>
          <cell r="Z4538">
            <v>0</v>
          </cell>
          <cell r="AA4538">
            <v>0</v>
          </cell>
          <cell r="AB4538">
            <v>13327500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</row>
        <row r="4539">
          <cell r="A4539">
            <v>508020300</v>
          </cell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R4539">
            <v>0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</row>
        <row r="4540">
          <cell r="A4540">
            <v>508020304</v>
          </cell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R4540">
            <v>0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</row>
        <row r="4541">
          <cell r="A4541">
            <v>508020400</v>
          </cell>
          <cell r="C4541">
            <v>0</v>
          </cell>
          <cell r="D4541">
            <v>28394474</v>
          </cell>
          <cell r="E4541">
            <v>0</v>
          </cell>
          <cell r="F4541">
            <v>10866522</v>
          </cell>
          <cell r="G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43654545</v>
          </cell>
          <cell r="P4541">
            <v>0</v>
          </cell>
          <cell r="Q4541">
            <v>0</v>
          </cell>
          <cell r="R4541">
            <v>0</v>
          </cell>
          <cell r="S4541">
            <v>0</v>
          </cell>
          <cell r="T4541">
            <v>1910000</v>
          </cell>
          <cell r="U4541">
            <v>0</v>
          </cell>
          <cell r="V4541">
            <v>4573392</v>
          </cell>
          <cell r="W4541">
            <v>2270000</v>
          </cell>
          <cell r="X4541">
            <v>0</v>
          </cell>
          <cell r="Y4541">
            <v>2445455</v>
          </cell>
          <cell r="Z4541">
            <v>0</v>
          </cell>
          <cell r="AA4541">
            <v>0</v>
          </cell>
          <cell r="AB4541">
            <v>29742016</v>
          </cell>
          <cell r="AC4541">
            <v>0</v>
          </cell>
          <cell r="AD4541">
            <v>60802896</v>
          </cell>
          <cell r="AE4541">
            <v>0</v>
          </cell>
          <cell r="AF4541">
            <v>7256992</v>
          </cell>
          <cell r="AG4541">
            <v>0</v>
          </cell>
          <cell r="AH4541">
            <v>37950885</v>
          </cell>
          <cell r="AI4541">
            <v>0</v>
          </cell>
        </row>
        <row r="4542">
          <cell r="A4542">
            <v>508020404</v>
          </cell>
          <cell r="C4542">
            <v>0</v>
          </cell>
          <cell r="D4542">
            <v>28394474</v>
          </cell>
          <cell r="E4542">
            <v>0</v>
          </cell>
          <cell r="F4542">
            <v>10866522</v>
          </cell>
          <cell r="G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43654545</v>
          </cell>
          <cell r="P4542">
            <v>0</v>
          </cell>
          <cell r="Q4542">
            <v>0</v>
          </cell>
          <cell r="R4542">
            <v>0</v>
          </cell>
          <cell r="S4542">
            <v>0</v>
          </cell>
          <cell r="T4542">
            <v>1910000</v>
          </cell>
          <cell r="U4542">
            <v>0</v>
          </cell>
          <cell r="V4542">
            <v>4573392</v>
          </cell>
          <cell r="W4542">
            <v>2270000</v>
          </cell>
          <cell r="X4542">
            <v>0</v>
          </cell>
          <cell r="Y4542">
            <v>2445455</v>
          </cell>
          <cell r="Z4542">
            <v>0</v>
          </cell>
          <cell r="AA4542">
            <v>0</v>
          </cell>
          <cell r="AB4542">
            <v>29742016</v>
          </cell>
          <cell r="AC4542">
            <v>0</v>
          </cell>
          <cell r="AD4542">
            <v>60802896</v>
          </cell>
          <cell r="AE4542">
            <v>0</v>
          </cell>
          <cell r="AF4542">
            <v>7256992</v>
          </cell>
          <cell r="AG4542">
            <v>0</v>
          </cell>
          <cell r="AH4542">
            <v>37950885</v>
          </cell>
          <cell r="AI4542">
            <v>0</v>
          </cell>
        </row>
        <row r="4543">
          <cell r="A4543">
            <v>508020500</v>
          </cell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R4543">
            <v>0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</row>
        <row r="4544">
          <cell r="A4544">
            <v>508020504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</row>
        <row r="4545">
          <cell r="A4545">
            <v>508020600</v>
          </cell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44348655</v>
          </cell>
          <cell r="P4545">
            <v>0</v>
          </cell>
          <cell r="Q4545">
            <v>0</v>
          </cell>
          <cell r="R4545">
            <v>0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</row>
        <row r="4546">
          <cell r="A4546">
            <v>508020604</v>
          </cell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44348655</v>
          </cell>
          <cell r="P4546">
            <v>0</v>
          </cell>
          <cell r="Q4546">
            <v>0</v>
          </cell>
          <cell r="R4546">
            <v>0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</row>
        <row r="4547">
          <cell r="A4547">
            <v>508020700</v>
          </cell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R4547">
            <v>0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</row>
        <row r="4548">
          <cell r="A4548">
            <v>508020704</v>
          </cell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</row>
        <row r="4549">
          <cell r="A4549">
            <v>508020800</v>
          </cell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R4549">
            <v>0</v>
          </cell>
          <cell r="S4549">
            <v>0</v>
          </cell>
          <cell r="T4549">
            <v>1609091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</row>
        <row r="4550">
          <cell r="A4550">
            <v>508020804</v>
          </cell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R4550">
            <v>0</v>
          </cell>
          <cell r="S4550">
            <v>0</v>
          </cell>
          <cell r="T4550">
            <v>1609091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</row>
        <row r="4551">
          <cell r="A4551">
            <v>508020900</v>
          </cell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R4551">
            <v>151364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</row>
        <row r="4552">
          <cell r="A4552">
            <v>508020904</v>
          </cell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R4552">
            <v>151364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</row>
        <row r="4553">
          <cell r="A4553">
            <v>508021000</v>
          </cell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G4553">
            <v>134278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R4553">
            <v>0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</row>
        <row r="4554">
          <cell r="A4554">
            <v>508021004</v>
          </cell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G4554">
            <v>134278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R4554">
            <v>0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</row>
        <row r="4555">
          <cell r="A4555">
            <v>508021100</v>
          </cell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G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R4555">
            <v>0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</row>
        <row r="4556">
          <cell r="A4556">
            <v>508021104</v>
          </cell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</row>
        <row r="4557">
          <cell r="A4557">
            <v>508021200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7500000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</row>
        <row r="4558">
          <cell r="A4558">
            <v>508021204</v>
          </cell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7500000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</row>
        <row r="4559">
          <cell r="A4559">
            <v>508021300</v>
          </cell>
          <cell r="C4559">
            <v>0</v>
          </cell>
          <cell r="D4559">
            <v>4500000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975000</v>
          </cell>
          <cell r="AD4559">
            <v>18800503</v>
          </cell>
          <cell r="AE4559">
            <v>0</v>
          </cell>
          <cell r="AF4559">
            <v>0</v>
          </cell>
          <cell r="AG4559">
            <v>0</v>
          </cell>
          <cell r="AH4559">
            <v>2870048</v>
          </cell>
          <cell r="AI4559">
            <v>0</v>
          </cell>
        </row>
        <row r="4560">
          <cell r="A4560">
            <v>508021304</v>
          </cell>
          <cell r="C4560">
            <v>0</v>
          </cell>
          <cell r="D4560">
            <v>4500000</v>
          </cell>
          <cell r="E4560">
            <v>0</v>
          </cell>
          <cell r="F4560">
            <v>0</v>
          </cell>
          <cell r="G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975000</v>
          </cell>
          <cell r="AD4560">
            <v>18800503</v>
          </cell>
          <cell r="AE4560">
            <v>0</v>
          </cell>
          <cell r="AF4560">
            <v>0</v>
          </cell>
          <cell r="AG4560">
            <v>0</v>
          </cell>
          <cell r="AH4560">
            <v>2870048</v>
          </cell>
          <cell r="AI4560">
            <v>0</v>
          </cell>
        </row>
        <row r="4561">
          <cell r="A4561">
            <v>508022000</v>
          </cell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</row>
        <row r="4562">
          <cell r="A4562">
            <v>508022004</v>
          </cell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</row>
        <row r="4563">
          <cell r="A4563">
            <v>509000000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</row>
        <row r="4564">
          <cell r="A4564">
            <v>509010000</v>
          </cell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</row>
        <row r="4565">
          <cell r="A4565">
            <v>509010100</v>
          </cell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</row>
        <row r="4566">
          <cell r="A4566">
            <v>509010101</v>
          </cell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</row>
        <row r="4567">
          <cell r="A4567">
            <v>509010200</v>
          </cell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</row>
        <row r="4568">
          <cell r="A4568">
            <v>509010201</v>
          </cell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</row>
        <row r="4569">
          <cell r="A4569">
            <v>509010300</v>
          </cell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</row>
        <row r="4570">
          <cell r="A4570">
            <v>509010301</v>
          </cell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</row>
        <row r="4571">
          <cell r="A4571">
            <v>509010400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</row>
        <row r="4572">
          <cell r="A4572">
            <v>509010401</v>
          </cell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</row>
        <row r="4573">
          <cell r="A4573">
            <v>509010500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</row>
        <row r="4574">
          <cell r="A4574">
            <v>509010501</v>
          </cell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</row>
        <row r="4575">
          <cell r="A4575">
            <v>509010600</v>
          </cell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</row>
        <row r="4576">
          <cell r="A4576">
            <v>509010601</v>
          </cell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</row>
        <row r="4577">
          <cell r="A4577">
            <v>509010700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</row>
        <row r="4578">
          <cell r="A4578">
            <v>509010701</v>
          </cell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R4578">
            <v>0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</row>
        <row r="4579">
          <cell r="A4579">
            <v>509010800</v>
          </cell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</row>
        <row r="4580">
          <cell r="A4580">
            <v>509010801</v>
          </cell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</row>
        <row r="4581">
          <cell r="A4581">
            <v>509010900</v>
          </cell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</row>
        <row r="4582">
          <cell r="A4582">
            <v>509010901</v>
          </cell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</row>
        <row r="4583">
          <cell r="A4583">
            <v>509011000</v>
          </cell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</row>
        <row r="4584">
          <cell r="A4584">
            <v>509011001</v>
          </cell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</row>
        <row r="4585">
          <cell r="A4585">
            <v>509011100</v>
          </cell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R4585">
            <v>0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</row>
        <row r="4586">
          <cell r="A4586">
            <v>509011101</v>
          </cell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</row>
        <row r="4587">
          <cell r="A4587">
            <v>509011200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</row>
        <row r="4588">
          <cell r="A4588">
            <v>509011201</v>
          </cell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</row>
        <row r="4589">
          <cell r="A4589">
            <v>509011300</v>
          </cell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</row>
        <row r="4590">
          <cell r="A4590">
            <v>509011301</v>
          </cell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</row>
        <row r="4591">
          <cell r="A4591">
            <v>509012000</v>
          </cell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</row>
        <row r="4592">
          <cell r="A4592">
            <v>509012001</v>
          </cell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</row>
        <row r="4593">
          <cell r="A4593">
            <v>509012002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R4593">
            <v>0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</row>
        <row r="4594">
          <cell r="A4594">
            <v>509012003</v>
          </cell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</row>
        <row r="4595">
          <cell r="A4595">
            <v>509012004</v>
          </cell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</row>
        <row r="4596">
          <cell r="A4596">
            <v>509012005</v>
          </cell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</row>
        <row r="4597">
          <cell r="A4597">
            <v>509012006</v>
          </cell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</row>
        <row r="4598">
          <cell r="A4598">
            <v>509012007</v>
          </cell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</row>
        <row r="4599">
          <cell r="A4599">
            <v>509012008</v>
          </cell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</row>
        <row r="4600">
          <cell r="A4600">
            <v>509012009</v>
          </cell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</row>
        <row r="4601">
          <cell r="A4601">
            <v>509020000</v>
          </cell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</row>
        <row r="4602">
          <cell r="A4602">
            <v>509020100</v>
          </cell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</row>
        <row r="4603">
          <cell r="A4603">
            <v>509020101</v>
          </cell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</row>
        <row r="4604">
          <cell r="A4604">
            <v>509020200</v>
          </cell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</row>
        <row r="4605">
          <cell r="A4605">
            <v>509020201</v>
          </cell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</row>
        <row r="4606">
          <cell r="A4606">
            <v>509020300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</row>
        <row r="4607">
          <cell r="A4607">
            <v>509020301</v>
          </cell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</row>
        <row r="4608">
          <cell r="A4608">
            <v>509020400</v>
          </cell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</row>
        <row r="4609">
          <cell r="A4609">
            <v>509020401</v>
          </cell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</row>
        <row r="4610">
          <cell r="A4610">
            <v>509020500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</row>
        <row r="4611">
          <cell r="A4611">
            <v>509020501</v>
          </cell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</row>
        <row r="4612">
          <cell r="A4612">
            <v>509020600</v>
          </cell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</row>
        <row r="4613">
          <cell r="A4613">
            <v>509020601</v>
          </cell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</row>
        <row r="4614">
          <cell r="A4614">
            <v>509020700</v>
          </cell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</row>
        <row r="4615">
          <cell r="A4615">
            <v>509020701</v>
          </cell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</row>
        <row r="4616">
          <cell r="A4616">
            <v>509020800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R4616">
            <v>0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</row>
        <row r="4617">
          <cell r="A4617">
            <v>509020801</v>
          </cell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</row>
        <row r="4618">
          <cell r="A4618">
            <v>509020900</v>
          </cell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</row>
        <row r="4619">
          <cell r="A4619">
            <v>509020901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</row>
        <row r="4620">
          <cell r="A4620">
            <v>509021000</v>
          </cell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</row>
        <row r="4621">
          <cell r="A4621">
            <v>509021001</v>
          </cell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</row>
        <row r="4622">
          <cell r="A4622">
            <v>509021100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</row>
        <row r="4623">
          <cell r="A4623">
            <v>509021101</v>
          </cell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</row>
        <row r="4624">
          <cell r="A4624">
            <v>509021200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R4624">
            <v>0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</row>
        <row r="4625">
          <cell r="A4625">
            <v>509021201</v>
          </cell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</row>
        <row r="4626">
          <cell r="A4626">
            <v>509021300</v>
          </cell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R4626">
            <v>0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</row>
        <row r="4627">
          <cell r="A4627">
            <v>509021301</v>
          </cell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</row>
        <row r="4628">
          <cell r="A4628">
            <v>509022000</v>
          </cell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</row>
        <row r="4629">
          <cell r="A4629">
            <v>509022001</v>
          </cell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</row>
        <row r="4630">
          <cell r="A4630">
            <v>509022002</v>
          </cell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</row>
        <row r="4631">
          <cell r="A4631">
            <v>509022003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</row>
        <row r="4632">
          <cell r="A4632">
            <v>509022004</v>
          </cell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</row>
        <row r="4633">
          <cell r="A4633">
            <v>509022005</v>
          </cell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</row>
        <row r="4634">
          <cell r="A4634">
            <v>509022006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</row>
        <row r="4635">
          <cell r="A4635">
            <v>509022007</v>
          </cell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</row>
        <row r="4636">
          <cell r="A4636">
            <v>509022008</v>
          </cell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</row>
        <row r="4637">
          <cell r="A4637">
            <v>509022009</v>
          </cell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</row>
        <row r="4638">
          <cell r="A4638">
            <v>510000000</v>
          </cell>
          <cell r="C4638">
            <v>0</v>
          </cell>
          <cell r="D4638">
            <v>0</v>
          </cell>
          <cell r="E4638">
            <v>0</v>
          </cell>
          <cell r="F4638">
            <v>334096295</v>
          </cell>
          <cell r="G4638">
            <v>0</v>
          </cell>
          <cell r="H4638">
            <v>0</v>
          </cell>
          <cell r="I4638">
            <v>0</v>
          </cell>
          <cell r="J4638">
            <v>54173554</v>
          </cell>
          <cell r="K4638">
            <v>34629556</v>
          </cell>
          <cell r="L4638">
            <v>3454961</v>
          </cell>
          <cell r="M4638">
            <v>58747994</v>
          </cell>
          <cell r="N4638">
            <v>0</v>
          </cell>
          <cell r="O4638">
            <v>277973480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0</v>
          </cell>
          <cell r="U4638">
            <v>0</v>
          </cell>
          <cell r="V4638">
            <v>26217492</v>
          </cell>
          <cell r="W4638">
            <v>0</v>
          </cell>
          <cell r="X4638">
            <v>0</v>
          </cell>
          <cell r="Y4638">
            <v>114594634</v>
          </cell>
          <cell r="Z4638">
            <v>0</v>
          </cell>
          <cell r="AA4638">
            <v>57376212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</row>
        <row r="4639">
          <cell r="A4639">
            <v>510010000</v>
          </cell>
          <cell r="C4639">
            <v>0</v>
          </cell>
          <cell r="D4639">
            <v>0</v>
          </cell>
          <cell r="E4639">
            <v>0</v>
          </cell>
          <cell r="F4639">
            <v>334096295</v>
          </cell>
          <cell r="G4639">
            <v>0</v>
          </cell>
          <cell r="H4639">
            <v>0</v>
          </cell>
          <cell r="I4639">
            <v>0</v>
          </cell>
          <cell r="J4639">
            <v>54173554</v>
          </cell>
          <cell r="K4639">
            <v>34629556</v>
          </cell>
          <cell r="L4639">
            <v>0</v>
          </cell>
          <cell r="M4639">
            <v>58747994</v>
          </cell>
          <cell r="N4639">
            <v>0</v>
          </cell>
          <cell r="O4639">
            <v>277973480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0</v>
          </cell>
          <cell r="U4639">
            <v>0</v>
          </cell>
          <cell r="V4639">
            <v>26217492</v>
          </cell>
          <cell r="W4639">
            <v>0</v>
          </cell>
          <cell r="X4639">
            <v>0</v>
          </cell>
          <cell r="Y4639">
            <v>114594634</v>
          </cell>
          <cell r="Z4639">
            <v>0</v>
          </cell>
          <cell r="AA4639">
            <v>57376212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</row>
        <row r="4640">
          <cell r="A4640">
            <v>510010100</v>
          </cell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R4640">
            <v>0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</row>
        <row r="4641">
          <cell r="A4641">
            <v>510010101</v>
          </cell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R4641">
            <v>0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</row>
        <row r="4642">
          <cell r="A4642">
            <v>510010200</v>
          </cell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</row>
        <row r="4643">
          <cell r="A4643">
            <v>510010201</v>
          </cell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R4643">
            <v>0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</row>
        <row r="4644">
          <cell r="A4644">
            <v>510010300</v>
          </cell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</row>
        <row r="4645">
          <cell r="A4645">
            <v>510010301</v>
          </cell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R4645">
            <v>0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</row>
        <row r="4646">
          <cell r="A4646">
            <v>510010400</v>
          </cell>
          <cell r="C4646">
            <v>0</v>
          </cell>
          <cell r="D4646">
            <v>0</v>
          </cell>
          <cell r="E4646">
            <v>0</v>
          </cell>
          <cell r="F4646">
            <v>334096295</v>
          </cell>
          <cell r="G4646">
            <v>0</v>
          </cell>
          <cell r="H4646">
            <v>0</v>
          </cell>
          <cell r="I4646">
            <v>0</v>
          </cell>
          <cell r="J4646">
            <v>54173554</v>
          </cell>
          <cell r="K4646">
            <v>34629556</v>
          </cell>
          <cell r="L4646">
            <v>0</v>
          </cell>
          <cell r="M4646">
            <v>58747994</v>
          </cell>
          <cell r="N4646">
            <v>0</v>
          </cell>
          <cell r="O4646">
            <v>277973480</v>
          </cell>
          <cell r="P4646">
            <v>0</v>
          </cell>
          <cell r="Q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26217492</v>
          </cell>
          <cell r="W4646">
            <v>0</v>
          </cell>
          <cell r="X4646">
            <v>0</v>
          </cell>
          <cell r="Y4646">
            <v>42728253</v>
          </cell>
          <cell r="Z4646">
            <v>0</v>
          </cell>
          <cell r="AA4646">
            <v>57376212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</row>
        <row r="4647">
          <cell r="A4647">
            <v>510010401</v>
          </cell>
          <cell r="C4647">
            <v>0</v>
          </cell>
          <cell r="D4647">
            <v>0</v>
          </cell>
          <cell r="E4647">
            <v>0</v>
          </cell>
          <cell r="F4647">
            <v>334096295</v>
          </cell>
          <cell r="G4647">
            <v>0</v>
          </cell>
          <cell r="H4647">
            <v>0</v>
          </cell>
          <cell r="I4647">
            <v>0</v>
          </cell>
          <cell r="J4647">
            <v>54173554</v>
          </cell>
          <cell r="K4647">
            <v>34629556</v>
          </cell>
          <cell r="L4647">
            <v>0</v>
          </cell>
          <cell r="M4647">
            <v>58747994</v>
          </cell>
          <cell r="N4647">
            <v>0</v>
          </cell>
          <cell r="O4647">
            <v>277973480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0</v>
          </cell>
          <cell r="U4647">
            <v>0</v>
          </cell>
          <cell r="V4647">
            <v>26217492</v>
          </cell>
          <cell r="W4647">
            <v>0</v>
          </cell>
          <cell r="X4647">
            <v>0</v>
          </cell>
          <cell r="Y4647">
            <v>42728253</v>
          </cell>
          <cell r="Z4647">
            <v>0</v>
          </cell>
          <cell r="AA4647">
            <v>57376212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</row>
        <row r="4648">
          <cell r="A4648">
            <v>510010500</v>
          </cell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71866381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</row>
        <row r="4649">
          <cell r="A4649">
            <v>510010501</v>
          </cell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71866381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</row>
        <row r="4650">
          <cell r="A4650">
            <v>510010600</v>
          </cell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R4650">
            <v>0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</row>
        <row r="4651">
          <cell r="A4651">
            <v>510010601</v>
          </cell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</row>
        <row r="4652">
          <cell r="A4652">
            <v>510010700</v>
          </cell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R4652">
            <v>0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</row>
        <row r="4653">
          <cell r="A4653">
            <v>510010701</v>
          </cell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</row>
        <row r="4654">
          <cell r="A4654">
            <v>510010800</v>
          </cell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</row>
        <row r="4655">
          <cell r="A4655">
            <v>510010801</v>
          </cell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</row>
        <row r="4656">
          <cell r="A4656">
            <v>510010900</v>
          </cell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R4656">
            <v>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</row>
        <row r="4657">
          <cell r="A4657">
            <v>510010901</v>
          </cell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</row>
        <row r="4658">
          <cell r="A4658">
            <v>510011000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</row>
        <row r="4659">
          <cell r="A4659">
            <v>510011001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</row>
        <row r="4660">
          <cell r="A4660">
            <v>510011100</v>
          </cell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</row>
        <row r="4661">
          <cell r="A4661">
            <v>510011101</v>
          </cell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</row>
        <row r="4662">
          <cell r="A4662">
            <v>510011200</v>
          </cell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</row>
        <row r="4663">
          <cell r="A4663">
            <v>510011201</v>
          </cell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R4663">
            <v>0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</row>
        <row r="4664">
          <cell r="A4664">
            <v>510011300</v>
          </cell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</row>
        <row r="4665">
          <cell r="A4665">
            <v>510011301</v>
          </cell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</row>
        <row r="4666">
          <cell r="A4666">
            <v>510012000</v>
          </cell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R4666">
            <v>0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  <cell r="AG4666">
            <v>0</v>
          </cell>
          <cell r="AH4666">
            <v>0</v>
          </cell>
          <cell r="AI4666">
            <v>0</v>
          </cell>
        </row>
        <row r="4667">
          <cell r="A4667">
            <v>510012001</v>
          </cell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</row>
        <row r="4668">
          <cell r="A4668">
            <v>510012002</v>
          </cell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  <cell r="AG4668">
            <v>0</v>
          </cell>
          <cell r="AH4668">
            <v>0</v>
          </cell>
          <cell r="AI4668">
            <v>0</v>
          </cell>
        </row>
        <row r="4669">
          <cell r="A4669">
            <v>510012003</v>
          </cell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R4669">
            <v>0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  <cell r="AG4669">
            <v>0</v>
          </cell>
          <cell r="AH4669">
            <v>0</v>
          </cell>
          <cell r="AI4669">
            <v>0</v>
          </cell>
        </row>
        <row r="4670">
          <cell r="A4670">
            <v>510012004</v>
          </cell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  <cell r="AI4670">
            <v>0</v>
          </cell>
        </row>
        <row r="4671">
          <cell r="A4671">
            <v>510012005</v>
          </cell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  <cell r="AG4671">
            <v>0</v>
          </cell>
          <cell r="AH4671">
            <v>0</v>
          </cell>
          <cell r="AI4671">
            <v>0</v>
          </cell>
        </row>
        <row r="4672">
          <cell r="A4672">
            <v>510012006</v>
          </cell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</row>
        <row r="4673">
          <cell r="A4673">
            <v>510012007</v>
          </cell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R4673">
            <v>0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  <cell r="AI4673">
            <v>0</v>
          </cell>
        </row>
        <row r="4674">
          <cell r="A4674">
            <v>510012008</v>
          </cell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</row>
        <row r="4675">
          <cell r="A4675">
            <v>510012009</v>
          </cell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R4675">
            <v>0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  <cell r="AI4675">
            <v>0</v>
          </cell>
        </row>
        <row r="4676">
          <cell r="A4676">
            <v>510020000</v>
          </cell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3454961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R4676">
            <v>0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</row>
        <row r="4677">
          <cell r="A4677">
            <v>510020100</v>
          </cell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847832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R4677">
            <v>0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</row>
        <row r="4678">
          <cell r="A4678">
            <v>510020101</v>
          </cell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847832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  <cell r="AI4678">
            <v>0</v>
          </cell>
        </row>
        <row r="4679">
          <cell r="A4679">
            <v>510020200</v>
          </cell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</row>
        <row r="4680">
          <cell r="A4680">
            <v>510020201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R4680">
            <v>0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</row>
        <row r="4681">
          <cell r="A4681">
            <v>510020300</v>
          </cell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</row>
        <row r="4682">
          <cell r="A4682">
            <v>510020301</v>
          </cell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</row>
        <row r="4683">
          <cell r="A4683">
            <v>510020400</v>
          </cell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2363335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R4683">
            <v>0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  <cell r="AI4683">
            <v>0</v>
          </cell>
        </row>
        <row r="4684">
          <cell r="A4684">
            <v>510020401</v>
          </cell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2363335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</row>
        <row r="4685">
          <cell r="A4685">
            <v>510020500</v>
          </cell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  <cell r="AI4685">
            <v>0</v>
          </cell>
        </row>
        <row r="4686">
          <cell r="A4686">
            <v>510020501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R4686">
            <v>0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</row>
        <row r="4687">
          <cell r="A4687">
            <v>510020600</v>
          </cell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118873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R4687">
            <v>0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</row>
        <row r="4688">
          <cell r="A4688">
            <v>510020601</v>
          </cell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118873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  <cell r="AI4688">
            <v>0</v>
          </cell>
        </row>
        <row r="4689">
          <cell r="A4689">
            <v>510020700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</row>
        <row r="4690">
          <cell r="A4690">
            <v>510020701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  <cell r="AI4690">
            <v>0</v>
          </cell>
        </row>
        <row r="4691">
          <cell r="A4691">
            <v>510020800</v>
          </cell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</row>
        <row r="4692">
          <cell r="A4692">
            <v>510020801</v>
          </cell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R4692">
            <v>0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</row>
        <row r="4693">
          <cell r="A4693">
            <v>510020900</v>
          </cell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124921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</row>
        <row r="4694">
          <cell r="A4694">
            <v>510020901</v>
          </cell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124921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R4694">
            <v>0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  <cell r="AI4694">
            <v>0</v>
          </cell>
        </row>
        <row r="4695">
          <cell r="A4695">
            <v>510021000</v>
          </cell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R4695">
            <v>0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</row>
        <row r="4696">
          <cell r="A4696">
            <v>510021001</v>
          </cell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R4696">
            <v>0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</row>
        <row r="4697">
          <cell r="A4697">
            <v>510021100</v>
          </cell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R4697">
            <v>0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</row>
        <row r="4698">
          <cell r="A4698">
            <v>510021101</v>
          </cell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R4698">
            <v>0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</row>
        <row r="4699">
          <cell r="A4699">
            <v>510021200</v>
          </cell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</row>
        <row r="4700">
          <cell r="A4700">
            <v>510021201</v>
          </cell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  <cell r="AI4700">
            <v>0</v>
          </cell>
        </row>
        <row r="4701">
          <cell r="A4701">
            <v>510021300</v>
          </cell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  <cell r="AI4701">
            <v>0</v>
          </cell>
        </row>
        <row r="4702">
          <cell r="A4702">
            <v>510021301</v>
          </cell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  <cell r="AI4702">
            <v>0</v>
          </cell>
        </row>
        <row r="4703">
          <cell r="A4703">
            <v>510022000</v>
          </cell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R4703">
            <v>0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</row>
        <row r="4704">
          <cell r="A4704">
            <v>510022001</v>
          </cell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R4704">
            <v>0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</row>
        <row r="4705">
          <cell r="A4705">
            <v>510022002</v>
          </cell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R4705">
            <v>0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0</v>
          </cell>
          <cell r="AH4705">
            <v>0</v>
          </cell>
          <cell r="AI4705">
            <v>0</v>
          </cell>
        </row>
        <row r="4706">
          <cell r="A4706">
            <v>510022003</v>
          </cell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</row>
        <row r="4707">
          <cell r="A4707">
            <v>510022004</v>
          </cell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0</v>
          </cell>
          <cell r="AH4707">
            <v>0</v>
          </cell>
          <cell r="AI4707">
            <v>0</v>
          </cell>
        </row>
        <row r="4708">
          <cell r="A4708">
            <v>510022005</v>
          </cell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</row>
        <row r="4709">
          <cell r="A4709">
            <v>510022006</v>
          </cell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  <cell r="AI4709">
            <v>0</v>
          </cell>
        </row>
        <row r="4710">
          <cell r="A4710">
            <v>510022007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  <cell r="AI4710">
            <v>0</v>
          </cell>
        </row>
        <row r="4711">
          <cell r="A4711">
            <v>510022008</v>
          </cell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  <cell r="AI4711">
            <v>0</v>
          </cell>
        </row>
        <row r="4712">
          <cell r="A4712">
            <v>510022009</v>
          </cell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  <cell r="AI4712">
            <v>0</v>
          </cell>
        </row>
        <row r="4713">
          <cell r="A4713">
            <v>511000000</v>
          </cell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G4713">
            <v>35301826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  <cell r="AI4713">
            <v>0</v>
          </cell>
        </row>
        <row r="4714">
          <cell r="A4714">
            <v>511010000</v>
          </cell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G4714">
            <v>35301826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  <cell r="AI4714">
            <v>0</v>
          </cell>
        </row>
        <row r="4715">
          <cell r="A4715">
            <v>511010100</v>
          </cell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  <cell r="AI4715">
            <v>0</v>
          </cell>
        </row>
        <row r="4716">
          <cell r="A4716">
            <v>511010101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  <cell r="AG4716">
            <v>0</v>
          </cell>
          <cell r="AH4716">
            <v>0</v>
          </cell>
          <cell r="AI4716">
            <v>0</v>
          </cell>
        </row>
        <row r="4717">
          <cell r="A4717">
            <v>511010200</v>
          </cell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  <cell r="AG4717">
            <v>0</v>
          </cell>
          <cell r="AH4717">
            <v>0</v>
          </cell>
          <cell r="AI4717">
            <v>0</v>
          </cell>
        </row>
        <row r="4718">
          <cell r="A4718">
            <v>511010201</v>
          </cell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  <cell r="AI4718">
            <v>0</v>
          </cell>
        </row>
        <row r="4719">
          <cell r="A4719">
            <v>511010300</v>
          </cell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  <cell r="AG4719">
            <v>0</v>
          </cell>
          <cell r="AH4719">
            <v>0</v>
          </cell>
          <cell r="AI4719">
            <v>0</v>
          </cell>
        </row>
        <row r="4720">
          <cell r="A4720">
            <v>511010301</v>
          </cell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  <cell r="AI4720">
            <v>0</v>
          </cell>
        </row>
        <row r="4721">
          <cell r="A4721">
            <v>511010400</v>
          </cell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</row>
        <row r="4722">
          <cell r="A4722">
            <v>511010401</v>
          </cell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  <cell r="AI4722">
            <v>0</v>
          </cell>
        </row>
        <row r="4723">
          <cell r="A4723">
            <v>511010500</v>
          </cell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</row>
        <row r="4724">
          <cell r="A4724">
            <v>511010501</v>
          </cell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</row>
        <row r="4725">
          <cell r="A4725">
            <v>511010600</v>
          </cell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G4725">
            <v>35301826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  <cell r="AI4725">
            <v>0</v>
          </cell>
        </row>
        <row r="4726">
          <cell r="A4726">
            <v>511010601</v>
          </cell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G4726">
            <v>35301826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R4726">
            <v>0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  <cell r="AI4726">
            <v>0</v>
          </cell>
        </row>
        <row r="4727">
          <cell r="A4727">
            <v>511010700</v>
          </cell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  <cell r="AI4727">
            <v>0</v>
          </cell>
        </row>
        <row r="4728">
          <cell r="A4728">
            <v>511010701</v>
          </cell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</row>
        <row r="4729">
          <cell r="A4729">
            <v>511010800</v>
          </cell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</row>
        <row r="4730">
          <cell r="A4730">
            <v>511010801</v>
          </cell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</row>
        <row r="4731">
          <cell r="A4731">
            <v>511010900</v>
          </cell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</row>
        <row r="4732">
          <cell r="A4732">
            <v>511010901</v>
          </cell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  <cell r="AI4732">
            <v>0</v>
          </cell>
        </row>
        <row r="4733">
          <cell r="A4733">
            <v>511011000</v>
          </cell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</row>
        <row r="4734">
          <cell r="A4734">
            <v>511011001</v>
          </cell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R4734">
            <v>0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</row>
        <row r="4735">
          <cell r="A4735">
            <v>511011100</v>
          </cell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  <cell r="AI4735">
            <v>0</v>
          </cell>
        </row>
        <row r="4736">
          <cell r="A4736">
            <v>511011101</v>
          </cell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</row>
        <row r="4737">
          <cell r="A4737">
            <v>511011200</v>
          </cell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  <cell r="AI4737">
            <v>0</v>
          </cell>
        </row>
        <row r="4738">
          <cell r="A4738">
            <v>511011201</v>
          </cell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</row>
        <row r="4739">
          <cell r="A4739">
            <v>511011300</v>
          </cell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</row>
        <row r="4740">
          <cell r="A4740">
            <v>511011301</v>
          </cell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</row>
        <row r="4741">
          <cell r="A4741">
            <v>511012000</v>
          </cell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</row>
        <row r="4742">
          <cell r="A4742">
            <v>511012001</v>
          </cell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</row>
        <row r="4743">
          <cell r="A4743">
            <v>511012002</v>
          </cell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</row>
        <row r="4744">
          <cell r="A4744">
            <v>511012003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</row>
        <row r="4745">
          <cell r="A4745">
            <v>511012004</v>
          </cell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</row>
        <row r="4746">
          <cell r="A4746">
            <v>511012005</v>
          </cell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</row>
        <row r="4747">
          <cell r="A4747">
            <v>511012006</v>
          </cell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</row>
        <row r="4748">
          <cell r="A4748">
            <v>511012007</v>
          </cell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</row>
        <row r="4749">
          <cell r="A4749">
            <v>511012008</v>
          </cell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  <cell r="AG4749">
            <v>0</v>
          </cell>
          <cell r="AH4749">
            <v>0</v>
          </cell>
          <cell r="AI4749">
            <v>0</v>
          </cell>
        </row>
        <row r="4750">
          <cell r="A4750">
            <v>511012009</v>
          </cell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</row>
        <row r="4751">
          <cell r="A4751">
            <v>511020000</v>
          </cell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</row>
        <row r="4752">
          <cell r="A4752">
            <v>511020100</v>
          </cell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  <cell r="AG4752">
            <v>0</v>
          </cell>
          <cell r="AH4752">
            <v>0</v>
          </cell>
          <cell r="AI4752">
            <v>0</v>
          </cell>
        </row>
        <row r="4753">
          <cell r="A4753">
            <v>511020101</v>
          </cell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  <cell r="AG4753">
            <v>0</v>
          </cell>
          <cell r="AH4753">
            <v>0</v>
          </cell>
          <cell r="AI4753">
            <v>0</v>
          </cell>
        </row>
        <row r="4754">
          <cell r="A4754">
            <v>511020200</v>
          </cell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</row>
        <row r="4755">
          <cell r="A4755">
            <v>511020201</v>
          </cell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  <cell r="AG4755">
            <v>0</v>
          </cell>
          <cell r="AH4755">
            <v>0</v>
          </cell>
          <cell r="AI4755">
            <v>0</v>
          </cell>
        </row>
        <row r="4756">
          <cell r="A4756">
            <v>511020300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  <cell r="AG4756">
            <v>0</v>
          </cell>
          <cell r="AH4756">
            <v>0</v>
          </cell>
          <cell r="AI4756">
            <v>0</v>
          </cell>
        </row>
        <row r="4757">
          <cell r="A4757">
            <v>511020301</v>
          </cell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  <cell r="AG4757">
            <v>0</v>
          </cell>
          <cell r="AH4757">
            <v>0</v>
          </cell>
          <cell r="AI4757">
            <v>0</v>
          </cell>
        </row>
        <row r="4758">
          <cell r="A4758">
            <v>511020400</v>
          </cell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  <cell r="AG4758">
            <v>0</v>
          </cell>
          <cell r="AH4758">
            <v>0</v>
          </cell>
          <cell r="AI4758">
            <v>0</v>
          </cell>
        </row>
        <row r="4759">
          <cell r="A4759">
            <v>511020401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  <cell r="AG4759">
            <v>0</v>
          </cell>
          <cell r="AH4759">
            <v>0</v>
          </cell>
          <cell r="AI4759">
            <v>0</v>
          </cell>
        </row>
        <row r="4760">
          <cell r="A4760">
            <v>511020500</v>
          </cell>
          <cell r="C4760">
            <v>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</row>
        <row r="4761">
          <cell r="A4761">
            <v>511020501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</row>
        <row r="4762">
          <cell r="A4762">
            <v>511020600</v>
          </cell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</row>
        <row r="4763">
          <cell r="A4763">
            <v>511020601</v>
          </cell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</row>
        <row r="4764">
          <cell r="A4764">
            <v>511020700</v>
          </cell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  <cell r="AG4764">
            <v>0</v>
          </cell>
          <cell r="AH4764">
            <v>0</v>
          </cell>
          <cell r="AI4764">
            <v>0</v>
          </cell>
        </row>
        <row r="4765">
          <cell r="A4765">
            <v>511020701</v>
          </cell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  <cell r="AG4765">
            <v>0</v>
          </cell>
          <cell r="AH4765">
            <v>0</v>
          </cell>
          <cell r="AI4765">
            <v>0</v>
          </cell>
        </row>
        <row r="4766">
          <cell r="A4766">
            <v>511020800</v>
          </cell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</row>
        <row r="4767">
          <cell r="A4767">
            <v>511020801</v>
          </cell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R4767">
            <v>0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  <cell r="AG4767">
            <v>0</v>
          </cell>
          <cell r="AH4767">
            <v>0</v>
          </cell>
          <cell r="AI4767">
            <v>0</v>
          </cell>
        </row>
        <row r="4768">
          <cell r="A4768">
            <v>511020900</v>
          </cell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</row>
        <row r="4769">
          <cell r="A4769">
            <v>511020901</v>
          </cell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  <cell r="AG4769">
            <v>0</v>
          </cell>
          <cell r="AH4769">
            <v>0</v>
          </cell>
          <cell r="AI4769">
            <v>0</v>
          </cell>
        </row>
        <row r="4770">
          <cell r="A4770">
            <v>511021000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</row>
        <row r="4771">
          <cell r="A4771">
            <v>511021001</v>
          </cell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</row>
        <row r="4772">
          <cell r="A4772">
            <v>511021100</v>
          </cell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  <cell r="AG4772">
            <v>0</v>
          </cell>
          <cell r="AH4772">
            <v>0</v>
          </cell>
          <cell r="AI4772">
            <v>0</v>
          </cell>
        </row>
        <row r="4773">
          <cell r="A4773">
            <v>511021101</v>
          </cell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  <cell r="AG4773">
            <v>0</v>
          </cell>
          <cell r="AH4773">
            <v>0</v>
          </cell>
          <cell r="AI4773">
            <v>0</v>
          </cell>
        </row>
        <row r="4774">
          <cell r="A4774">
            <v>511021200</v>
          </cell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</row>
        <row r="4775">
          <cell r="A4775">
            <v>511021201</v>
          </cell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</row>
        <row r="4776">
          <cell r="A4776">
            <v>511021300</v>
          </cell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  <cell r="AG4776">
            <v>0</v>
          </cell>
          <cell r="AH4776">
            <v>0</v>
          </cell>
          <cell r="AI4776">
            <v>0</v>
          </cell>
        </row>
        <row r="4777">
          <cell r="A4777">
            <v>511021301</v>
          </cell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</row>
        <row r="4778">
          <cell r="A4778">
            <v>511022000</v>
          </cell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  <cell r="AG4778">
            <v>0</v>
          </cell>
          <cell r="AH4778">
            <v>0</v>
          </cell>
          <cell r="AI4778">
            <v>0</v>
          </cell>
        </row>
        <row r="4779">
          <cell r="A4779">
            <v>511022001</v>
          </cell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  <cell r="AG4779">
            <v>0</v>
          </cell>
          <cell r="AH4779">
            <v>0</v>
          </cell>
          <cell r="AI4779">
            <v>0</v>
          </cell>
        </row>
        <row r="4780">
          <cell r="A4780">
            <v>511022002</v>
          </cell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  <cell r="AG4780">
            <v>0</v>
          </cell>
          <cell r="AH4780">
            <v>0</v>
          </cell>
          <cell r="AI4780">
            <v>0</v>
          </cell>
        </row>
        <row r="4781">
          <cell r="A4781">
            <v>511022003</v>
          </cell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  <cell r="AG4781">
            <v>0</v>
          </cell>
          <cell r="AH4781">
            <v>0</v>
          </cell>
          <cell r="AI4781">
            <v>0</v>
          </cell>
        </row>
        <row r="4782">
          <cell r="A4782">
            <v>511022004</v>
          </cell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</row>
        <row r="4783">
          <cell r="A4783">
            <v>511022005</v>
          </cell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R4783">
            <v>0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  <cell r="AG4783">
            <v>0</v>
          </cell>
          <cell r="AH4783">
            <v>0</v>
          </cell>
          <cell r="AI4783">
            <v>0</v>
          </cell>
        </row>
        <row r="4784">
          <cell r="A4784">
            <v>511022006</v>
          </cell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  <cell r="AG4784">
            <v>0</v>
          </cell>
          <cell r="AH4784">
            <v>0</v>
          </cell>
          <cell r="AI4784">
            <v>0</v>
          </cell>
        </row>
        <row r="4785">
          <cell r="A4785">
            <v>511022007</v>
          </cell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  <cell r="AG4785">
            <v>0</v>
          </cell>
          <cell r="AH4785">
            <v>0</v>
          </cell>
          <cell r="AI4785">
            <v>0</v>
          </cell>
        </row>
        <row r="4786">
          <cell r="A4786">
            <v>511022008</v>
          </cell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  <cell r="AG4786">
            <v>0</v>
          </cell>
          <cell r="AH4786">
            <v>0</v>
          </cell>
          <cell r="AI4786">
            <v>0</v>
          </cell>
        </row>
        <row r="4787">
          <cell r="A4787">
            <v>511022009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  <cell r="AG4787">
            <v>0</v>
          </cell>
          <cell r="AH4787">
            <v>0</v>
          </cell>
          <cell r="AI4787">
            <v>0</v>
          </cell>
        </row>
        <row r="4788">
          <cell r="A4788">
            <v>512000000</v>
          </cell>
          <cell r="C4788">
            <v>499233331</v>
          </cell>
          <cell r="D4788">
            <v>2937824243</v>
          </cell>
          <cell r="E4788">
            <v>1380495449</v>
          </cell>
          <cell r="F4788">
            <v>81941107</v>
          </cell>
          <cell r="G4788">
            <v>389249136</v>
          </cell>
          <cell r="H4788">
            <v>2513036646</v>
          </cell>
          <cell r="I4788">
            <v>624752932</v>
          </cell>
          <cell r="J4788">
            <v>206859598</v>
          </cell>
          <cell r="K4788">
            <v>57792890</v>
          </cell>
          <cell r="L4788">
            <v>18483</v>
          </cell>
          <cell r="M4788">
            <v>1044053700</v>
          </cell>
          <cell r="N4788">
            <v>342985309</v>
          </cell>
          <cell r="O4788">
            <v>1255449533</v>
          </cell>
          <cell r="P4788">
            <v>428441056</v>
          </cell>
          <cell r="Q4788">
            <v>944213895</v>
          </cell>
          <cell r="R4788">
            <v>840000000</v>
          </cell>
          <cell r="S4788">
            <v>0</v>
          </cell>
          <cell r="T4788">
            <v>2001995595</v>
          </cell>
          <cell r="U4788">
            <v>0</v>
          </cell>
          <cell r="V4788">
            <v>640716338</v>
          </cell>
          <cell r="W4788">
            <v>1113874241</v>
          </cell>
          <cell r="X4788">
            <v>626814305</v>
          </cell>
          <cell r="Y4788">
            <v>199322170</v>
          </cell>
          <cell r="Z4788">
            <v>472704246</v>
          </cell>
          <cell r="AA4788">
            <v>8173206</v>
          </cell>
          <cell r="AB4788">
            <v>2022213760</v>
          </cell>
          <cell r="AC4788">
            <v>361600000</v>
          </cell>
          <cell r="AD4788">
            <v>0</v>
          </cell>
          <cell r="AE4788">
            <v>0</v>
          </cell>
          <cell r="AF4788">
            <v>1774847437</v>
          </cell>
          <cell r="AG4788">
            <v>344282659</v>
          </cell>
          <cell r="AH4788">
            <v>1390197954</v>
          </cell>
          <cell r="AI4788">
            <v>0</v>
          </cell>
        </row>
        <row r="4789">
          <cell r="A4789">
            <v>512010000</v>
          </cell>
          <cell r="C4789">
            <v>499233331</v>
          </cell>
          <cell r="D4789">
            <v>2937824243</v>
          </cell>
          <cell r="E4789">
            <v>1380495449</v>
          </cell>
          <cell r="F4789">
            <v>81941107</v>
          </cell>
          <cell r="G4789">
            <v>389249136</v>
          </cell>
          <cell r="H4789">
            <v>2513036646</v>
          </cell>
          <cell r="I4789">
            <v>624752932</v>
          </cell>
          <cell r="J4789">
            <v>206859598</v>
          </cell>
          <cell r="K4789">
            <v>57792890</v>
          </cell>
          <cell r="L4789">
            <v>0</v>
          </cell>
          <cell r="M4789">
            <v>1044053700</v>
          </cell>
          <cell r="N4789">
            <v>342985309</v>
          </cell>
          <cell r="O4789">
            <v>1255449533</v>
          </cell>
          <cell r="P4789">
            <v>428441056</v>
          </cell>
          <cell r="Q4789">
            <v>944213895</v>
          </cell>
          <cell r="R4789">
            <v>839999991</v>
          </cell>
          <cell r="S4789">
            <v>0</v>
          </cell>
          <cell r="T4789">
            <v>2001995595</v>
          </cell>
          <cell r="U4789">
            <v>0</v>
          </cell>
          <cell r="V4789">
            <v>640716338</v>
          </cell>
          <cell r="W4789">
            <v>1113874241</v>
          </cell>
          <cell r="X4789">
            <v>626717579</v>
          </cell>
          <cell r="Y4789">
            <v>199322170</v>
          </cell>
          <cell r="Z4789">
            <v>472704246</v>
          </cell>
          <cell r="AA4789">
            <v>8173206</v>
          </cell>
          <cell r="AB4789">
            <v>2022213760</v>
          </cell>
          <cell r="AC4789">
            <v>361600000</v>
          </cell>
          <cell r="AD4789">
            <v>0</v>
          </cell>
          <cell r="AE4789">
            <v>0</v>
          </cell>
          <cell r="AF4789">
            <v>1774847437</v>
          </cell>
          <cell r="AG4789">
            <v>344282659</v>
          </cell>
          <cell r="AH4789">
            <v>1390197954</v>
          </cell>
          <cell r="AI4789">
            <v>0</v>
          </cell>
        </row>
        <row r="4790">
          <cell r="A4790">
            <v>512010100</v>
          </cell>
          <cell r="C4790">
            <v>325000002</v>
          </cell>
          <cell r="D4790">
            <v>1878634436</v>
          </cell>
          <cell r="E4790">
            <v>753072538</v>
          </cell>
          <cell r="F4790">
            <v>6367352</v>
          </cell>
          <cell r="G4790">
            <v>0</v>
          </cell>
          <cell r="H4790">
            <v>1376959938</v>
          </cell>
          <cell r="I4790">
            <v>461065342</v>
          </cell>
          <cell r="J4790">
            <v>192760484</v>
          </cell>
          <cell r="K4790">
            <v>12112784</v>
          </cell>
          <cell r="L4790">
            <v>0</v>
          </cell>
          <cell r="M4790">
            <v>0</v>
          </cell>
          <cell r="N4790">
            <v>191138197</v>
          </cell>
          <cell r="O4790">
            <v>857752133</v>
          </cell>
          <cell r="P4790">
            <v>105337544</v>
          </cell>
          <cell r="Q4790">
            <v>556712130</v>
          </cell>
          <cell r="R4790">
            <v>61687500</v>
          </cell>
          <cell r="S4790">
            <v>0</v>
          </cell>
          <cell r="T4790">
            <v>883204993</v>
          </cell>
          <cell r="U4790">
            <v>0</v>
          </cell>
          <cell r="V4790">
            <v>410521560</v>
          </cell>
          <cell r="W4790">
            <v>568640740</v>
          </cell>
          <cell r="X4790">
            <v>61998168</v>
          </cell>
          <cell r="Y4790">
            <v>50988768</v>
          </cell>
          <cell r="Z4790">
            <v>329750000</v>
          </cell>
          <cell r="AA4790">
            <v>0</v>
          </cell>
          <cell r="AB4790">
            <v>1112813877</v>
          </cell>
          <cell r="AC4790">
            <v>49603420</v>
          </cell>
          <cell r="AD4790">
            <v>0</v>
          </cell>
          <cell r="AE4790">
            <v>0</v>
          </cell>
          <cell r="AF4790">
            <v>746297574</v>
          </cell>
          <cell r="AG4790">
            <v>325925227</v>
          </cell>
          <cell r="AH4790">
            <v>596266666</v>
          </cell>
          <cell r="AI4790">
            <v>0</v>
          </cell>
        </row>
        <row r="4791">
          <cell r="A4791">
            <v>512010101</v>
          </cell>
          <cell r="C4791">
            <v>325000002</v>
          </cell>
          <cell r="D4791">
            <v>1878634436</v>
          </cell>
          <cell r="E4791">
            <v>753072538</v>
          </cell>
          <cell r="F4791">
            <v>6367352</v>
          </cell>
          <cell r="G4791">
            <v>0</v>
          </cell>
          <cell r="H4791">
            <v>1376959938</v>
          </cell>
          <cell r="I4791">
            <v>461065342</v>
          </cell>
          <cell r="J4791">
            <v>192760484</v>
          </cell>
          <cell r="K4791">
            <v>12112784</v>
          </cell>
          <cell r="L4791">
            <v>0</v>
          </cell>
          <cell r="M4791">
            <v>0</v>
          </cell>
          <cell r="N4791">
            <v>191138197</v>
          </cell>
          <cell r="O4791">
            <v>857752133</v>
          </cell>
          <cell r="P4791">
            <v>105337544</v>
          </cell>
          <cell r="Q4791">
            <v>556712130</v>
          </cell>
          <cell r="R4791">
            <v>61687500</v>
          </cell>
          <cell r="S4791">
            <v>0</v>
          </cell>
          <cell r="T4791">
            <v>883204993</v>
          </cell>
          <cell r="U4791">
            <v>0</v>
          </cell>
          <cell r="V4791">
            <v>410521560</v>
          </cell>
          <cell r="W4791">
            <v>568640740</v>
          </cell>
          <cell r="X4791">
            <v>61998168</v>
          </cell>
          <cell r="Y4791">
            <v>50988768</v>
          </cell>
          <cell r="Z4791">
            <v>329750000</v>
          </cell>
          <cell r="AA4791">
            <v>0</v>
          </cell>
          <cell r="AB4791">
            <v>1112813877</v>
          </cell>
          <cell r="AC4791">
            <v>49603420</v>
          </cell>
          <cell r="AD4791">
            <v>0</v>
          </cell>
          <cell r="AE4791">
            <v>0</v>
          </cell>
          <cell r="AF4791">
            <v>746297574</v>
          </cell>
          <cell r="AG4791">
            <v>325925227</v>
          </cell>
          <cell r="AH4791">
            <v>596266666</v>
          </cell>
          <cell r="AI4791">
            <v>0</v>
          </cell>
        </row>
        <row r="4792">
          <cell r="A4792">
            <v>512010200</v>
          </cell>
          <cell r="C4792">
            <v>0</v>
          </cell>
          <cell r="D4792">
            <v>0</v>
          </cell>
          <cell r="E4792">
            <v>83361448</v>
          </cell>
          <cell r="F4792">
            <v>6367352</v>
          </cell>
          <cell r="G4792">
            <v>46256000</v>
          </cell>
          <cell r="H4792">
            <v>189776604</v>
          </cell>
          <cell r="I4792">
            <v>4225895</v>
          </cell>
          <cell r="J4792">
            <v>0</v>
          </cell>
          <cell r="K4792">
            <v>207150</v>
          </cell>
          <cell r="L4792">
            <v>0</v>
          </cell>
          <cell r="M4792">
            <v>0</v>
          </cell>
          <cell r="N4792">
            <v>17459069</v>
          </cell>
          <cell r="O4792">
            <v>23406433</v>
          </cell>
          <cell r="P4792">
            <v>106450257</v>
          </cell>
          <cell r="Q4792">
            <v>322341430</v>
          </cell>
          <cell r="R4792">
            <v>44552086</v>
          </cell>
          <cell r="S4792">
            <v>0</v>
          </cell>
          <cell r="T4792">
            <v>531184168</v>
          </cell>
          <cell r="U4792">
            <v>0</v>
          </cell>
          <cell r="V4792">
            <v>0</v>
          </cell>
          <cell r="W4792">
            <v>18313460</v>
          </cell>
          <cell r="X4792">
            <v>57044015</v>
          </cell>
          <cell r="Y4792">
            <v>14321356</v>
          </cell>
          <cell r="Z4792">
            <v>0</v>
          </cell>
          <cell r="AA4792">
            <v>0</v>
          </cell>
          <cell r="AB4792">
            <v>147464822</v>
          </cell>
          <cell r="AC4792">
            <v>11654316</v>
          </cell>
          <cell r="AD4792">
            <v>0</v>
          </cell>
          <cell r="AE4792">
            <v>0</v>
          </cell>
          <cell r="AF4792">
            <v>0</v>
          </cell>
          <cell r="AG4792">
            <v>0</v>
          </cell>
          <cell r="AH4792">
            <v>0</v>
          </cell>
          <cell r="AI4792">
            <v>0</v>
          </cell>
        </row>
        <row r="4793">
          <cell r="A4793">
            <v>512010201</v>
          </cell>
          <cell r="C4793">
            <v>0</v>
          </cell>
          <cell r="D4793">
            <v>0</v>
          </cell>
          <cell r="E4793">
            <v>83361448</v>
          </cell>
          <cell r="F4793">
            <v>6367352</v>
          </cell>
          <cell r="G4793">
            <v>46256000</v>
          </cell>
          <cell r="H4793">
            <v>189776604</v>
          </cell>
          <cell r="I4793">
            <v>4225895</v>
          </cell>
          <cell r="J4793">
            <v>0</v>
          </cell>
          <cell r="K4793">
            <v>207150</v>
          </cell>
          <cell r="L4793">
            <v>0</v>
          </cell>
          <cell r="M4793">
            <v>0</v>
          </cell>
          <cell r="N4793">
            <v>17459069</v>
          </cell>
          <cell r="O4793">
            <v>23406433</v>
          </cell>
          <cell r="P4793">
            <v>106450257</v>
          </cell>
          <cell r="Q4793">
            <v>322341430</v>
          </cell>
          <cell r="R4793">
            <v>44552086</v>
          </cell>
          <cell r="S4793">
            <v>0</v>
          </cell>
          <cell r="T4793">
            <v>531184168</v>
          </cell>
          <cell r="U4793">
            <v>0</v>
          </cell>
          <cell r="V4793">
            <v>0</v>
          </cell>
          <cell r="W4793">
            <v>18313460</v>
          </cell>
          <cell r="X4793">
            <v>57044015</v>
          </cell>
          <cell r="Y4793">
            <v>14321356</v>
          </cell>
          <cell r="Z4793">
            <v>0</v>
          </cell>
          <cell r="AA4793">
            <v>0</v>
          </cell>
          <cell r="AB4793">
            <v>147464822</v>
          </cell>
          <cell r="AC4793">
            <v>11654316</v>
          </cell>
          <cell r="AD4793">
            <v>0</v>
          </cell>
          <cell r="AE4793">
            <v>0</v>
          </cell>
          <cell r="AF4793">
            <v>0</v>
          </cell>
          <cell r="AG4793">
            <v>0</v>
          </cell>
          <cell r="AH4793">
            <v>0</v>
          </cell>
          <cell r="AI4793">
            <v>0</v>
          </cell>
        </row>
        <row r="4794">
          <cell r="A4794">
            <v>512010300</v>
          </cell>
          <cell r="C4794">
            <v>0</v>
          </cell>
          <cell r="D4794">
            <v>0</v>
          </cell>
          <cell r="E4794">
            <v>30076703</v>
          </cell>
          <cell r="F4794">
            <v>6367352</v>
          </cell>
          <cell r="G4794">
            <v>0</v>
          </cell>
          <cell r="H4794">
            <v>21887688</v>
          </cell>
          <cell r="I4794">
            <v>2822665</v>
          </cell>
          <cell r="J4794">
            <v>0</v>
          </cell>
          <cell r="K4794">
            <v>183787</v>
          </cell>
          <cell r="L4794">
            <v>0</v>
          </cell>
          <cell r="M4794">
            <v>0</v>
          </cell>
          <cell r="N4794">
            <v>2197583</v>
          </cell>
          <cell r="O4794">
            <v>3708142</v>
          </cell>
          <cell r="P4794">
            <v>13358612</v>
          </cell>
          <cell r="Q4794">
            <v>0</v>
          </cell>
          <cell r="R4794">
            <v>50035414</v>
          </cell>
          <cell r="S4794">
            <v>0</v>
          </cell>
          <cell r="T4794">
            <v>72352597</v>
          </cell>
          <cell r="U4794">
            <v>0</v>
          </cell>
          <cell r="V4794">
            <v>0</v>
          </cell>
          <cell r="W4794">
            <v>6463574</v>
          </cell>
          <cell r="X4794">
            <v>7000442</v>
          </cell>
          <cell r="Y4794">
            <v>3193216</v>
          </cell>
          <cell r="Z4794">
            <v>0</v>
          </cell>
          <cell r="AA4794">
            <v>0</v>
          </cell>
          <cell r="AB4794">
            <v>33839000</v>
          </cell>
          <cell r="AC4794">
            <v>4689105</v>
          </cell>
          <cell r="AD4794">
            <v>0</v>
          </cell>
          <cell r="AE4794">
            <v>0</v>
          </cell>
          <cell r="AF4794">
            <v>0</v>
          </cell>
          <cell r="AG4794">
            <v>0</v>
          </cell>
          <cell r="AH4794">
            <v>0</v>
          </cell>
          <cell r="AI4794">
            <v>0</v>
          </cell>
        </row>
        <row r="4795">
          <cell r="A4795">
            <v>512010301</v>
          </cell>
          <cell r="C4795">
            <v>0</v>
          </cell>
          <cell r="D4795">
            <v>0</v>
          </cell>
          <cell r="E4795">
            <v>30076703</v>
          </cell>
          <cell r="F4795">
            <v>6367352</v>
          </cell>
          <cell r="G4795">
            <v>0</v>
          </cell>
          <cell r="H4795">
            <v>21887688</v>
          </cell>
          <cell r="I4795">
            <v>2822665</v>
          </cell>
          <cell r="J4795">
            <v>0</v>
          </cell>
          <cell r="K4795">
            <v>183787</v>
          </cell>
          <cell r="L4795">
            <v>0</v>
          </cell>
          <cell r="M4795">
            <v>0</v>
          </cell>
          <cell r="N4795">
            <v>2197583</v>
          </cell>
          <cell r="O4795">
            <v>3708142</v>
          </cell>
          <cell r="P4795">
            <v>13358612</v>
          </cell>
          <cell r="Q4795">
            <v>0</v>
          </cell>
          <cell r="R4795">
            <v>50035414</v>
          </cell>
          <cell r="S4795">
            <v>0</v>
          </cell>
          <cell r="T4795">
            <v>72352597</v>
          </cell>
          <cell r="U4795">
            <v>0</v>
          </cell>
          <cell r="V4795">
            <v>0</v>
          </cell>
          <cell r="W4795">
            <v>6463574</v>
          </cell>
          <cell r="X4795">
            <v>7000442</v>
          </cell>
          <cell r="Y4795">
            <v>3193216</v>
          </cell>
          <cell r="Z4795">
            <v>0</v>
          </cell>
          <cell r="AA4795">
            <v>0</v>
          </cell>
          <cell r="AB4795">
            <v>33839000</v>
          </cell>
          <cell r="AC4795">
            <v>4689105</v>
          </cell>
          <cell r="AD4795">
            <v>0</v>
          </cell>
          <cell r="AE4795">
            <v>0</v>
          </cell>
          <cell r="AF4795">
            <v>0</v>
          </cell>
          <cell r="AG4795">
            <v>0</v>
          </cell>
          <cell r="AH4795">
            <v>0</v>
          </cell>
          <cell r="AI4795">
            <v>0</v>
          </cell>
        </row>
        <row r="4796">
          <cell r="A4796">
            <v>512010400</v>
          </cell>
          <cell r="C4796">
            <v>174233329</v>
          </cell>
          <cell r="D4796">
            <v>419929819</v>
          </cell>
          <cell r="E4796">
            <v>149493514</v>
          </cell>
          <cell r="F4796">
            <v>18267587</v>
          </cell>
          <cell r="G4796">
            <v>241369108</v>
          </cell>
          <cell r="H4796">
            <v>49500000</v>
          </cell>
          <cell r="I4796">
            <v>129379521</v>
          </cell>
          <cell r="J4796">
            <v>14099114</v>
          </cell>
          <cell r="K4796">
            <v>5992490</v>
          </cell>
          <cell r="L4796">
            <v>0</v>
          </cell>
          <cell r="M4796">
            <v>32635043</v>
          </cell>
          <cell r="N4796">
            <v>50212050</v>
          </cell>
          <cell r="O4796">
            <v>22121829</v>
          </cell>
          <cell r="P4796">
            <v>98691056</v>
          </cell>
          <cell r="Q4796">
            <v>65160335</v>
          </cell>
          <cell r="R4796">
            <v>143999998</v>
          </cell>
          <cell r="S4796">
            <v>0</v>
          </cell>
          <cell r="T4796">
            <v>184090000</v>
          </cell>
          <cell r="U4796">
            <v>0</v>
          </cell>
          <cell r="V4796">
            <v>35599778</v>
          </cell>
          <cell r="W4796">
            <v>323871326</v>
          </cell>
          <cell r="X4796">
            <v>296967580</v>
          </cell>
          <cell r="Y4796">
            <v>7622170</v>
          </cell>
          <cell r="Z4796">
            <v>142954246</v>
          </cell>
          <cell r="AA4796">
            <v>8173206</v>
          </cell>
          <cell r="AB4796">
            <v>373873776</v>
          </cell>
          <cell r="AC4796">
            <v>66600000</v>
          </cell>
          <cell r="AD4796">
            <v>0</v>
          </cell>
          <cell r="AE4796">
            <v>0</v>
          </cell>
          <cell r="AF4796">
            <v>347839837</v>
          </cell>
          <cell r="AG4796">
            <v>18357432</v>
          </cell>
          <cell r="AH4796">
            <v>228451030</v>
          </cell>
          <cell r="AI4796">
            <v>0</v>
          </cell>
        </row>
        <row r="4797">
          <cell r="A4797">
            <v>512010401</v>
          </cell>
          <cell r="C4797">
            <v>174233329</v>
          </cell>
          <cell r="D4797">
            <v>419929819</v>
          </cell>
          <cell r="E4797">
            <v>149493514</v>
          </cell>
          <cell r="F4797">
            <v>18267587</v>
          </cell>
          <cell r="G4797">
            <v>241369108</v>
          </cell>
          <cell r="H4797">
            <v>49500000</v>
          </cell>
          <cell r="I4797">
            <v>129379521</v>
          </cell>
          <cell r="J4797">
            <v>14099114</v>
          </cell>
          <cell r="K4797">
            <v>5992490</v>
          </cell>
          <cell r="L4797">
            <v>0</v>
          </cell>
          <cell r="M4797">
            <v>32635043</v>
          </cell>
          <cell r="N4797">
            <v>50212050</v>
          </cell>
          <cell r="O4797">
            <v>22121829</v>
          </cell>
          <cell r="P4797">
            <v>98691056</v>
          </cell>
          <cell r="Q4797">
            <v>65160335</v>
          </cell>
          <cell r="R4797">
            <v>143999998</v>
          </cell>
          <cell r="S4797">
            <v>0</v>
          </cell>
          <cell r="T4797">
            <v>184090000</v>
          </cell>
          <cell r="U4797">
            <v>0</v>
          </cell>
          <cell r="V4797">
            <v>35599778</v>
          </cell>
          <cell r="W4797">
            <v>323871326</v>
          </cell>
          <cell r="X4797">
            <v>296967580</v>
          </cell>
          <cell r="Y4797">
            <v>7622170</v>
          </cell>
          <cell r="Z4797">
            <v>142954246</v>
          </cell>
          <cell r="AA4797">
            <v>8173206</v>
          </cell>
          <cell r="AB4797">
            <v>373873776</v>
          </cell>
          <cell r="AC4797">
            <v>66600000</v>
          </cell>
          <cell r="AD4797">
            <v>0</v>
          </cell>
          <cell r="AE4797">
            <v>0</v>
          </cell>
          <cell r="AF4797">
            <v>347839837</v>
          </cell>
          <cell r="AG4797">
            <v>18357432</v>
          </cell>
          <cell r="AH4797">
            <v>228451030</v>
          </cell>
          <cell r="AI4797">
            <v>0</v>
          </cell>
        </row>
        <row r="4798">
          <cell r="A4798">
            <v>512010500</v>
          </cell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G4798">
            <v>94936688</v>
          </cell>
          <cell r="H4798">
            <v>0</v>
          </cell>
          <cell r="I4798">
            <v>0</v>
          </cell>
          <cell r="J4798">
            <v>0</v>
          </cell>
          <cell r="K4798">
            <v>12008581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  <cell r="AG4798">
            <v>0</v>
          </cell>
          <cell r="AH4798">
            <v>0</v>
          </cell>
          <cell r="AI4798">
            <v>0</v>
          </cell>
        </row>
        <row r="4799">
          <cell r="A4799">
            <v>512010501</v>
          </cell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G4799">
            <v>94936688</v>
          </cell>
          <cell r="H4799">
            <v>0</v>
          </cell>
          <cell r="I4799">
            <v>0</v>
          </cell>
          <cell r="J4799">
            <v>0</v>
          </cell>
          <cell r="K4799">
            <v>12008581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0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  <cell r="AG4799">
            <v>0</v>
          </cell>
          <cell r="AH4799">
            <v>0</v>
          </cell>
          <cell r="AI4799">
            <v>0</v>
          </cell>
        </row>
        <row r="4800">
          <cell r="A4800">
            <v>512010600</v>
          </cell>
          <cell r="C4800">
            <v>0</v>
          </cell>
          <cell r="D4800">
            <v>10396765</v>
          </cell>
          <cell r="E4800">
            <v>97123232</v>
          </cell>
          <cell r="F4800">
            <v>6367352</v>
          </cell>
          <cell r="G4800">
            <v>0</v>
          </cell>
          <cell r="H4800">
            <v>79662948</v>
          </cell>
          <cell r="I4800">
            <v>5208685</v>
          </cell>
          <cell r="J4800">
            <v>0</v>
          </cell>
          <cell r="K4800">
            <v>2264765</v>
          </cell>
          <cell r="L4800">
            <v>0</v>
          </cell>
          <cell r="M4800">
            <v>0</v>
          </cell>
          <cell r="N4800">
            <v>17561000</v>
          </cell>
          <cell r="O4800">
            <v>19157144</v>
          </cell>
          <cell r="P4800">
            <v>72199007</v>
          </cell>
          <cell r="Q4800">
            <v>0</v>
          </cell>
          <cell r="R4800">
            <v>61687500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91567298</v>
          </cell>
          <cell r="X4800">
            <v>50786512</v>
          </cell>
          <cell r="Y4800">
            <v>9381420</v>
          </cell>
          <cell r="Z4800">
            <v>0</v>
          </cell>
          <cell r="AA4800">
            <v>0</v>
          </cell>
          <cell r="AB4800">
            <v>82095751</v>
          </cell>
          <cell r="AC4800">
            <v>15797368</v>
          </cell>
          <cell r="AD4800">
            <v>0</v>
          </cell>
          <cell r="AE4800">
            <v>0</v>
          </cell>
          <cell r="AF4800">
            <v>0</v>
          </cell>
          <cell r="AG4800">
            <v>0</v>
          </cell>
          <cell r="AH4800">
            <v>520103592</v>
          </cell>
          <cell r="AI4800">
            <v>0</v>
          </cell>
        </row>
        <row r="4801">
          <cell r="A4801">
            <v>512010601</v>
          </cell>
          <cell r="C4801">
            <v>0</v>
          </cell>
          <cell r="D4801">
            <v>10396765</v>
          </cell>
          <cell r="E4801">
            <v>97123232</v>
          </cell>
          <cell r="F4801">
            <v>6367352</v>
          </cell>
          <cell r="G4801">
            <v>0</v>
          </cell>
          <cell r="H4801">
            <v>79662948</v>
          </cell>
          <cell r="I4801">
            <v>5208685</v>
          </cell>
          <cell r="J4801">
            <v>0</v>
          </cell>
          <cell r="K4801">
            <v>2264765</v>
          </cell>
          <cell r="L4801">
            <v>0</v>
          </cell>
          <cell r="M4801">
            <v>0</v>
          </cell>
          <cell r="N4801">
            <v>17561000</v>
          </cell>
          <cell r="O4801">
            <v>19157144</v>
          </cell>
          <cell r="P4801">
            <v>72199007</v>
          </cell>
          <cell r="Q4801">
            <v>0</v>
          </cell>
          <cell r="R4801">
            <v>61687500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91567298</v>
          </cell>
          <cell r="X4801">
            <v>50786512</v>
          </cell>
          <cell r="Y4801">
            <v>9381420</v>
          </cell>
          <cell r="Z4801">
            <v>0</v>
          </cell>
          <cell r="AA4801">
            <v>0</v>
          </cell>
          <cell r="AB4801">
            <v>82095751</v>
          </cell>
          <cell r="AC4801">
            <v>15797368</v>
          </cell>
          <cell r="AD4801">
            <v>0</v>
          </cell>
          <cell r="AE4801">
            <v>0</v>
          </cell>
          <cell r="AF4801">
            <v>0</v>
          </cell>
          <cell r="AG4801">
            <v>0</v>
          </cell>
          <cell r="AH4801">
            <v>520103592</v>
          </cell>
          <cell r="AI4801">
            <v>0</v>
          </cell>
        </row>
        <row r="4802">
          <cell r="A4802">
            <v>512010700</v>
          </cell>
          <cell r="C4802">
            <v>0</v>
          </cell>
          <cell r="D4802">
            <v>0</v>
          </cell>
          <cell r="E4802">
            <v>0</v>
          </cell>
          <cell r="F4802">
            <v>6367352</v>
          </cell>
          <cell r="G4802">
            <v>0</v>
          </cell>
          <cell r="H4802">
            <v>16784808</v>
          </cell>
          <cell r="I4802">
            <v>2925916</v>
          </cell>
          <cell r="J4802">
            <v>0</v>
          </cell>
          <cell r="K4802">
            <v>46316</v>
          </cell>
          <cell r="L4802">
            <v>0</v>
          </cell>
          <cell r="M4802">
            <v>0</v>
          </cell>
          <cell r="N4802">
            <v>630229</v>
          </cell>
          <cell r="O4802">
            <v>633773</v>
          </cell>
          <cell r="P4802">
            <v>2252669</v>
          </cell>
          <cell r="Q4802">
            <v>0</v>
          </cell>
          <cell r="R4802">
            <v>2056250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2281641</v>
          </cell>
          <cell r="Y4802">
            <v>59828</v>
          </cell>
          <cell r="Z4802">
            <v>0</v>
          </cell>
          <cell r="AA4802">
            <v>0</v>
          </cell>
          <cell r="AB4802">
            <v>46655206</v>
          </cell>
          <cell r="AC4802">
            <v>1512085</v>
          </cell>
          <cell r="AD4802">
            <v>0</v>
          </cell>
          <cell r="AE4802">
            <v>0</v>
          </cell>
          <cell r="AF4802">
            <v>0</v>
          </cell>
          <cell r="AG4802">
            <v>0</v>
          </cell>
          <cell r="AH4802">
            <v>0</v>
          </cell>
          <cell r="AI4802">
            <v>0</v>
          </cell>
        </row>
        <row r="4803">
          <cell r="A4803">
            <v>512010701</v>
          </cell>
          <cell r="C4803">
            <v>0</v>
          </cell>
          <cell r="D4803">
            <v>0</v>
          </cell>
          <cell r="E4803">
            <v>0</v>
          </cell>
          <cell r="F4803">
            <v>6367352</v>
          </cell>
          <cell r="G4803">
            <v>0</v>
          </cell>
          <cell r="H4803">
            <v>16784808</v>
          </cell>
          <cell r="I4803">
            <v>2925916</v>
          </cell>
          <cell r="J4803">
            <v>0</v>
          </cell>
          <cell r="K4803">
            <v>46316</v>
          </cell>
          <cell r="L4803">
            <v>0</v>
          </cell>
          <cell r="M4803">
            <v>0</v>
          </cell>
          <cell r="N4803">
            <v>630229</v>
          </cell>
          <cell r="O4803">
            <v>633773</v>
          </cell>
          <cell r="P4803">
            <v>2252669</v>
          </cell>
          <cell r="Q4803">
            <v>0</v>
          </cell>
          <cell r="R4803">
            <v>2056250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2281641</v>
          </cell>
          <cell r="Y4803">
            <v>59828</v>
          </cell>
          <cell r="Z4803">
            <v>0</v>
          </cell>
          <cell r="AA4803">
            <v>0</v>
          </cell>
          <cell r="AB4803">
            <v>46655206</v>
          </cell>
          <cell r="AC4803">
            <v>1512085</v>
          </cell>
          <cell r="AD4803">
            <v>0</v>
          </cell>
          <cell r="AE4803">
            <v>0</v>
          </cell>
          <cell r="AF4803">
            <v>0</v>
          </cell>
          <cell r="AG4803">
            <v>0</v>
          </cell>
          <cell r="AH4803">
            <v>0</v>
          </cell>
          <cell r="AI4803">
            <v>0</v>
          </cell>
        </row>
        <row r="4804">
          <cell r="A4804">
            <v>512010800</v>
          </cell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1011418657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R4804">
            <v>0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0</v>
          </cell>
          <cell r="AG4804">
            <v>0</v>
          </cell>
          <cell r="AH4804">
            <v>0</v>
          </cell>
          <cell r="AI4804">
            <v>0</v>
          </cell>
        </row>
        <row r="4805">
          <cell r="A4805">
            <v>512010801</v>
          </cell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1011418657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</row>
        <row r="4806">
          <cell r="A4806">
            <v>512010900</v>
          </cell>
          <cell r="C4806">
            <v>0</v>
          </cell>
          <cell r="D4806">
            <v>607863223</v>
          </cell>
          <cell r="E4806">
            <v>11721294</v>
          </cell>
          <cell r="F4806">
            <v>6367352</v>
          </cell>
          <cell r="G4806">
            <v>0</v>
          </cell>
          <cell r="H4806">
            <v>111261708</v>
          </cell>
          <cell r="I4806">
            <v>2636250</v>
          </cell>
          <cell r="J4806">
            <v>0</v>
          </cell>
          <cell r="K4806">
            <v>873044</v>
          </cell>
          <cell r="L4806">
            <v>0</v>
          </cell>
          <cell r="M4806">
            <v>0</v>
          </cell>
          <cell r="N4806">
            <v>21552590</v>
          </cell>
          <cell r="O4806">
            <v>17816943</v>
          </cell>
          <cell r="P4806">
            <v>0</v>
          </cell>
          <cell r="Q4806">
            <v>0</v>
          </cell>
          <cell r="R4806">
            <v>92370833</v>
          </cell>
          <cell r="S4806">
            <v>0</v>
          </cell>
          <cell r="T4806">
            <v>531184168</v>
          </cell>
          <cell r="U4806">
            <v>0</v>
          </cell>
          <cell r="V4806">
            <v>0</v>
          </cell>
          <cell r="W4806">
            <v>48476805</v>
          </cell>
          <cell r="X4806">
            <v>8995971</v>
          </cell>
          <cell r="Y4806">
            <v>690360</v>
          </cell>
          <cell r="Z4806">
            <v>0</v>
          </cell>
          <cell r="AA4806">
            <v>0</v>
          </cell>
          <cell r="AB4806">
            <v>14686519</v>
          </cell>
          <cell r="AC4806">
            <v>2072486</v>
          </cell>
          <cell r="AD4806">
            <v>0</v>
          </cell>
          <cell r="AE4806">
            <v>0</v>
          </cell>
          <cell r="AF4806">
            <v>401029198</v>
          </cell>
          <cell r="AG4806">
            <v>0</v>
          </cell>
          <cell r="AH4806">
            <v>0</v>
          </cell>
          <cell r="AI4806">
            <v>0</v>
          </cell>
        </row>
        <row r="4807">
          <cell r="A4807">
            <v>512010901</v>
          </cell>
          <cell r="C4807">
            <v>0</v>
          </cell>
          <cell r="D4807">
            <v>607863223</v>
          </cell>
          <cell r="E4807">
            <v>11721294</v>
          </cell>
          <cell r="F4807">
            <v>6367352</v>
          </cell>
          <cell r="G4807">
            <v>0</v>
          </cell>
          <cell r="H4807">
            <v>111261708</v>
          </cell>
          <cell r="I4807">
            <v>2636250</v>
          </cell>
          <cell r="J4807">
            <v>0</v>
          </cell>
          <cell r="K4807">
            <v>873044</v>
          </cell>
          <cell r="L4807">
            <v>0</v>
          </cell>
          <cell r="M4807">
            <v>0</v>
          </cell>
          <cell r="N4807">
            <v>21552590</v>
          </cell>
          <cell r="O4807">
            <v>17816943</v>
          </cell>
          <cell r="P4807">
            <v>0</v>
          </cell>
          <cell r="Q4807">
            <v>0</v>
          </cell>
          <cell r="R4807">
            <v>92370833</v>
          </cell>
          <cell r="S4807">
            <v>0</v>
          </cell>
          <cell r="T4807">
            <v>531184168</v>
          </cell>
          <cell r="U4807">
            <v>0</v>
          </cell>
          <cell r="V4807">
            <v>0</v>
          </cell>
          <cell r="W4807">
            <v>48476805</v>
          </cell>
          <cell r="X4807">
            <v>8995971</v>
          </cell>
          <cell r="Y4807">
            <v>690360</v>
          </cell>
          <cell r="Z4807">
            <v>0</v>
          </cell>
          <cell r="AA4807">
            <v>0</v>
          </cell>
          <cell r="AB4807">
            <v>14686519</v>
          </cell>
          <cell r="AC4807">
            <v>2072486</v>
          </cell>
          <cell r="AD4807">
            <v>0</v>
          </cell>
          <cell r="AE4807">
            <v>0</v>
          </cell>
          <cell r="AF4807">
            <v>401029198</v>
          </cell>
          <cell r="AG4807">
            <v>0</v>
          </cell>
          <cell r="AH4807">
            <v>0</v>
          </cell>
          <cell r="AI4807">
            <v>0</v>
          </cell>
        </row>
        <row r="4808">
          <cell r="A4808">
            <v>512011000</v>
          </cell>
          <cell r="C4808">
            <v>0</v>
          </cell>
          <cell r="D4808">
            <v>0</v>
          </cell>
          <cell r="E4808">
            <v>162549410</v>
          </cell>
          <cell r="F4808">
            <v>6367352</v>
          </cell>
          <cell r="G4808">
            <v>6687340</v>
          </cell>
          <cell r="H4808">
            <v>51180072</v>
          </cell>
          <cell r="I4808">
            <v>3655332</v>
          </cell>
          <cell r="J4808">
            <v>0</v>
          </cell>
          <cell r="K4808">
            <v>23029482</v>
          </cell>
          <cell r="L4808">
            <v>0</v>
          </cell>
          <cell r="M4808">
            <v>0</v>
          </cell>
          <cell r="N4808">
            <v>1855267</v>
          </cell>
          <cell r="O4808">
            <v>10222182</v>
          </cell>
          <cell r="P4808">
            <v>7054876</v>
          </cell>
          <cell r="Q4808">
            <v>0</v>
          </cell>
          <cell r="R4808">
            <v>61687500</v>
          </cell>
          <cell r="S4808">
            <v>0</v>
          </cell>
          <cell r="T4808">
            <v>44814607</v>
          </cell>
          <cell r="U4808">
            <v>0</v>
          </cell>
          <cell r="V4808">
            <v>194595000</v>
          </cell>
          <cell r="W4808">
            <v>0</v>
          </cell>
          <cell r="X4808">
            <v>7246681</v>
          </cell>
          <cell r="Y4808">
            <v>76932796</v>
          </cell>
          <cell r="Z4808">
            <v>0</v>
          </cell>
          <cell r="AA4808">
            <v>0</v>
          </cell>
          <cell r="AB4808">
            <v>35782222</v>
          </cell>
          <cell r="AC4808">
            <v>5909229</v>
          </cell>
          <cell r="AD4808">
            <v>0</v>
          </cell>
          <cell r="AE4808">
            <v>0</v>
          </cell>
          <cell r="AF4808">
            <v>0</v>
          </cell>
          <cell r="AG4808">
            <v>0</v>
          </cell>
          <cell r="AH4808">
            <v>0</v>
          </cell>
          <cell r="AI4808">
            <v>0</v>
          </cell>
        </row>
        <row r="4809">
          <cell r="A4809">
            <v>512011001</v>
          </cell>
          <cell r="C4809">
            <v>0</v>
          </cell>
          <cell r="D4809">
            <v>0</v>
          </cell>
          <cell r="E4809">
            <v>162549410</v>
          </cell>
          <cell r="F4809">
            <v>6367352</v>
          </cell>
          <cell r="G4809">
            <v>6687340</v>
          </cell>
          <cell r="H4809">
            <v>51180072</v>
          </cell>
          <cell r="I4809">
            <v>3655332</v>
          </cell>
          <cell r="J4809">
            <v>0</v>
          </cell>
          <cell r="K4809">
            <v>23029482</v>
          </cell>
          <cell r="L4809">
            <v>0</v>
          </cell>
          <cell r="M4809">
            <v>0</v>
          </cell>
          <cell r="N4809">
            <v>1855267</v>
          </cell>
          <cell r="O4809">
            <v>10222182</v>
          </cell>
          <cell r="P4809">
            <v>7054876</v>
          </cell>
          <cell r="Q4809">
            <v>0</v>
          </cell>
          <cell r="R4809">
            <v>61687500</v>
          </cell>
          <cell r="S4809">
            <v>0</v>
          </cell>
          <cell r="T4809">
            <v>44814607</v>
          </cell>
          <cell r="U4809">
            <v>0</v>
          </cell>
          <cell r="V4809">
            <v>194595000</v>
          </cell>
          <cell r="W4809">
            <v>0</v>
          </cell>
          <cell r="X4809">
            <v>7246681</v>
          </cell>
          <cell r="Y4809">
            <v>76932796</v>
          </cell>
          <cell r="Z4809">
            <v>0</v>
          </cell>
          <cell r="AA4809">
            <v>0</v>
          </cell>
          <cell r="AB4809">
            <v>35782222</v>
          </cell>
          <cell r="AC4809">
            <v>5909229</v>
          </cell>
          <cell r="AD4809">
            <v>0</v>
          </cell>
          <cell r="AE4809">
            <v>0</v>
          </cell>
          <cell r="AF4809">
            <v>0</v>
          </cell>
          <cell r="AG4809">
            <v>0</v>
          </cell>
          <cell r="AH4809">
            <v>0</v>
          </cell>
          <cell r="AI4809">
            <v>0</v>
          </cell>
        </row>
        <row r="4810">
          <cell r="A4810">
            <v>512011100</v>
          </cell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10784304</v>
          </cell>
          <cell r="I4810">
            <v>2694757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1922498</v>
          </cell>
          <cell r="Q4810">
            <v>0</v>
          </cell>
          <cell r="R4810">
            <v>4797913</v>
          </cell>
          <cell r="S4810">
            <v>0</v>
          </cell>
          <cell r="T4810">
            <v>-340640189</v>
          </cell>
          <cell r="U4810">
            <v>0</v>
          </cell>
          <cell r="V4810">
            <v>0</v>
          </cell>
          <cell r="W4810">
            <v>5386312</v>
          </cell>
          <cell r="X4810">
            <v>4973776</v>
          </cell>
          <cell r="Y4810">
            <v>0</v>
          </cell>
          <cell r="Z4810">
            <v>0</v>
          </cell>
          <cell r="AA4810">
            <v>0</v>
          </cell>
          <cell r="AB4810">
            <v>13747381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  <cell r="AG4810">
            <v>0</v>
          </cell>
          <cell r="AH4810">
            <v>0</v>
          </cell>
          <cell r="AI4810">
            <v>0</v>
          </cell>
        </row>
        <row r="4811">
          <cell r="A4811">
            <v>512011101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0</v>
          </cell>
          <cell r="H4811">
            <v>10784304</v>
          </cell>
          <cell r="I4811">
            <v>2694757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1922498</v>
          </cell>
          <cell r="Q4811">
            <v>0</v>
          </cell>
          <cell r="R4811">
            <v>4797913</v>
          </cell>
          <cell r="S4811">
            <v>0</v>
          </cell>
          <cell r="T4811">
            <v>-340640189</v>
          </cell>
          <cell r="U4811">
            <v>0</v>
          </cell>
          <cell r="V4811">
            <v>0</v>
          </cell>
          <cell r="W4811">
            <v>5386312</v>
          </cell>
          <cell r="X4811">
            <v>4973776</v>
          </cell>
          <cell r="Y4811">
            <v>0</v>
          </cell>
          <cell r="Z4811">
            <v>0</v>
          </cell>
          <cell r="AA4811">
            <v>0</v>
          </cell>
          <cell r="AB4811">
            <v>13747381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  <cell r="AG4811">
            <v>0</v>
          </cell>
          <cell r="AH4811">
            <v>0</v>
          </cell>
          <cell r="AI4811">
            <v>0</v>
          </cell>
        </row>
        <row r="4812">
          <cell r="A4812">
            <v>512011200</v>
          </cell>
          <cell r="C4812">
            <v>0</v>
          </cell>
          <cell r="D4812">
            <v>0</v>
          </cell>
          <cell r="E4812">
            <v>35296346</v>
          </cell>
          <cell r="F4812">
            <v>6367352</v>
          </cell>
          <cell r="G4812">
            <v>0</v>
          </cell>
          <cell r="H4812">
            <v>140604576</v>
          </cell>
          <cell r="I4812">
            <v>3423417</v>
          </cell>
          <cell r="J4812">
            <v>0</v>
          </cell>
          <cell r="K4812">
            <v>589697</v>
          </cell>
          <cell r="L4812">
            <v>0</v>
          </cell>
          <cell r="M4812">
            <v>0</v>
          </cell>
          <cell r="N4812">
            <v>4546461</v>
          </cell>
          <cell r="O4812">
            <v>6146268</v>
          </cell>
          <cell r="P4812">
            <v>4975564</v>
          </cell>
          <cell r="Q4812">
            <v>0</v>
          </cell>
          <cell r="R4812">
            <v>260458334</v>
          </cell>
          <cell r="S4812">
            <v>0</v>
          </cell>
          <cell r="T4812">
            <v>95805251</v>
          </cell>
          <cell r="U4812">
            <v>0</v>
          </cell>
          <cell r="V4812">
            <v>0</v>
          </cell>
          <cell r="W4812">
            <v>2677921</v>
          </cell>
          <cell r="X4812">
            <v>12672784</v>
          </cell>
          <cell r="Y4812">
            <v>872492</v>
          </cell>
          <cell r="Z4812">
            <v>0</v>
          </cell>
          <cell r="AA4812">
            <v>0</v>
          </cell>
          <cell r="AB4812">
            <v>27375006</v>
          </cell>
          <cell r="AC4812">
            <v>8079798</v>
          </cell>
          <cell r="AD4812">
            <v>0</v>
          </cell>
          <cell r="AE4812">
            <v>0</v>
          </cell>
          <cell r="AF4812">
            <v>0</v>
          </cell>
          <cell r="AG4812">
            <v>0</v>
          </cell>
          <cell r="AH4812">
            <v>0</v>
          </cell>
          <cell r="AI4812">
            <v>0</v>
          </cell>
        </row>
        <row r="4813">
          <cell r="A4813">
            <v>512011201</v>
          </cell>
          <cell r="C4813">
            <v>0</v>
          </cell>
          <cell r="D4813">
            <v>0</v>
          </cell>
          <cell r="E4813">
            <v>35296346</v>
          </cell>
          <cell r="F4813">
            <v>6367352</v>
          </cell>
          <cell r="G4813">
            <v>0</v>
          </cell>
          <cell r="H4813">
            <v>140604576</v>
          </cell>
          <cell r="I4813">
            <v>3423417</v>
          </cell>
          <cell r="J4813">
            <v>0</v>
          </cell>
          <cell r="K4813">
            <v>589697</v>
          </cell>
          <cell r="L4813">
            <v>0</v>
          </cell>
          <cell r="M4813">
            <v>0</v>
          </cell>
          <cell r="N4813">
            <v>4546461</v>
          </cell>
          <cell r="O4813">
            <v>6146268</v>
          </cell>
          <cell r="P4813">
            <v>4975564</v>
          </cell>
          <cell r="Q4813">
            <v>0</v>
          </cell>
          <cell r="R4813">
            <v>260458334</v>
          </cell>
          <cell r="S4813">
            <v>0</v>
          </cell>
          <cell r="T4813">
            <v>95805251</v>
          </cell>
          <cell r="U4813">
            <v>0</v>
          </cell>
          <cell r="V4813">
            <v>0</v>
          </cell>
          <cell r="W4813">
            <v>2677921</v>
          </cell>
          <cell r="X4813">
            <v>12672784</v>
          </cell>
          <cell r="Y4813">
            <v>872492</v>
          </cell>
          <cell r="Z4813">
            <v>0</v>
          </cell>
          <cell r="AA4813">
            <v>0</v>
          </cell>
          <cell r="AB4813">
            <v>27375006</v>
          </cell>
          <cell r="AC4813">
            <v>8079798</v>
          </cell>
          <cell r="AD4813">
            <v>0</v>
          </cell>
          <cell r="AE4813">
            <v>0</v>
          </cell>
          <cell r="AF4813">
            <v>0</v>
          </cell>
          <cell r="AG4813">
            <v>0</v>
          </cell>
          <cell r="AH4813">
            <v>0</v>
          </cell>
          <cell r="AI4813">
            <v>0</v>
          </cell>
        </row>
        <row r="4814">
          <cell r="A4814">
            <v>512011300</v>
          </cell>
          <cell r="C4814">
            <v>0</v>
          </cell>
          <cell r="D4814">
            <v>21000000</v>
          </cell>
          <cell r="E4814">
            <v>57800964</v>
          </cell>
          <cell r="F4814">
            <v>6367352</v>
          </cell>
          <cell r="G4814">
            <v>0</v>
          </cell>
          <cell r="H4814">
            <v>464634000</v>
          </cell>
          <cell r="I4814">
            <v>2974300</v>
          </cell>
          <cell r="J4814">
            <v>0</v>
          </cell>
          <cell r="K4814">
            <v>484794</v>
          </cell>
          <cell r="L4814">
            <v>0</v>
          </cell>
          <cell r="M4814">
            <v>0</v>
          </cell>
          <cell r="N4814">
            <v>35832863</v>
          </cell>
          <cell r="O4814">
            <v>294484686</v>
          </cell>
          <cell r="P4814">
            <v>16045135</v>
          </cell>
          <cell r="Q4814">
            <v>0</v>
          </cell>
          <cell r="R4814">
            <v>0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18313460</v>
          </cell>
          <cell r="X4814">
            <v>41161856</v>
          </cell>
          <cell r="Y4814">
            <v>35259764</v>
          </cell>
          <cell r="Z4814">
            <v>0</v>
          </cell>
          <cell r="AA4814">
            <v>0</v>
          </cell>
          <cell r="AB4814">
            <v>100041200</v>
          </cell>
          <cell r="AC4814">
            <v>190745154</v>
          </cell>
          <cell r="AD4814">
            <v>0</v>
          </cell>
          <cell r="AE4814">
            <v>0</v>
          </cell>
          <cell r="AF4814">
            <v>0</v>
          </cell>
          <cell r="AG4814">
            <v>0</v>
          </cell>
          <cell r="AH4814">
            <v>0</v>
          </cell>
          <cell r="AI4814">
            <v>0</v>
          </cell>
        </row>
        <row r="4815">
          <cell r="A4815">
            <v>512011301</v>
          </cell>
          <cell r="C4815">
            <v>0</v>
          </cell>
          <cell r="D4815">
            <v>21000000</v>
          </cell>
          <cell r="E4815">
            <v>57800964</v>
          </cell>
          <cell r="F4815">
            <v>6367352</v>
          </cell>
          <cell r="G4815">
            <v>0</v>
          </cell>
          <cell r="H4815">
            <v>464634000</v>
          </cell>
          <cell r="I4815">
            <v>2974300</v>
          </cell>
          <cell r="J4815">
            <v>0</v>
          </cell>
          <cell r="K4815">
            <v>484794</v>
          </cell>
          <cell r="L4815">
            <v>0</v>
          </cell>
          <cell r="M4815">
            <v>0</v>
          </cell>
          <cell r="N4815">
            <v>35832863</v>
          </cell>
          <cell r="O4815">
            <v>294484686</v>
          </cell>
          <cell r="P4815">
            <v>16045135</v>
          </cell>
          <cell r="Q4815">
            <v>0</v>
          </cell>
          <cell r="R4815">
            <v>0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18313460</v>
          </cell>
          <cell r="X4815">
            <v>41161856</v>
          </cell>
          <cell r="Y4815">
            <v>35259764</v>
          </cell>
          <cell r="Z4815">
            <v>0</v>
          </cell>
          <cell r="AA4815">
            <v>0</v>
          </cell>
          <cell r="AB4815">
            <v>100041200</v>
          </cell>
          <cell r="AC4815">
            <v>190745154</v>
          </cell>
          <cell r="AD4815">
            <v>0</v>
          </cell>
          <cell r="AE4815">
            <v>0</v>
          </cell>
          <cell r="AF4815">
            <v>0</v>
          </cell>
          <cell r="AG4815">
            <v>0</v>
          </cell>
          <cell r="AH4815">
            <v>0</v>
          </cell>
          <cell r="AI4815">
            <v>0</v>
          </cell>
        </row>
        <row r="4816">
          <cell r="A4816">
            <v>512012000</v>
          </cell>
          <cell r="C4816">
            <v>0</v>
          </cell>
          <cell r="D4816">
            <v>0</v>
          </cell>
          <cell r="E4816">
            <v>0</v>
          </cell>
          <cell r="F4816">
            <v>6367352</v>
          </cell>
          <cell r="G4816">
            <v>0</v>
          </cell>
          <cell r="H4816">
            <v>0</v>
          </cell>
          <cell r="I4816">
            <v>3740852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153838</v>
          </cell>
          <cell r="Q4816">
            <v>0</v>
          </cell>
          <cell r="R4816">
            <v>56666663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30163345</v>
          </cell>
          <cell r="X4816">
            <v>75588153</v>
          </cell>
          <cell r="Y4816">
            <v>0</v>
          </cell>
          <cell r="Z4816">
            <v>0</v>
          </cell>
          <cell r="AA4816">
            <v>0</v>
          </cell>
          <cell r="AB4816">
            <v>33839000</v>
          </cell>
          <cell r="AC4816">
            <v>4937039</v>
          </cell>
          <cell r="AD4816">
            <v>0</v>
          </cell>
          <cell r="AE4816">
            <v>0</v>
          </cell>
          <cell r="AF4816">
            <v>279680828</v>
          </cell>
          <cell r="AG4816">
            <v>0</v>
          </cell>
          <cell r="AH4816">
            <v>45376666</v>
          </cell>
          <cell r="AI4816">
            <v>0</v>
          </cell>
        </row>
        <row r="4817">
          <cell r="A4817">
            <v>512012001</v>
          </cell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0</v>
          </cell>
          <cell r="AG4817">
            <v>0</v>
          </cell>
          <cell r="AH4817">
            <v>45376666</v>
          </cell>
          <cell r="AI4817">
            <v>0</v>
          </cell>
        </row>
        <row r="4818">
          <cell r="A4818">
            <v>512012002</v>
          </cell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  <cell r="AG4818">
            <v>0</v>
          </cell>
          <cell r="AH4818">
            <v>0</v>
          </cell>
          <cell r="AI4818">
            <v>0</v>
          </cell>
        </row>
        <row r="4819">
          <cell r="A4819">
            <v>512012003</v>
          </cell>
          <cell r="C4819">
            <v>0</v>
          </cell>
          <cell r="D4819">
            <v>0</v>
          </cell>
          <cell r="E4819">
            <v>0</v>
          </cell>
          <cell r="F4819">
            <v>6367352</v>
          </cell>
          <cell r="G4819">
            <v>0</v>
          </cell>
          <cell r="H4819">
            <v>0</v>
          </cell>
          <cell r="I4819">
            <v>3740852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153838</v>
          </cell>
          <cell r="Q4819">
            <v>0</v>
          </cell>
          <cell r="R4819">
            <v>56666663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30163345</v>
          </cell>
          <cell r="X4819">
            <v>75588153</v>
          </cell>
          <cell r="Y4819">
            <v>0</v>
          </cell>
          <cell r="Z4819">
            <v>0</v>
          </cell>
          <cell r="AA4819">
            <v>0</v>
          </cell>
          <cell r="AB4819">
            <v>33839000</v>
          </cell>
          <cell r="AC4819">
            <v>4767713</v>
          </cell>
          <cell r="AD4819">
            <v>0</v>
          </cell>
          <cell r="AE4819">
            <v>0</v>
          </cell>
          <cell r="AF4819">
            <v>279680828</v>
          </cell>
          <cell r="AG4819">
            <v>0</v>
          </cell>
          <cell r="AH4819">
            <v>0</v>
          </cell>
          <cell r="AI4819">
            <v>0</v>
          </cell>
        </row>
        <row r="4820">
          <cell r="A4820">
            <v>512012004</v>
          </cell>
          <cell r="C4820">
            <v>0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0</v>
          </cell>
          <cell r="AG4820">
            <v>0</v>
          </cell>
          <cell r="AH4820">
            <v>0</v>
          </cell>
          <cell r="AI4820">
            <v>0</v>
          </cell>
        </row>
        <row r="4821">
          <cell r="A4821">
            <v>512012005</v>
          </cell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  <cell r="AG4821">
            <v>0</v>
          </cell>
          <cell r="AH4821">
            <v>0</v>
          </cell>
          <cell r="AI4821">
            <v>0</v>
          </cell>
        </row>
        <row r="4822">
          <cell r="A4822">
            <v>512012006</v>
          </cell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G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169326</v>
          </cell>
          <cell r="AD4822">
            <v>0</v>
          </cell>
          <cell r="AE4822">
            <v>0</v>
          </cell>
          <cell r="AF4822">
            <v>0</v>
          </cell>
          <cell r="AG4822">
            <v>0</v>
          </cell>
          <cell r="AH4822">
            <v>0</v>
          </cell>
          <cell r="AI4822">
            <v>0</v>
          </cell>
        </row>
        <row r="4823">
          <cell r="A4823">
            <v>512012007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</row>
        <row r="4824">
          <cell r="A4824">
            <v>512012008</v>
          </cell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R4824">
            <v>0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</row>
        <row r="4825">
          <cell r="A4825">
            <v>512012009</v>
          </cell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G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0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  <cell r="AG4825">
            <v>0</v>
          </cell>
          <cell r="AH4825">
            <v>0</v>
          </cell>
          <cell r="AI4825">
            <v>0</v>
          </cell>
        </row>
        <row r="4826">
          <cell r="A4826">
            <v>512020000</v>
          </cell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18483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R4826">
            <v>9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96726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  <cell r="AG4826">
            <v>0</v>
          </cell>
          <cell r="AH4826">
            <v>0</v>
          </cell>
          <cell r="AI4826">
            <v>0</v>
          </cell>
        </row>
        <row r="4827">
          <cell r="A4827">
            <v>512020100</v>
          </cell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18483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9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</row>
        <row r="4828">
          <cell r="A4828">
            <v>512020101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18483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9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  <cell r="AG4828">
            <v>0</v>
          </cell>
          <cell r="AH4828">
            <v>0</v>
          </cell>
          <cell r="AI4828">
            <v>0</v>
          </cell>
        </row>
        <row r="4829">
          <cell r="A4829">
            <v>512020200</v>
          </cell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  <cell r="AG4829">
            <v>0</v>
          </cell>
          <cell r="AH4829">
            <v>0</v>
          </cell>
          <cell r="AI4829">
            <v>0</v>
          </cell>
        </row>
        <row r="4830">
          <cell r="A4830">
            <v>512020201</v>
          </cell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0</v>
          </cell>
          <cell r="AG4830">
            <v>0</v>
          </cell>
          <cell r="AH4830">
            <v>0</v>
          </cell>
          <cell r="AI4830">
            <v>0</v>
          </cell>
        </row>
        <row r="4831">
          <cell r="A4831">
            <v>512020300</v>
          </cell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0</v>
          </cell>
          <cell r="AG4831">
            <v>0</v>
          </cell>
          <cell r="AH4831">
            <v>0</v>
          </cell>
          <cell r="AI4831">
            <v>0</v>
          </cell>
        </row>
        <row r="4832">
          <cell r="A4832">
            <v>512020301</v>
          </cell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R4832">
            <v>0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0</v>
          </cell>
          <cell r="AG4832">
            <v>0</v>
          </cell>
          <cell r="AH4832">
            <v>0</v>
          </cell>
          <cell r="AI4832">
            <v>0</v>
          </cell>
        </row>
        <row r="4833">
          <cell r="A4833">
            <v>512020400</v>
          </cell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R4833">
            <v>0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0</v>
          </cell>
          <cell r="AG4833">
            <v>0</v>
          </cell>
          <cell r="AH4833">
            <v>0</v>
          </cell>
          <cell r="AI4833">
            <v>0</v>
          </cell>
        </row>
        <row r="4834">
          <cell r="A4834">
            <v>512020401</v>
          </cell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0</v>
          </cell>
          <cell r="AG4834">
            <v>0</v>
          </cell>
          <cell r="AH4834">
            <v>0</v>
          </cell>
          <cell r="AI4834">
            <v>0</v>
          </cell>
        </row>
        <row r="4835">
          <cell r="A4835">
            <v>512020500</v>
          </cell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0</v>
          </cell>
          <cell r="AG4835">
            <v>0</v>
          </cell>
          <cell r="AH4835">
            <v>0</v>
          </cell>
          <cell r="AI4835">
            <v>0</v>
          </cell>
        </row>
        <row r="4836">
          <cell r="A4836">
            <v>512020501</v>
          </cell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0</v>
          </cell>
          <cell r="AG4836">
            <v>0</v>
          </cell>
          <cell r="AH4836">
            <v>0</v>
          </cell>
          <cell r="AI4836">
            <v>0</v>
          </cell>
        </row>
        <row r="4837">
          <cell r="A4837">
            <v>512020600</v>
          </cell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  <cell r="AG4837">
            <v>0</v>
          </cell>
          <cell r="AH4837">
            <v>0</v>
          </cell>
          <cell r="AI4837">
            <v>0</v>
          </cell>
        </row>
        <row r="4838">
          <cell r="A4838">
            <v>512020601</v>
          </cell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0</v>
          </cell>
          <cell r="AG4838">
            <v>0</v>
          </cell>
          <cell r="AH4838">
            <v>0</v>
          </cell>
          <cell r="AI4838">
            <v>0</v>
          </cell>
        </row>
        <row r="4839">
          <cell r="A4839">
            <v>512020700</v>
          </cell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0</v>
          </cell>
          <cell r="AG4839">
            <v>0</v>
          </cell>
          <cell r="AH4839">
            <v>0</v>
          </cell>
          <cell r="AI4839">
            <v>0</v>
          </cell>
        </row>
        <row r="4840">
          <cell r="A4840">
            <v>512020701</v>
          </cell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0</v>
          </cell>
          <cell r="AG4840">
            <v>0</v>
          </cell>
          <cell r="AH4840">
            <v>0</v>
          </cell>
          <cell r="AI4840">
            <v>0</v>
          </cell>
        </row>
        <row r="4841">
          <cell r="A4841">
            <v>512020800</v>
          </cell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0</v>
          </cell>
          <cell r="AI4841">
            <v>0</v>
          </cell>
        </row>
        <row r="4842">
          <cell r="A4842">
            <v>512020801</v>
          </cell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  <cell r="AI4842">
            <v>0</v>
          </cell>
        </row>
        <row r="4843">
          <cell r="A4843">
            <v>512020900</v>
          </cell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G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0</v>
          </cell>
          <cell r="AI4843">
            <v>0</v>
          </cell>
        </row>
        <row r="4844">
          <cell r="A4844">
            <v>512020901</v>
          </cell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G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  <cell r="AI4844">
            <v>0</v>
          </cell>
        </row>
        <row r="4845">
          <cell r="A4845">
            <v>512021000</v>
          </cell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  <cell r="AI4845">
            <v>0</v>
          </cell>
        </row>
        <row r="4846">
          <cell r="A4846">
            <v>512021001</v>
          </cell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  <cell r="AI4846">
            <v>0</v>
          </cell>
        </row>
        <row r="4847">
          <cell r="A4847">
            <v>512021100</v>
          </cell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  <cell r="AI4847">
            <v>0</v>
          </cell>
        </row>
        <row r="4848">
          <cell r="A4848">
            <v>512021101</v>
          </cell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  <cell r="AI4848">
            <v>0</v>
          </cell>
        </row>
        <row r="4849">
          <cell r="A4849">
            <v>512021200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  <cell r="AI4849">
            <v>0</v>
          </cell>
        </row>
        <row r="4850">
          <cell r="A4850">
            <v>512021201</v>
          </cell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  <cell r="AI4850">
            <v>0</v>
          </cell>
        </row>
        <row r="4851">
          <cell r="A4851">
            <v>512021300</v>
          </cell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  <cell r="AI4851">
            <v>0</v>
          </cell>
        </row>
        <row r="4852">
          <cell r="A4852">
            <v>512021301</v>
          </cell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  <cell r="AI4852">
            <v>0</v>
          </cell>
        </row>
        <row r="4853">
          <cell r="A4853">
            <v>512022000</v>
          </cell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96726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  <cell r="AI4853">
            <v>0</v>
          </cell>
        </row>
        <row r="4854">
          <cell r="A4854">
            <v>512022001</v>
          </cell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  <cell r="AI4854">
            <v>0</v>
          </cell>
        </row>
        <row r="4855">
          <cell r="A4855">
            <v>512022002</v>
          </cell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</row>
        <row r="4856">
          <cell r="A4856">
            <v>512022003</v>
          </cell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96726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</row>
        <row r="4857">
          <cell r="A4857">
            <v>512022004</v>
          </cell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</row>
        <row r="4858">
          <cell r="A4858">
            <v>512022005</v>
          </cell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</row>
        <row r="4859">
          <cell r="A4859">
            <v>512022006</v>
          </cell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</row>
        <row r="4860">
          <cell r="A4860">
            <v>512022007</v>
          </cell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0</v>
          </cell>
          <cell r="AG4860">
            <v>0</v>
          </cell>
          <cell r="AH4860">
            <v>0</v>
          </cell>
          <cell r="AI4860">
            <v>0</v>
          </cell>
        </row>
        <row r="4861">
          <cell r="A4861">
            <v>512022008</v>
          </cell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0</v>
          </cell>
          <cell r="AG4861">
            <v>0</v>
          </cell>
          <cell r="AH4861">
            <v>0</v>
          </cell>
          <cell r="AI4861">
            <v>0</v>
          </cell>
        </row>
        <row r="4862">
          <cell r="A4862">
            <v>512022009</v>
          </cell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</row>
        <row r="4863">
          <cell r="A4863">
            <v>513000000</v>
          </cell>
          <cell r="C4863">
            <v>0</v>
          </cell>
          <cell r="D4863">
            <v>145927047</v>
          </cell>
          <cell r="E4863">
            <v>532061347</v>
          </cell>
          <cell r="F4863">
            <v>132290121</v>
          </cell>
          <cell r="G4863">
            <v>0</v>
          </cell>
          <cell r="H4863">
            <v>53946393</v>
          </cell>
          <cell r="I4863">
            <v>200275276</v>
          </cell>
          <cell r="J4863">
            <v>171774002</v>
          </cell>
          <cell r="K4863">
            <v>153771491</v>
          </cell>
          <cell r="L4863">
            <v>23534408</v>
          </cell>
          <cell r="M4863">
            <v>117673736</v>
          </cell>
          <cell r="N4863">
            <v>0</v>
          </cell>
          <cell r="O4863">
            <v>133690360</v>
          </cell>
          <cell r="P4863">
            <v>209488683</v>
          </cell>
          <cell r="Q4863">
            <v>356227070</v>
          </cell>
          <cell r="R4863">
            <v>295106510</v>
          </cell>
          <cell r="S4863">
            <v>0</v>
          </cell>
          <cell r="T4863">
            <v>0</v>
          </cell>
          <cell r="U4863">
            <v>0</v>
          </cell>
          <cell r="V4863">
            <v>185348887</v>
          </cell>
          <cell r="W4863">
            <v>202819185</v>
          </cell>
          <cell r="X4863">
            <v>248880063</v>
          </cell>
          <cell r="Y4863">
            <v>147207716</v>
          </cell>
          <cell r="Z4863">
            <v>0</v>
          </cell>
          <cell r="AA4863">
            <v>152042348</v>
          </cell>
          <cell r="AB4863">
            <v>554894619</v>
          </cell>
          <cell r="AC4863">
            <v>0</v>
          </cell>
          <cell r="AD4863">
            <v>10219671</v>
          </cell>
          <cell r="AE4863">
            <v>0</v>
          </cell>
          <cell r="AF4863">
            <v>0</v>
          </cell>
          <cell r="AG4863">
            <v>2100000</v>
          </cell>
          <cell r="AH4863">
            <v>0</v>
          </cell>
          <cell r="AI4863">
            <v>0</v>
          </cell>
        </row>
        <row r="4864">
          <cell r="A4864">
            <v>513010000</v>
          </cell>
          <cell r="C4864">
            <v>0</v>
          </cell>
          <cell r="D4864">
            <v>26728023</v>
          </cell>
          <cell r="E4864">
            <v>532061347</v>
          </cell>
          <cell r="F4864">
            <v>710000</v>
          </cell>
          <cell r="G4864">
            <v>0</v>
          </cell>
          <cell r="H4864">
            <v>53946393</v>
          </cell>
          <cell r="I4864">
            <v>200275276</v>
          </cell>
          <cell r="J4864">
            <v>17990106</v>
          </cell>
          <cell r="K4864">
            <v>0</v>
          </cell>
          <cell r="L4864">
            <v>15729676</v>
          </cell>
          <cell r="M4864">
            <v>0</v>
          </cell>
          <cell r="N4864">
            <v>0</v>
          </cell>
          <cell r="O4864">
            <v>36279214</v>
          </cell>
          <cell r="P4864">
            <v>11261839</v>
          </cell>
          <cell r="Q4864">
            <v>356227070</v>
          </cell>
          <cell r="R4864">
            <v>295106510</v>
          </cell>
          <cell r="S4864">
            <v>0</v>
          </cell>
          <cell r="T4864">
            <v>0</v>
          </cell>
          <cell r="U4864">
            <v>0</v>
          </cell>
          <cell r="V4864">
            <v>185348887</v>
          </cell>
          <cell r="W4864">
            <v>149131838</v>
          </cell>
          <cell r="X4864">
            <v>248880063</v>
          </cell>
          <cell r="Y4864">
            <v>59516467</v>
          </cell>
          <cell r="Z4864">
            <v>0</v>
          </cell>
          <cell r="AA4864">
            <v>152042348</v>
          </cell>
          <cell r="AB4864">
            <v>554894619</v>
          </cell>
          <cell r="AC4864">
            <v>0</v>
          </cell>
          <cell r="AD4864">
            <v>10181956</v>
          </cell>
          <cell r="AE4864">
            <v>0</v>
          </cell>
          <cell r="AF4864">
            <v>0</v>
          </cell>
          <cell r="AG4864">
            <v>2100000</v>
          </cell>
          <cell r="AH4864">
            <v>0</v>
          </cell>
          <cell r="AI4864">
            <v>0</v>
          </cell>
        </row>
        <row r="4865">
          <cell r="A4865">
            <v>513010100</v>
          </cell>
          <cell r="C4865">
            <v>0</v>
          </cell>
          <cell r="D4865">
            <v>10581844</v>
          </cell>
          <cell r="E4865">
            <v>213105396</v>
          </cell>
          <cell r="F4865">
            <v>0</v>
          </cell>
          <cell r="G4865">
            <v>0</v>
          </cell>
          <cell r="H4865">
            <v>0</v>
          </cell>
          <cell r="I4865">
            <v>8161029</v>
          </cell>
          <cell r="J4865">
            <v>0</v>
          </cell>
          <cell r="K4865">
            <v>0</v>
          </cell>
          <cell r="L4865">
            <v>128603</v>
          </cell>
          <cell r="M4865">
            <v>0</v>
          </cell>
          <cell r="N4865">
            <v>0</v>
          </cell>
          <cell r="O4865">
            <v>1252915</v>
          </cell>
          <cell r="P4865">
            <v>41270</v>
          </cell>
          <cell r="Q4865">
            <v>273076059</v>
          </cell>
          <cell r="R4865">
            <v>166368063</v>
          </cell>
          <cell r="S4865">
            <v>0</v>
          </cell>
          <cell r="T4865">
            <v>0</v>
          </cell>
          <cell r="U4865">
            <v>0</v>
          </cell>
          <cell r="V4865">
            <v>2998066</v>
          </cell>
          <cell r="W4865">
            <v>250994</v>
          </cell>
          <cell r="X4865">
            <v>8449168</v>
          </cell>
          <cell r="Y4865">
            <v>0</v>
          </cell>
          <cell r="Z4865">
            <v>0</v>
          </cell>
          <cell r="AA4865">
            <v>0</v>
          </cell>
          <cell r="AB4865">
            <v>107851925</v>
          </cell>
          <cell r="AC4865">
            <v>0</v>
          </cell>
          <cell r="AD4865">
            <v>9995763</v>
          </cell>
          <cell r="AE4865">
            <v>0</v>
          </cell>
          <cell r="AF4865">
            <v>0</v>
          </cell>
          <cell r="AG4865">
            <v>2100000</v>
          </cell>
          <cell r="AH4865">
            <v>0</v>
          </cell>
          <cell r="AI4865">
            <v>0</v>
          </cell>
        </row>
        <row r="4866">
          <cell r="A4866">
            <v>513010101</v>
          </cell>
          <cell r="C4866">
            <v>0</v>
          </cell>
          <cell r="D4866">
            <v>10581844</v>
          </cell>
          <cell r="E4866">
            <v>213105396</v>
          </cell>
          <cell r="F4866">
            <v>0</v>
          </cell>
          <cell r="G4866">
            <v>0</v>
          </cell>
          <cell r="H4866">
            <v>0</v>
          </cell>
          <cell r="I4866">
            <v>8161029</v>
          </cell>
          <cell r="J4866">
            <v>0</v>
          </cell>
          <cell r="K4866">
            <v>0</v>
          </cell>
          <cell r="L4866">
            <v>128603</v>
          </cell>
          <cell r="M4866">
            <v>0</v>
          </cell>
          <cell r="N4866">
            <v>0</v>
          </cell>
          <cell r="O4866">
            <v>1252915</v>
          </cell>
          <cell r="P4866">
            <v>41270</v>
          </cell>
          <cell r="Q4866">
            <v>273076059</v>
          </cell>
          <cell r="R4866">
            <v>166368063</v>
          </cell>
          <cell r="S4866">
            <v>0</v>
          </cell>
          <cell r="T4866">
            <v>0</v>
          </cell>
          <cell r="U4866">
            <v>0</v>
          </cell>
          <cell r="V4866">
            <v>2998066</v>
          </cell>
          <cell r="W4866">
            <v>250994</v>
          </cell>
          <cell r="X4866">
            <v>8449168</v>
          </cell>
          <cell r="Y4866">
            <v>0</v>
          </cell>
          <cell r="Z4866">
            <v>0</v>
          </cell>
          <cell r="AA4866">
            <v>0</v>
          </cell>
          <cell r="AB4866">
            <v>107851925</v>
          </cell>
          <cell r="AC4866">
            <v>0</v>
          </cell>
          <cell r="AD4866">
            <v>9995763</v>
          </cell>
          <cell r="AE4866">
            <v>0</v>
          </cell>
          <cell r="AF4866">
            <v>0</v>
          </cell>
          <cell r="AG4866">
            <v>2100000</v>
          </cell>
          <cell r="AH4866">
            <v>0</v>
          </cell>
          <cell r="AI4866">
            <v>0</v>
          </cell>
        </row>
        <row r="4867">
          <cell r="A4867">
            <v>513010200</v>
          </cell>
          <cell r="C4867">
            <v>0</v>
          </cell>
          <cell r="D4867">
            <v>0</v>
          </cell>
          <cell r="E4867">
            <v>153760688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0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</row>
        <row r="4868">
          <cell r="A4868">
            <v>513010201</v>
          </cell>
          <cell r="C4868">
            <v>0</v>
          </cell>
          <cell r="D4868">
            <v>0</v>
          </cell>
          <cell r="E4868">
            <v>153760688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</row>
        <row r="4869">
          <cell r="A4869">
            <v>513010300</v>
          </cell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18055556</v>
          </cell>
          <cell r="P4869">
            <v>0</v>
          </cell>
          <cell r="Q4869">
            <v>13888889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</row>
        <row r="4870">
          <cell r="A4870">
            <v>513010301</v>
          </cell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18055556</v>
          </cell>
          <cell r="P4870">
            <v>0</v>
          </cell>
          <cell r="Q4870">
            <v>13888889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</row>
        <row r="4871">
          <cell r="A4871">
            <v>513010400</v>
          </cell>
          <cell r="C4871">
            <v>0</v>
          </cell>
          <cell r="D4871">
            <v>645218</v>
          </cell>
          <cell r="E4871">
            <v>163642368</v>
          </cell>
          <cell r="F4871">
            <v>0</v>
          </cell>
          <cell r="G4871">
            <v>0</v>
          </cell>
          <cell r="H4871">
            <v>10654069</v>
          </cell>
          <cell r="I4871">
            <v>114903373</v>
          </cell>
          <cell r="J4871">
            <v>17280106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12196141</v>
          </cell>
          <cell r="P4871">
            <v>11220569</v>
          </cell>
          <cell r="Q4871">
            <v>44228219</v>
          </cell>
          <cell r="R4871">
            <v>128738447</v>
          </cell>
          <cell r="S4871">
            <v>0</v>
          </cell>
          <cell r="T4871">
            <v>0</v>
          </cell>
          <cell r="U4871">
            <v>0</v>
          </cell>
          <cell r="V4871">
            <v>157680375</v>
          </cell>
          <cell r="W4871">
            <v>23880844</v>
          </cell>
          <cell r="X4871">
            <v>107783208</v>
          </cell>
          <cell r="Y4871">
            <v>58806467</v>
          </cell>
          <cell r="Z4871">
            <v>0</v>
          </cell>
          <cell r="AA4871">
            <v>152042348</v>
          </cell>
          <cell r="AB4871">
            <v>171201830</v>
          </cell>
          <cell r="AC4871">
            <v>0</v>
          </cell>
          <cell r="AD4871">
            <v>186193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</row>
        <row r="4872">
          <cell r="A4872">
            <v>513010401</v>
          </cell>
          <cell r="C4872">
            <v>0</v>
          </cell>
          <cell r="D4872">
            <v>645218</v>
          </cell>
          <cell r="E4872">
            <v>163642368</v>
          </cell>
          <cell r="F4872">
            <v>0</v>
          </cell>
          <cell r="G4872">
            <v>0</v>
          </cell>
          <cell r="H4872">
            <v>10654069</v>
          </cell>
          <cell r="I4872">
            <v>114903373</v>
          </cell>
          <cell r="J4872">
            <v>17280106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12196141</v>
          </cell>
          <cell r="P4872">
            <v>11220569</v>
          </cell>
          <cell r="Q4872">
            <v>44228219</v>
          </cell>
          <cell r="R4872">
            <v>128738447</v>
          </cell>
          <cell r="S4872">
            <v>0</v>
          </cell>
          <cell r="T4872">
            <v>0</v>
          </cell>
          <cell r="U4872">
            <v>0</v>
          </cell>
          <cell r="V4872">
            <v>157680375</v>
          </cell>
          <cell r="W4872">
            <v>23880844</v>
          </cell>
          <cell r="X4872">
            <v>107783208</v>
          </cell>
          <cell r="Y4872">
            <v>58806467</v>
          </cell>
          <cell r="Z4872">
            <v>0</v>
          </cell>
          <cell r="AA4872">
            <v>152042348</v>
          </cell>
          <cell r="AB4872">
            <v>171201830</v>
          </cell>
          <cell r="AC4872">
            <v>0</v>
          </cell>
          <cell r="AD4872">
            <v>186193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</row>
        <row r="4873">
          <cell r="A4873">
            <v>513010500</v>
          </cell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0</v>
          </cell>
          <cell r="AH4873">
            <v>0</v>
          </cell>
          <cell r="AI4873">
            <v>0</v>
          </cell>
        </row>
        <row r="4874">
          <cell r="A4874">
            <v>513010501</v>
          </cell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</row>
        <row r="4875">
          <cell r="A4875">
            <v>513010600</v>
          </cell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552879</v>
          </cell>
          <cell r="I4875">
            <v>1093486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125000000</v>
          </cell>
          <cell r="X4875">
            <v>125111019</v>
          </cell>
          <cell r="Y4875">
            <v>0</v>
          </cell>
          <cell r="Z4875">
            <v>0</v>
          </cell>
          <cell r="AA4875">
            <v>0</v>
          </cell>
          <cell r="AB4875">
            <v>20000000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0</v>
          </cell>
          <cell r="AH4875">
            <v>0</v>
          </cell>
          <cell r="AI4875">
            <v>0</v>
          </cell>
        </row>
        <row r="4876">
          <cell r="A4876">
            <v>513010601</v>
          </cell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G4876">
            <v>0</v>
          </cell>
          <cell r="H4876">
            <v>552879</v>
          </cell>
          <cell r="I4876">
            <v>1093486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125000000</v>
          </cell>
          <cell r="X4876">
            <v>125111019</v>
          </cell>
          <cell r="Y4876">
            <v>0</v>
          </cell>
          <cell r="Z4876">
            <v>0</v>
          </cell>
          <cell r="AA4876">
            <v>0</v>
          </cell>
          <cell r="AB4876">
            <v>20000000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</row>
        <row r="4877">
          <cell r="A4877">
            <v>513010700</v>
          </cell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  <cell r="I4877">
            <v>39712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411996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29784</v>
          </cell>
          <cell r="Y4877">
            <v>0</v>
          </cell>
          <cell r="Z4877">
            <v>0</v>
          </cell>
          <cell r="AA4877">
            <v>0</v>
          </cell>
          <cell r="AB4877">
            <v>2871075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  <cell r="AI4877">
            <v>0</v>
          </cell>
        </row>
        <row r="4878">
          <cell r="A4878">
            <v>513010701</v>
          </cell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  <cell r="I4878">
            <v>39712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411996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29784</v>
          </cell>
          <cell r="Y4878">
            <v>0</v>
          </cell>
          <cell r="Z4878">
            <v>0</v>
          </cell>
          <cell r="AA4878">
            <v>0</v>
          </cell>
          <cell r="AB4878">
            <v>2871075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</row>
        <row r="4879">
          <cell r="A4879">
            <v>513010800</v>
          </cell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  <cell r="AI4879">
            <v>0</v>
          </cell>
        </row>
        <row r="4880">
          <cell r="A4880">
            <v>513010801</v>
          </cell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</row>
        <row r="4881">
          <cell r="A4881">
            <v>513010900</v>
          </cell>
          <cell r="C4881">
            <v>0</v>
          </cell>
          <cell r="D4881">
            <v>0</v>
          </cell>
          <cell r="E4881">
            <v>1552895</v>
          </cell>
          <cell r="F4881">
            <v>710000</v>
          </cell>
          <cell r="G4881">
            <v>0</v>
          </cell>
          <cell r="H4881">
            <v>38378318</v>
          </cell>
          <cell r="I4881">
            <v>0</v>
          </cell>
          <cell r="J4881">
            <v>710000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112500</v>
          </cell>
          <cell r="P4881">
            <v>0</v>
          </cell>
          <cell r="Q4881">
            <v>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4695211</v>
          </cell>
          <cell r="Y4881">
            <v>710000</v>
          </cell>
          <cell r="Z4881">
            <v>0</v>
          </cell>
          <cell r="AA4881">
            <v>0</v>
          </cell>
          <cell r="AB4881">
            <v>136279153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</row>
        <row r="4882">
          <cell r="A4882">
            <v>513010901</v>
          </cell>
          <cell r="C4882">
            <v>0</v>
          </cell>
          <cell r="D4882">
            <v>0</v>
          </cell>
          <cell r="E4882">
            <v>1552895</v>
          </cell>
          <cell r="F4882">
            <v>710000</v>
          </cell>
          <cell r="G4882">
            <v>0</v>
          </cell>
          <cell r="H4882">
            <v>38378318</v>
          </cell>
          <cell r="I4882">
            <v>0</v>
          </cell>
          <cell r="J4882">
            <v>710000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112500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4695211</v>
          </cell>
          <cell r="Y4882">
            <v>710000</v>
          </cell>
          <cell r="Z4882">
            <v>0</v>
          </cell>
          <cell r="AA4882">
            <v>0</v>
          </cell>
          <cell r="AB4882">
            <v>136279153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</row>
        <row r="4883">
          <cell r="A4883">
            <v>513011000</v>
          </cell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  <cell r="I4883">
            <v>1578955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2750070</v>
          </cell>
          <cell r="Y4883">
            <v>0</v>
          </cell>
          <cell r="Z4883">
            <v>0</v>
          </cell>
          <cell r="AA4883">
            <v>0</v>
          </cell>
          <cell r="AB4883">
            <v>601650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</row>
        <row r="4884">
          <cell r="A4884">
            <v>513011001</v>
          </cell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  <cell r="I4884">
            <v>1578955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2750070</v>
          </cell>
          <cell r="Y4884">
            <v>0</v>
          </cell>
          <cell r="Z4884">
            <v>0</v>
          </cell>
          <cell r="AA4884">
            <v>0</v>
          </cell>
          <cell r="AB4884">
            <v>601650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</row>
        <row r="4885">
          <cell r="A4885">
            <v>513011100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0</v>
          </cell>
          <cell r="H4885">
            <v>0</v>
          </cell>
          <cell r="I4885">
            <v>5768575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</row>
        <row r="4886">
          <cell r="A4886">
            <v>513011101</v>
          </cell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G4886">
            <v>0</v>
          </cell>
          <cell r="H4886">
            <v>0</v>
          </cell>
          <cell r="I4886">
            <v>5768575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  <cell r="AI4886">
            <v>0</v>
          </cell>
        </row>
        <row r="4887">
          <cell r="A4887">
            <v>513011200</v>
          </cell>
          <cell r="C4887">
            <v>0</v>
          </cell>
          <cell r="D4887">
            <v>15500961</v>
          </cell>
          <cell r="E4887">
            <v>0</v>
          </cell>
          <cell r="F4887">
            <v>0</v>
          </cell>
          <cell r="G4887">
            <v>0</v>
          </cell>
          <cell r="H4887">
            <v>281127</v>
          </cell>
          <cell r="I4887">
            <v>27202873</v>
          </cell>
          <cell r="J4887">
            <v>0</v>
          </cell>
          <cell r="K4887">
            <v>0</v>
          </cell>
          <cell r="L4887">
            <v>15601073</v>
          </cell>
          <cell r="M4887">
            <v>0</v>
          </cell>
          <cell r="N4887">
            <v>0</v>
          </cell>
          <cell r="O4887">
            <v>4662102</v>
          </cell>
          <cell r="P4887">
            <v>0</v>
          </cell>
          <cell r="Q4887">
            <v>24621907</v>
          </cell>
          <cell r="R4887">
            <v>0</v>
          </cell>
          <cell r="S4887">
            <v>0</v>
          </cell>
          <cell r="T4887">
            <v>0</v>
          </cell>
          <cell r="U4887">
            <v>0</v>
          </cell>
          <cell r="V4887">
            <v>24670446</v>
          </cell>
          <cell r="W4887">
            <v>0</v>
          </cell>
          <cell r="X4887">
            <v>61603</v>
          </cell>
          <cell r="Y4887">
            <v>0</v>
          </cell>
          <cell r="Z4887">
            <v>0</v>
          </cell>
          <cell r="AA4887">
            <v>0</v>
          </cell>
          <cell r="AB4887">
            <v>4571667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</row>
        <row r="4888">
          <cell r="A4888">
            <v>513011201</v>
          </cell>
          <cell r="C4888">
            <v>0</v>
          </cell>
          <cell r="D4888">
            <v>15500961</v>
          </cell>
          <cell r="E4888">
            <v>0</v>
          </cell>
          <cell r="F4888">
            <v>0</v>
          </cell>
          <cell r="G4888">
            <v>0</v>
          </cell>
          <cell r="H4888">
            <v>281127</v>
          </cell>
          <cell r="I4888">
            <v>27202873</v>
          </cell>
          <cell r="J4888">
            <v>0</v>
          </cell>
          <cell r="K4888">
            <v>0</v>
          </cell>
          <cell r="L4888">
            <v>15601073</v>
          </cell>
          <cell r="M4888">
            <v>0</v>
          </cell>
          <cell r="N4888">
            <v>0</v>
          </cell>
          <cell r="O4888">
            <v>4662102</v>
          </cell>
          <cell r="P4888">
            <v>0</v>
          </cell>
          <cell r="Q4888">
            <v>24621907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24670446</v>
          </cell>
          <cell r="W4888">
            <v>0</v>
          </cell>
          <cell r="X4888">
            <v>61603</v>
          </cell>
          <cell r="Y4888">
            <v>0</v>
          </cell>
          <cell r="Z4888">
            <v>0</v>
          </cell>
          <cell r="AA4888">
            <v>0</v>
          </cell>
          <cell r="AB4888">
            <v>4571667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  <cell r="AI4888">
            <v>0</v>
          </cell>
        </row>
        <row r="4889">
          <cell r="A4889">
            <v>513011300</v>
          </cell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  <cell r="AI4889">
            <v>0</v>
          </cell>
        </row>
        <row r="4890">
          <cell r="A4890">
            <v>513011301</v>
          </cell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</row>
        <row r="4891">
          <cell r="A4891">
            <v>513012000</v>
          </cell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4080000</v>
          </cell>
          <cell r="I4891">
            <v>41527273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111517319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</row>
        <row r="4892">
          <cell r="A4892">
            <v>513012001</v>
          </cell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  <cell r="I4892">
            <v>41527273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  <cell r="AI4892">
            <v>0</v>
          </cell>
        </row>
        <row r="4893">
          <cell r="A4893">
            <v>513012002</v>
          </cell>
          <cell r="C4893">
            <v>0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</row>
        <row r="4894">
          <cell r="A4894">
            <v>513012003</v>
          </cell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4080000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111517319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</row>
        <row r="4895">
          <cell r="A4895">
            <v>513012004</v>
          </cell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</row>
        <row r="4896">
          <cell r="A4896">
            <v>513012005</v>
          </cell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</row>
        <row r="4897">
          <cell r="A4897">
            <v>513012006</v>
          </cell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</row>
        <row r="4898">
          <cell r="A4898">
            <v>513012007</v>
          </cell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</row>
        <row r="4899">
          <cell r="A4899">
            <v>513012008</v>
          </cell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  <cell r="AI4899">
            <v>0</v>
          </cell>
        </row>
        <row r="4900">
          <cell r="A4900">
            <v>513012009</v>
          </cell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R4900">
            <v>0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  <cell r="AI4900">
            <v>0</v>
          </cell>
        </row>
        <row r="4901">
          <cell r="A4901">
            <v>513020000</v>
          </cell>
          <cell r="C4901">
            <v>0</v>
          </cell>
          <cell r="D4901">
            <v>119199024</v>
          </cell>
          <cell r="E4901">
            <v>0</v>
          </cell>
          <cell r="F4901">
            <v>131580121</v>
          </cell>
          <cell r="G4901">
            <v>0</v>
          </cell>
          <cell r="H4901">
            <v>0</v>
          </cell>
          <cell r="I4901">
            <v>0</v>
          </cell>
          <cell r="J4901">
            <v>153783896</v>
          </cell>
          <cell r="K4901">
            <v>153771491</v>
          </cell>
          <cell r="L4901">
            <v>7804732</v>
          </cell>
          <cell r="M4901">
            <v>117673736</v>
          </cell>
          <cell r="N4901">
            <v>0</v>
          </cell>
          <cell r="O4901">
            <v>97411146</v>
          </cell>
          <cell r="P4901">
            <v>198226844</v>
          </cell>
          <cell r="Q4901">
            <v>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53687347</v>
          </cell>
          <cell r="X4901">
            <v>0</v>
          </cell>
          <cell r="Y4901">
            <v>87691249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37715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  <cell r="AI4901">
            <v>0</v>
          </cell>
        </row>
        <row r="4902">
          <cell r="A4902">
            <v>513020100</v>
          </cell>
          <cell r="C4902">
            <v>0</v>
          </cell>
          <cell r="D4902">
            <v>79428816</v>
          </cell>
          <cell r="E4902">
            <v>0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9656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1381491</v>
          </cell>
          <cell r="Q4902">
            <v>0</v>
          </cell>
          <cell r="R4902">
            <v>0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1328921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37715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</row>
        <row r="4903">
          <cell r="A4903">
            <v>513020101</v>
          </cell>
          <cell r="C4903">
            <v>0</v>
          </cell>
          <cell r="D4903">
            <v>79428816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9656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1381491</v>
          </cell>
          <cell r="Q4903">
            <v>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1328921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37715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</row>
        <row r="4904">
          <cell r="A4904">
            <v>513020200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</row>
        <row r="4905">
          <cell r="A4905">
            <v>513020201</v>
          </cell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</row>
        <row r="4906">
          <cell r="A4906">
            <v>513020300</v>
          </cell>
          <cell r="C4906">
            <v>0</v>
          </cell>
          <cell r="D4906">
            <v>19444444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1136141</v>
          </cell>
          <cell r="Q4906">
            <v>0</v>
          </cell>
          <cell r="R4906">
            <v>0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</row>
        <row r="4907">
          <cell r="A4907">
            <v>513020301</v>
          </cell>
          <cell r="C4907">
            <v>0</v>
          </cell>
          <cell r="D4907">
            <v>19444444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1136141</v>
          </cell>
          <cell r="Q4907">
            <v>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  <cell r="AI4907">
            <v>0</v>
          </cell>
        </row>
        <row r="4908">
          <cell r="A4908">
            <v>513020400</v>
          </cell>
          <cell r="C4908">
            <v>0</v>
          </cell>
          <cell r="D4908">
            <v>20325764</v>
          </cell>
          <cell r="E4908">
            <v>0</v>
          </cell>
          <cell r="F4908">
            <v>131580121</v>
          </cell>
          <cell r="G4908">
            <v>0</v>
          </cell>
          <cell r="H4908">
            <v>0</v>
          </cell>
          <cell r="I4908">
            <v>0</v>
          </cell>
          <cell r="J4908">
            <v>153774240</v>
          </cell>
          <cell r="K4908">
            <v>153061491</v>
          </cell>
          <cell r="L4908">
            <v>7804732</v>
          </cell>
          <cell r="M4908">
            <v>117673736</v>
          </cell>
          <cell r="N4908">
            <v>0</v>
          </cell>
          <cell r="O4908">
            <v>97411146</v>
          </cell>
          <cell r="P4908">
            <v>31568354</v>
          </cell>
          <cell r="Q4908">
            <v>0</v>
          </cell>
          <cell r="R4908">
            <v>0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52358426</v>
          </cell>
          <cell r="X4908">
            <v>0</v>
          </cell>
          <cell r="Y4908">
            <v>87691249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0</v>
          </cell>
          <cell r="AG4908">
            <v>0</v>
          </cell>
          <cell r="AH4908">
            <v>0</v>
          </cell>
          <cell r="AI4908">
            <v>0</v>
          </cell>
        </row>
        <row r="4909">
          <cell r="A4909">
            <v>513020401</v>
          </cell>
          <cell r="C4909">
            <v>0</v>
          </cell>
          <cell r="D4909">
            <v>20325764</v>
          </cell>
          <cell r="E4909">
            <v>0</v>
          </cell>
          <cell r="F4909">
            <v>131580121</v>
          </cell>
          <cell r="G4909">
            <v>0</v>
          </cell>
          <cell r="H4909">
            <v>0</v>
          </cell>
          <cell r="I4909">
            <v>0</v>
          </cell>
          <cell r="J4909">
            <v>153774240</v>
          </cell>
          <cell r="K4909">
            <v>153061491</v>
          </cell>
          <cell r="L4909">
            <v>7804732</v>
          </cell>
          <cell r="M4909">
            <v>117673736</v>
          </cell>
          <cell r="N4909">
            <v>0</v>
          </cell>
          <cell r="O4909">
            <v>97411146</v>
          </cell>
          <cell r="P4909">
            <v>31568354</v>
          </cell>
          <cell r="Q4909">
            <v>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52358426</v>
          </cell>
          <cell r="X4909">
            <v>0</v>
          </cell>
          <cell r="Y4909">
            <v>87691249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  <cell r="AE4909">
            <v>0</v>
          </cell>
          <cell r="AF4909">
            <v>0</v>
          </cell>
          <cell r="AG4909">
            <v>0</v>
          </cell>
          <cell r="AH4909">
            <v>0</v>
          </cell>
          <cell r="AI4909">
            <v>0</v>
          </cell>
        </row>
        <row r="4910">
          <cell r="A4910">
            <v>513020500</v>
          </cell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</row>
        <row r="4911">
          <cell r="A4911">
            <v>513020501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0</v>
          </cell>
          <cell r="AE4911">
            <v>0</v>
          </cell>
          <cell r="AF4911">
            <v>0</v>
          </cell>
          <cell r="AG4911">
            <v>0</v>
          </cell>
          <cell r="AH4911">
            <v>0</v>
          </cell>
          <cell r="AI4911">
            <v>0</v>
          </cell>
        </row>
        <row r="4912">
          <cell r="A4912">
            <v>513020600</v>
          </cell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125000000</v>
          </cell>
          <cell r="Q4912">
            <v>0</v>
          </cell>
          <cell r="R4912">
            <v>0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</row>
        <row r="4913">
          <cell r="A4913">
            <v>513020601</v>
          </cell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125000000</v>
          </cell>
          <cell r="Q4913">
            <v>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</row>
        <row r="4914">
          <cell r="A4914">
            <v>513020700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593274</v>
          </cell>
          <cell r="Q4914">
            <v>0</v>
          </cell>
          <cell r="R4914">
            <v>0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  <cell r="AG4914">
            <v>0</v>
          </cell>
          <cell r="AH4914">
            <v>0</v>
          </cell>
          <cell r="AI4914">
            <v>0</v>
          </cell>
        </row>
        <row r="4915">
          <cell r="A4915">
            <v>513020701</v>
          </cell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593274</v>
          </cell>
          <cell r="Q4915">
            <v>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</row>
        <row r="4916">
          <cell r="A4916">
            <v>513020800</v>
          </cell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R4916">
            <v>0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  <cell r="AE4916">
            <v>0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</row>
        <row r="4917">
          <cell r="A4917">
            <v>513020801</v>
          </cell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</row>
        <row r="4918">
          <cell r="A4918">
            <v>513020900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710000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</row>
        <row r="4919">
          <cell r="A4919">
            <v>513020901</v>
          </cell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710000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</row>
        <row r="4920">
          <cell r="A4920">
            <v>513021000</v>
          </cell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R4920">
            <v>0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  <cell r="AE4920">
            <v>0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</row>
        <row r="4921">
          <cell r="A4921">
            <v>513021001</v>
          </cell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G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R4921">
            <v>0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</row>
        <row r="4922">
          <cell r="A4922">
            <v>513021100</v>
          </cell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</row>
        <row r="4923">
          <cell r="A4923">
            <v>513021101</v>
          </cell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</row>
        <row r="4924">
          <cell r="A4924">
            <v>513021200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38547584</v>
          </cell>
          <cell r="Q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</row>
        <row r="4925">
          <cell r="A4925">
            <v>513021201</v>
          </cell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38547584</v>
          </cell>
          <cell r="Q4925">
            <v>0</v>
          </cell>
          <cell r="R4925">
            <v>0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  <cell r="AE4925">
            <v>0</v>
          </cell>
          <cell r="AF4925">
            <v>0</v>
          </cell>
          <cell r="AG4925">
            <v>0</v>
          </cell>
          <cell r="AH4925">
            <v>0</v>
          </cell>
          <cell r="AI4925">
            <v>0</v>
          </cell>
        </row>
        <row r="4926">
          <cell r="A4926">
            <v>513021300</v>
          </cell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0</v>
          </cell>
          <cell r="AG4926">
            <v>0</v>
          </cell>
          <cell r="AH4926">
            <v>0</v>
          </cell>
          <cell r="AI4926">
            <v>0</v>
          </cell>
        </row>
        <row r="4927">
          <cell r="A4927">
            <v>513021301</v>
          </cell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R4927">
            <v>0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0</v>
          </cell>
          <cell r="AG4927">
            <v>0</v>
          </cell>
          <cell r="AH4927">
            <v>0</v>
          </cell>
          <cell r="AI4927">
            <v>0</v>
          </cell>
        </row>
        <row r="4928">
          <cell r="A4928">
            <v>513022000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</row>
        <row r="4929">
          <cell r="A4929">
            <v>513022001</v>
          </cell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R4929">
            <v>0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</row>
        <row r="4930">
          <cell r="A4930">
            <v>513022002</v>
          </cell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</row>
        <row r="4931">
          <cell r="A4931">
            <v>513022003</v>
          </cell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</row>
        <row r="4932">
          <cell r="A4932">
            <v>513022004</v>
          </cell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R4932">
            <v>0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</row>
        <row r="4933">
          <cell r="A4933">
            <v>513022005</v>
          </cell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</row>
        <row r="4934">
          <cell r="A4934">
            <v>513022006</v>
          </cell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R4934">
            <v>0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</row>
        <row r="4935">
          <cell r="A4935">
            <v>513022007</v>
          </cell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R4935">
            <v>0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0</v>
          </cell>
          <cell r="AE4935">
            <v>0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</row>
        <row r="4936">
          <cell r="A4936">
            <v>513022008</v>
          </cell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R4936">
            <v>0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</row>
        <row r="4937">
          <cell r="A4937">
            <v>513022009</v>
          </cell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0</v>
          </cell>
          <cell r="AG4937">
            <v>0</v>
          </cell>
          <cell r="AH4937">
            <v>0</v>
          </cell>
          <cell r="AI4937">
            <v>0</v>
          </cell>
        </row>
        <row r="4938">
          <cell r="A4938">
            <v>514000000</v>
          </cell>
          <cell r="C4938">
            <v>71902</v>
          </cell>
          <cell r="D4938">
            <v>4096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  <cell r="I4938">
            <v>0</v>
          </cell>
          <cell r="J4938">
            <v>23967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R4938">
            <v>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</row>
        <row r="4939">
          <cell r="A4939">
            <v>514010000</v>
          </cell>
          <cell r="C4939">
            <v>71902</v>
          </cell>
          <cell r="D4939">
            <v>4096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  <cell r="I4939">
            <v>0</v>
          </cell>
          <cell r="J4939">
            <v>23967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  <cell r="AE4939">
            <v>0</v>
          </cell>
          <cell r="AF4939">
            <v>0</v>
          </cell>
          <cell r="AG4939">
            <v>0</v>
          </cell>
          <cell r="AH4939">
            <v>0</v>
          </cell>
          <cell r="AI4939">
            <v>0</v>
          </cell>
        </row>
        <row r="4940">
          <cell r="A4940">
            <v>514010100</v>
          </cell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R4940">
            <v>0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</row>
        <row r="4941">
          <cell r="A4941">
            <v>514010101</v>
          </cell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</row>
        <row r="4942">
          <cell r="A4942">
            <v>514010200</v>
          </cell>
          <cell r="C4942">
            <v>0</v>
          </cell>
          <cell r="D4942">
            <v>4096</v>
          </cell>
          <cell r="E4942">
            <v>0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0</v>
          </cell>
          <cell r="AG4942">
            <v>0</v>
          </cell>
          <cell r="AH4942">
            <v>0</v>
          </cell>
          <cell r="AI4942">
            <v>0</v>
          </cell>
        </row>
        <row r="4943">
          <cell r="A4943">
            <v>514010201</v>
          </cell>
          <cell r="C4943">
            <v>0</v>
          </cell>
          <cell r="D4943">
            <v>4096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</row>
        <row r="4944">
          <cell r="A4944">
            <v>514010300</v>
          </cell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</row>
        <row r="4945">
          <cell r="A4945">
            <v>514010301</v>
          </cell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R4945">
            <v>0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</row>
        <row r="4946">
          <cell r="A4946">
            <v>514010400</v>
          </cell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R4946">
            <v>0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</row>
        <row r="4947">
          <cell r="A4947">
            <v>514010401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R4947">
            <v>0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</row>
        <row r="4948">
          <cell r="A4948">
            <v>514010500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0</v>
          </cell>
          <cell r="AG4948">
            <v>0</v>
          </cell>
          <cell r="AH4948">
            <v>0</v>
          </cell>
          <cell r="AI4948">
            <v>0</v>
          </cell>
        </row>
        <row r="4949">
          <cell r="A4949">
            <v>514010501</v>
          </cell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R4949">
            <v>0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  <cell r="AG4949">
            <v>0</v>
          </cell>
          <cell r="AH4949">
            <v>0</v>
          </cell>
          <cell r="AI4949">
            <v>0</v>
          </cell>
        </row>
        <row r="4950">
          <cell r="A4950">
            <v>514010600</v>
          </cell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  <cell r="AG4950">
            <v>0</v>
          </cell>
          <cell r="AH4950">
            <v>0</v>
          </cell>
          <cell r="AI4950">
            <v>0</v>
          </cell>
        </row>
        <row r="4951">
          <cell r="A4951">
            <v>514010601</v>
          </cell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R4951">
            <v>0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  <cell r="AG4951">
            <v>0</v>
          </cell>
          <cell r="AH4951">
            <v>0</v>
          </cell>
          <cell r="AI4951">
            <v>0</v>
          </cell>
        </row>
        <row r="4952">
          <cell r="A4952">
            <v>514010700</v>
          </cell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G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  <cell r="AG4952">
            <v>0</v>
          </cell>
          <cell r="AH4952">
            <v>0</v>
          </cell>
          <cell r="AI4952">
            <v>0</v>
          </cell>
        </row>
        <row r="4953">
          <cell r="A4953">
            <v>514010701</v>
          </cell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  <cell r="AE4953">
            <v>0</v>
          </cell>
          <cell r="AF4953">
            <v>0</v>
          </cell>
          <cell r="AG4953">
            <v>0</v>
          </cell>
          <cell r="AH4953">
            <v>0</v>
          </cell>
          <cell r="AI4953">
            <v>0</v>
          </cell>
        </row>
        <row r="4954">
          <cell r="A4954">
            <v>514010800</v>
          </cell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0</v>
          </cell>
          <cell r="AG4954">
            <v>0</v>
          </cell>
          <cell r="AH4954">
            <v>0</v>
          </cell>
          <cell r="AI4954">
            <v>0</v>
          </cell>
        </row>
        <row r="4955">
          <cell r="A4955">
            <v>514010801</v>
          </cell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R4955">
            <v>0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  <cell r="AE4955">
            <v>0</v>
          </cell>
          <cell r="AF4955">
            <v>0</v>
          </cell>
          <cell r="AG4955">
            <v>0</v>
          </cell>
          <cell r="AH4955">
            <v>0</v>
          </cell>
          <cell r="AI4955">
            <v>0</v>
          </cell>
        </row>
        <row r="4956">
          <cell r="A4956">
            <v>514010900</v>
          </cell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R4956">
            <v>0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  <cell r="AG4956">
            <v>0</v>
          </cell>
          <cell r="AH4956">
            <v>0</v>
          </cell>
          <cell r="AI4956">
            <v>0</v>
          </cell>
        </row>
        <row r="4957">
          <cell r="A4957">
            <v>514010901</v>
          </cell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R4957">
            <v>0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  <cell r="AG4957">
            <v>0</v>
          </cell>
          <cell r="AH4957">
            <v>0</v>
          </cell>
          <cell r="AI4957">
            <v>0</v>
          </cell>
        </row>
        <row r="4958">
          <cell r="A4958">
            <v>514011000</v>
          </cell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0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</row>
        <row r="4959">
          <cell r="A4959">
            <v>514011001</v>
          </cell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  <cell r="AG4959">
            <v>0</v>
          </cell>
          <cell r="AH4959">
            <v>0</v>
          </cell>
          <cell r="AI4959">
            <v>0</v>
          </cell>
        </row>
        <row r="4960">
          <cell r="A4960">
            <v>514011100</v>
          </cell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</row>
        <row r="4961">
          <cell r="A4961">
            <v>514011101</v>
          </cell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G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  <cell r="AG4961">
            <v>0</v>
          </cell>
          <cell r="AH4961">
            <v>0</v>
          </cell>
          <cell r="AI4961">
            <v>0</v>
          </cell>
        </row>
        <row r="4962">
          <cell r="A4962">
            <v>514011200</v>
          </cell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</row>
        <row r="4963">
          <cell r="A4963">
            <v>514011201</v>
          </cell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R4963">
            <v>0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  <cell r="AG4963">
            <v>0</v>
          </cell>
          <cell r="AH4963">
            <v>0</v>
          </cell>
          <cell r="AI4963">
            <v>0</v>
          </cell>
        </row>
        <row r="4964">
          <cell r="A4964">
            <v>514011300</v>
          </cell>
          <cell r="C4964">
            <v>71902</v>
          </cell>
          <cell r="D4964">
            <v>0</v>
          </cell>
          <cell r="E4964">
            <v>0</v>
          </cell>
          <cell r="F4964">
            <v>0</v>
          </cell>
          <cell r="G4964">
            <v>0</v>
          </cell>
          <cell r="H4964">
            <v>0</v>
          </cell>
          <cell r="I4964">
            <v>0</v>
          </cell>
          <cell r="J4964">
            <v>23967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</row>
        <row r="4965">
          <cell r="A4965">
            <v>514011301</v>
          </cell>
          <cell r="C4965">
            <v>71902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  <cell r="I4965">
            <v>0</v>
          </cell>
          <cell r="J4965">
            <v>23967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</row>
        <row r="4966">
          <cell r="A4966">
            <v>514012000</v>
          </cell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</row>
        <row r="4967">
          <cell r="A4967">
            <v>514012001</v>
          </cell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0</v>
          </cell>
          <cell r="AG4967">
            <v>0</v>
          </cell>
          <cell r="AH4967">
            <v>0</v>
          </cell>
          <cell r="AI4967">
            <v>0</v>
          </cell>
        </row>
        <row r="4968">
          <cell r="A4968">
            <v>514012002</v>
          </cell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</row>
        <row r="4969">
          <cell r="A4969">
            <v>514012003</v>
          </cell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0</v>
          </cell>
          <cell r="AG4969">
            <v>0</v>
          </cell>
          <cell r="AH4969">
            <v>0</v>
          </cell>
          <cell r="AI4969">
            <v>0</v>
          </cell>
        </row>
        <row r="4970">
          <cell r="A4970">
            <v>514012004</v>
          </cell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G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</row>
        <row r="4971">
          <cell r="A4971">
            <v>514012005</v>
          </cell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  <cell r="AE4971">
            <v>0</v>
          </cell>
          <cell r="AF4971">
            <v>0</v>
          </cell>
          <cell r="AG4971">
            <v>0</v>
          </cell>
          <cell r="AH4971">
            <v>0</v>
          </cell>
          <cell r="AI4971">
            <v>0</v>
          </cell>
        </row>
        <row r="4972">
          <cell r="A4972">
            <v>514012006</v>
          </cell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</row>
        <row r="4973">
          <cell r="A4973">
            <v>514012007</v>
          </cell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0</v>
          </cell>
          <cell r="AG4973">
            <v>0</v>
          </cell>
          <cell r="AH4973">
            <v>0</v>
          </cell>
          <cell r="AI4973">
            <v>0</v>
          </cell>
        </row>
        <row r="4974">
          <cell r="A4974">
            <v>514012008</v>
          </cell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G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R4974">
            <v>0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  <cell r="AG4974">
            <v>0</v>
          </cell>
          <cell r="AH4974">
            <v>0</v>
          </cell>
          <cell r="AI4974">
            <v>0</v>
          </cell>
        </row>
        <row r="4975">
          <cell r="A4975">
            <v>514012009</v>
          </cell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  <cell r="AG4975">
            <v>0</v>
          </cell>
          <cell r="AH4975">
            <v>0</v>
          </cell>
          <cell r="AI4975">
            <v>0</v>
          </cell>
        </row>
        <row r="4976">
          <cell r="A4976">
            <v>514040000</v>
          </cell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R4976">
            <v>0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0</v>
          </cell>
          <cell r="AG4976">
            <v>0</v>
          </cell>
          <cell r="AH4976">
            <v>0</v>
          </cell>
          <cell r="AI4976">
            <v>0</v>
          </cell>
        </row>
        <row r="4977">
          <cell r="A4977">
            <v>514040100</v>
          </cell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R4977">
            <v>0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  <cell r="AG4977">
            <v>0</v>
          </cell>
          <cell r="AH4977">
            <v>0</v>
          </cell>
          <cell r="AI4977">
            <v>0</v>
          </cell>
        </row>
        <row r="4978">
          <cell r="A4978">
            <v>514040101</v>
          </cell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R4978">
            <v>0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</row>
        <row r="4979">
          <cell r="A4979">
            <v>514040200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</row>
        <row r="4980">
          <cell r="A4980">
            <v>514040201</v>
          </cell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R4980">
            <v>0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</row>
        <row r="4981">
          <cell r="A4981">
            <v>514040300</v>
          </cell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R4981">
            <v>0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  <cell r="AG4981">
            <v>0</v>
          </cell>
          <cell r="AH4981">
            <v>0</v>
          </cell>
          <cell r="AI4981">
            <v>0</v>
          </cell>
        </row>
        <row r="4982">
          <cell r="A4982">
            <v>514040301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</row>
        <row r="4983">
          <cell r="A4983">
            <v>514040400</v>
          </cell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R4983">
            <v>0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</row>
        <row r="4984">
          <cell r="A4984">
            <v>514040401</v>
          </cell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R4984">
            <v>0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</row>
        <row r="4985">
          <cell r="A4985">
            <v>514040500</v>
          </cell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R4985">
            <v>0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</row>
        <row r="4986">
          <cell r="A4986">
            <v>514040501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</row>
        <row r="4987">
          <cell r="A4987">
            <v>514040600</v>
          </cell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R4987">
            <v>0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</row>
        <row r="4988">
          <cell r="A4988">
            <v>514040601</v>
          </cell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</row>
        <row r="4989">
          <cell r="A4989">
            <v>514040700</v>
          </cell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R4989">
            <v>0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</row>
        <row r="4990">
          <cell r="A4990">
            <v>514040701</v>
          </cell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R4990">
            <v>0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</row>
        <row r="4991">
          <cell r="A4991">
            <v>514040800</v>
          </cell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  <cell r="AE4991">
            <v>0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</row>
        <row r="4992">
          <cell r="A4992">
            <v>514040801</v>
          </cell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</row>
        <row r="4993">
          <cell r="A4993">
            <v>514040900</v>
          </cell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</row>
        <row r="4994">
          <cell r="A4994">
            <v>514040901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</row>
        <row r="4995">
          <cell r="A4995">
            <v>514041000</v>
          </cell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</row>
        <row r="4996">
          <cell r="A4996">
            <v>514041001</v>
          </cell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</row>
        <row r="4997">
          <cell r="A4997">
            <v>514041100</v>
          </cell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</row>
        <row r="4998">
          <cell r="A4998">
            <v>514041101</v>
          </cell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</row>
        <row r="4999">
          <cell r="A4999">
            <v>514041200</v>
          </cell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</row>
        <row r="5000">
          <cell r="A5000">
            <v>514041201</v>
          </cell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  <cell r="AE5000">
            <v>0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</row>
        <row r="5001">
          <cell r="A5001">
            <v>514041300</v>
          </cell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</v>
          </cell>
          <cell r="AE5001">
            <v>0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</row>
        <row r="5002">
          <cell r="A5002">
            <v>514041301</v>
          </cell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  <cell r="AE5002">
            <v>0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</row>
        <row r="5003">
          <cell r="A5003">
            <v>514042000</v>
          </cell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</row>
        <row r="5004">
          <cell r="A5004">
            <v>514042001</v>
          </cell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0</v>
          </cell>
          <cell r="AE5004">
            <v>0</v>
          </cell>
          <cell r="AF5004">
            <v>0</v>
          </cell>
          <cell r="AG5004">
            <v>0</v>
          </cell>
          <cell r="AH5004">
            <v>0</v>
          </cell>
          <cell r="AI5004">
            <v>0</v>
          </cell>
        </row>
        <row r="5005">
          <cell r="A5005">
            <v>514042002</v>
          </cell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0</v>
          </cell>
          <cell r="AE5005">
            <v>0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</row>
        <row r="5006">
          <cell r="A5006">
            <v>514042003</v>
          </cell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  <cell r="AE5006">
            <v>0</v>
          </cell>
          <cell r="AF5006">
            <v>0</v>
          </cell>
          <cell r="AG5006">
            <v>0</v>
          </cell>
          <cell r="AH5006">
            <v>0</v>
          </cell>
          <cell r="AI5006">
            <v>0</v>
          </cell>
        </row>
        <row r="5007">
          <cell r="A5007">
            <v>514042004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  <cell r="AE5007">
            <v>0</v>
          </cell>
          <cell r="AF5007">
            <v>0</v>
          </cell>
          <cell r="AG5007">
            <v>0</v>
          </cell>
          <cell r="AH5007">
            <v>0</v>
          </cell>
          <cell r="AI5007">
            <v>0</v>
          </cell>
        </row>
        <row r="5008">
          <cell r="A5008">
            <v>514042005</v>
          </cell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  <cell r="AE5008">
            <v>0</v>
          </cell>
          <cell r="AF5008">
            <v>0</v>
          </cell>
          <cell r="AG5008">
            <v>0</v>
          </cell>
          <cell r="AH5008">
            <v>0</v>
          </cell>
          <cell r="AI5008">
            <v>0</v>
          </cell>
        </row>
        <row r="5009">
          <cell r="A5009">
            <v>514042006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  <cell r="AE5009">
            <v>0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</row>
        <row r="5010">
          <cell r="A5010">
            <v>514042007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0</v>
          </cell>
          <cell r="AG5010">
            <v>0</v>
          </cell>
          <cell r="AH5010">
            <v>0</v>
          </cell>
          <cell r="AI5010">
            <v>0</v>
          </cell>
        </row>
        <row r="5011">
          <cell r="A5011">
            <v>514042008</v>
          </cell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R5011">
            <v>0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0</v>
          </cell>
          <cell r="AG5011">
            <v>0</v>
          </cell>
          <cell r="AH5011">
            <v>0</v>
          </cell>
          <cell r="AI5011">
            <v>0</v>
          </cell>
        </row>
        <row r="5012">
          <cell r="A5012">
            <v>514042009</v>
          </cell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</row>
        <row r="5013">
          <cell r="A5013">
            <v>514050000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0</v>
          </cell>
          <cell r="AG5013">
            <v>0</v>
          </cell>
          <cell r="AH5013">
            <v>0</v>
          </cell>
          <cell r="AI5013">
            <v>0</v>
          </cell>
        </row>
        <row r="5014">
          <cell r="A5014">
            <v>514050100</v>
          </cell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  <cell r="AE5014">
            <v>0</v>
          </cell>
          <cell r="AF5014">
            <v>0</v>
          </cell>
          <cell r="AG5014">
            <v>0</v>
          </cell>
          <cell r="AH5014">
            <v>0</v>
          </cell>
          <cell r="AI5014">
            <v>0</v>
          </cell>
        </row>
        <row r="5015">
          <cell r="A5015">
            <v>514050101</v>
          </cell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R5015">
            <v>0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</row>
        <row r="5016">
          <cell r="A5016">
            <v>514050200</v>
          </cell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</row>
        <row r="5017">
          <cell r="A5017">
            <v>514050201</v>
          </cell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  <cell r="AE5017">
            <v>0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</row>
        <row r="5018">
          <cell r="A5018">
            <v>514050300</v>
          </cell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  <cell r="AG5018">
            <v>0</v>
          </cell>
          <cell r="AH5018">
            <v>0</v>
          </cell>
          <cell r="AI5018">
            <v>0</v>
          </cell>
        </row>
        <row r="5019">
          <cell r="A5019">
            <v>514050301</v>
          </cell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</v>
          </cell>
          <cell r="AE5019">
            <v>0</v>
          </cell>
          <cell r="AF5019">
            <v>0</v>
          </cell>
          <cell r="AG5019">
            <v>0</v>
          </cell>
          <cell r="AH5019">
            <v>0</v>
          </cell>
          <cell r="AI5019">
            <v>0</v>
          </cell>
        </row>
        <row r="5020">
          <cell r="A5020">
            <v>514050400</v>
          </cell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</row>
        <row r="5021">
          <cell r="A5021">
            <v>514050401</v>
          </cell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</row>
        <row r="5022">
          <cell r="A5022">
            <v>514050500</v>
          </cell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  <cell r="AE5022">
            <v>0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</row>
        <row r="5023">
          <cell r="A5023">
            <v>514050501</v>
          </cell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  <cell r="AE5023">
            <v>0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</row>
        <row r="5024">
          <cell r="A5024">
            <v>514050600</v>
          </cell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</row>
        <row r="5025">
          <cell r="A5025">
            <v>514050601</v>
          </cell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</row>
        <row r="5026">
          <cell r="A5026">
            <v>514050700</v>
          </cell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</row>
        <row r="5027">
          <cell r="A5027">
            <v>514050701</v>
          </cell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</row>
        <row r="5028">
          <cell r="A5028">
            <v>514050800</v>
          </cell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</row>
        <row r="5029">
          <cell r="A5029">
            <v>514050801</v>
          </cell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</row>
        <row r="5030">
          <cell r="A5030">
            <v>514050900</v>
          </cell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  <cell r="AI5030">
            <v>0</v>
          </cell>
        </row>
        <row r="5031">
          <cell r="A5031">
            <v>514050901</v>
          </cell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R5031">
            <v>0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</row>
        <row r="5032">
          <cell r="A5032">
            <v>514051000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</row>
        <row r="5033">
          <cell r="A5033">
            <v>514051001</v>
          </cell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</row>
        <row r="5034">
          <cell r="A5034">
            <v>514051100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</row>
        <row r="5035">
          <cell r="A5035">
            <v>514051101</v>
          </cell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</row>
        <row r="5036">
          <cell r="A5036">
            <v>514051200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</row>
        <row r="5037">
          <cell r="A5037">
            <v>514051201</v>
          </cell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</row>
        <row r="5038">
          <cell r="A5038">
            <v>514051300</v>
          </cell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</row>
        <row r="5039">
          <cell r="A5039">
            <v>514051301</v>
          </cell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  <cell r="AI5039">
            <v>0</v>
          </cell>
        </row>
        <row r="5040">
          <cell r="A5040">
            <v>514052000</v>
          </cell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</row>
        <row r="5041">
          <cell r="A5041">
            <v>514052001</v>
          </cell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</row>
        <row r="5042">
          <cell r="A5042">
            <v>514052002</v>
          </cell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</row>
        <row r="5043">
          <cell r="A5043">
            <v>514052003</v>
          </cell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</row>
        <row r="5044">
          <cell r="A5044">
            <v>514052004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R5044">
            <v>0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</row>
        <row r="5045">
          <cell r="A5045">
            <v>514052005</v>
          </cell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</row>
        <row r="5046">
          <cell r="A5046">
            <v>514052006</v>
          </cell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</row>
        <row r="5047">
          <cell r="A5047">
            <v>514052007</v>
          </cell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  <cell r="AI5047">
            <v>0</v>
          </cell>
        </row>
        <row r="5048">
          <cell r="A5048">
            <v>514052008</v>
          </cell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</row>
        <row r="5049">
          <cell r="A5049">
            <v>514052009</v>
          </cell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</row>
        <row r="5050">
          <cell r="A5050">
            <v>515000000</v>
          </cell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2643219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</row>
        <row r="5051">
          <cell r="A5051">
            <v>515010000</v>
          </cell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0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2643219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</row>
        <row r="5052">
          <cell r="A5052">
            <v>515010100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</row>
        <row r="5053">
          <cell r="A5053">
            <v>515010101</v>
          </cell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</row>
        <row r="5054">
          <cell r="A5054">
            <v>515010200</v>
          </cell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</row>
        <row r="5055">
          <cell r="A5055">
            <v>515010201</v>
          </cell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R5055">
            <v>0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</row>
        <row r="5056">
          <cell r="A5056">
            <v>515010300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</row>
        <row r="5057">
          <cell r="A5057">
            <v>515010301</v>
          </cell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R5057">
            <v>0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</row>
        <row r="5058">
          <cell r="A5058">
            <v>515010400</v>
          </cell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2643219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</row>
        <row r="5059">
          <cell r="A5059">
            <v>515010401</v>
          </cell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2643219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</row>
        <row r="5060">
          <cell r="A5060">
            <v>515010500</v>
          </cell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</row>
        <row r="5061">
          <cell r="A5061">
            <v>515010501</v>
          </cell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R5061">
            <v>0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</row>
        <row r="5062">
          <cell r="A5062">
            <v>515010600</v>
          </cell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</row>
        <row r="5063">
          <cell r="A5063">
            <v>515010601</v>
          </cell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R5063">
            <v>0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</row>
        <row r="5064">
          <cell r="A5064">
            <v>515010700</v>
          </cell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  <cell r="AI5064">
            <v>0</v>
          </cell>
        </row>
        <row r="5065">
          <cell r="A5065">
            <v>515010701</v>
          </cell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R5065">
            <v>0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  <cell r="AI5065">
            <v>0</v>
          </cell>
        </row>
        <row r="5066">
          <cell r="A5066">
            <v>515010800</v>
          </cell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  <cell r="AI5066">
            <v>0</v>
          </cell>
        </row>
        <row r="5067">
          <cell r="A5067">
            <v>515010801</v>
          </cell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R5067">
            <v>0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  <cell r="AI5067">
            <v>0</v>
          </cell>
        </row>
        <row r="5068">
          <cell r="A5068">
            <v>515010900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</row>
        <row r="5069">
          <cell r="A5069">
            <v>515010901</v>
          </cell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R5069">
            <v>0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</row>
        <row r="5070">
          <cell r="A5070">
            <v>515011000</v>
          </cell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R5070">
            <v>0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</row>
        <row r="5071">
          <cell r="A5071">
            <v>515011001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  <cell r="AI5071">
            <v>0</v>
          </cell>
        </row>
        <row r="5072">
          <cell r="A5072">
            <v>515011100</v>
          </cell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R5072">
            <v>0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</row>
        <row r="5073">
          <cell r="A5073">
            <v>515011101</v>
          </cell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G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  <cell r="AI5073">
            <v>0</v>
          </cell>
        </row>
        <row r="5074">
          <cell r="A5074">
            <v>515011200</v>
          </cell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</row>
        <row r="5075">
          <cell r="A5075">
            <v>515011201</v>
          </cell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  <cell r="AI5075">
            <v>0</v>
          </cell>
        </row>
        <row r="5076">
          <cell r="A5076">
            <v>515011300</v>
          </cell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  <cell r="AI5076">
            <v>0</v>
          </cell>
        </row>
        <row r="5077">
          <cell r="A5077">
            <v>515011301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  <cell r="AI5077">
            <v>0</v>
          </cell>
        </row>
        <row r="5078">
          <cell r="A5078">
            <v>515012000</v>
          </cell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</row>
        <row r="5079">
          <cell r="A5079">
            <v>515012001</v>
          </cell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</row>
        <row r="5080">
          <cell r="A5080">
            <v>515012002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</row>
        <row r="5081">
          <cell r="A5081">
            <v>515012003</v>
          </cell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</row>
        <row r="5082">
          <cell r="A5082">
            <v>515012004</v>
          </cell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</row>
        <row r="5083">
          <cell r="A5083">
            <v>515012005</v>
          </cell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</row>
        <row r="5084">
          <cell r="A5084">
            <v>515012006</v>
          </cell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</row>
        <row r="5085">
          <cell r="A5085">
            <v>515012007</v>
          </cell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</row>
        <row r="5086">
          <cell r="A5086">
            <v>515012008</v>
          </cell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  <cell r="AI5086">
            <v>0</v>
          </cell>
        </row>
        <row r="5087">
          <cell r="A5087">
            <v>515012009</v>
          </cell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  <cell r="AI5087">
            <v>0</v>
          </cell>
        </row>
        <row r="5088">
          <cell r="A5088">
            <v>515020000</v>
          </cell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</row>
        <row r="5089">
          <cell r="A5089">
            <v>515020100</v>
          </cell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  <cell r="AI5089">
            <v>0</v>
          </cell>
        </row>
        <row r="5090">
          <cell r="A5090">
            <v>515020101</v>
          </cell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R5090">
            <v>0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</row>
        <row r="5091">
          <cell r="A5091">
            <v>515020200</v>
          </cell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</row>
        <row r="5092">
          <cell r="A5092">
            <v>515020201</v>
          </cell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R5092">
            <v>0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</row>
        <row r="5093">
          <cell r="A5093">
            <v>515020300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R5093">
            <v>0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</row>
        <row r="5094">
          <cell r="A5094">
            <v>515020301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0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</row>
        <row r="5095">
          <cell r="A5095">
            <v>515020400</v>
          </cell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R5095">
            <v>0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  <cell r="AG5095">
            <v>0</v>
          </cell>
          <cell r="AH5095">
            <v>0</v>
          </cell>
          <cell r="AI5095">
            <v>0</v>
          </cell>
        </row>
        <row r="5096">
          <cell r="A5096">
            <v>515020401</v>
          </cell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G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R5096">
            <v>0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</row>
        <row r="5097">
          <cell r="A5097">
            <v>515020500</v>
          </cell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R5097">
            <v>0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</row>
        <row r="5098">
          <cell r="A5098">
            <v>515020501</v>
          </cell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R5098">
            <v>0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</row>
        <row r="5099">
          <cell r="A5099">
            <v>515020600</v>
          </cell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G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</row>
        <row r="5100">
          <cell r="A5100">
            <v>515020601</v>
          </cell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R5100">
            <v>0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  <cell r="AE5100">
            <v>0</v>
          </cell>
          <cell r="AF5100">
            <v>0</v>
          </cell>
          <cell r="AG5100">
            <v>0</v>
          </cell>
          <cell r="AH5100">
            <v>0</v>
          </cell>
          <cell r="AI5100">
            <v>0</v>
          </cell>
        </row>
        <row r="5101">
          <cell r="A5101">
            <v>515020700</v>
          </cell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R5101">
            <v>0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  <cell r="AE5101">
            <v>0</v>
          </cell>
          <cell r="AF5101">
            <v>0</v>
          </cell>
          <cell r="AG5101">
            <v>0</v>
          </cell>
          <cell r="AH5101">
            <v>0</v>
          </cell>
          <cell r="AI5101">
            <v>0</v>
          </cell>
        </row>
        <row r="5102">
          <cell r="A5102">
            <v>515020701</v>
          </cell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  <cell r="AE5102">
            <v>0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</row>
        <row r="5103">
          <cell r="A5103">
            <v>515020800</v>
          </cell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R5103">
            <v>0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  <cell r="AG5103">
            <v>0</v>
          </cell>
          <cell r="AH5103">
            <v>0</v>
          </cell>
          <cell r="AI5103">
            <v>0</v>
          </cell>
        </row>
        <row r="5104">
          <cell r="A5104">
            <v>515020801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R5104">
            <v>0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</row>
        <row r="5105">
          <cell r="A5105">
            <v>515020900</v>
          </cell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R5105">
            <v>0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</row>
        <row r="5106">
          <cell r="A5106">
            <v>515020901</v>
          </cell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R5106">
            <v>0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</row>
        <row r="5107">
          <cell r="A5107">
            <v>515021000</v>
          </cell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G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R5107">
            <v>0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</row>
        <row r="5108">
          <cell r="A5108">
            <v>515021001</v>
          </cell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  <cell r="AG5108">
            <v>0</v>
          </cell>
          <cell r="AH5108">
            <v>0</v>
          </cell>
          <cell r="AI5108">
            <v>0</v>
          </cell>
        </row>
        <row r="5109">
          <cell r="A5109">
            <v>515021100</v>
          </cell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G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  <cell r="AE5109">
            <v>0</v>
          </cell>
          <cell r="AF5109">
            <v>0</v>
          </cell>
          <cell r="AG5109">
            <v>0</v>
          </cell>
          <cell r="AH5109">
            <v>0</v>
          </cell>
          <cell r="AI5109">
            <v>0</v>
          </cell>
        </row>
        <row r="5110">
          <cell r="A5110">
            <v>515021101</v>
          </cell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</row>
        <row r="5111">
          <cell r="A5111">
            <v>515021200</v>
          </cell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</row>
        <row r="5112">
          <cell r="A5112">
            <v>515021201</v>
          </cell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R5112">
            <v>0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  <cell r="AE5112">
            <v>0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</row>
        <row r="5113">
          <cell r="A5113">
            <v>515021300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R5113">
            <v>0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</row>
        <row r="5114">
          <cell r="A5114">
            <v>515021301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R5114">
            <v>0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</row>
        <row r="5115">
          <cell r="A5115">
            <v>515022000</v>
          </cell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  <cell r="AE5115">
            <v>0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</row>
        <row r="5116">
          <cell r="A5116">
            <v>515022001</v>
          </cell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R5116">
            <v>0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  <cell r="AE5116">
            <v>0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</row>
        <row r="5117">
          <cell r="A5117">
            <v>515022002</v>
          </cell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  <cell r="AE5117">
            <v>0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</row>
        <row r="5118">
          <cell r="A5118">
            <v>515022003</v>
          </cell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</row>
        <row r="5119">
          <cell r="A5119">
            <v>515022004</v>
          </cell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</row>
        <row r="5120">
          <cell r="A5120">
            <v>515022005</v>
          </cell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</row>
        <row r="5121">
          <cell r="A5121">
            <v>515022006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</row>
        <row r="5122">
          <cell r="A5122">
            <v>515022007</v>
          </cell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0</v>
          </cell>
          <cell r="AG5122">
            <v>0</v>
          </cell>
          <cell r="AH5122">
            <v>0</v>
          </cell>
          <cell r="AI5122">
            <v>0</v>
          </cell>
        </row>
        <row r="5123">
          <cell r="A5123">
            <v>515022008</v>
          </cell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R5123">
            <v>0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0</v>
          </cell>
          <cell r="AG5123">
            <v>0</v>
          </cell>
          <cell r="AH5123">
            <v>0</v>
          </cell>
          <cell r="AI5123">
            <v>0</v>
          </cell>
        </row>
        <row r="5124">
          <cell r="A5124">
            <v>515022009</v>
          </cell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R5124">
            <v>0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</row>
        <row r="5125">
          <cell r="A5125">
            <v>516000000</v>
          </cell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93759683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12249100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</row>
        <row r="5126">
          <cell r="A5126">
            <v>516010000</v>
          </cell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93759683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R5126">
            <v>0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</row>
        <row r="5127">
          <cell r="A5127">
            <v>516010100</v>
          </cell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  <cell r="AG5127">
            <v>0</v>
          </cell>
          <cell r="AH5127">
            <v>0</v>
          </cell>
          <cell r="AI5127">
            <v>0</v>
          </cell>
        </row>
        <row r="5128">
          <cell r="A5128">
            <v>516010101</v>
          </cell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  <cell r="AG5128">
            <v>0</v>
          </cell>
          <cell r="AH5128">
            <v>0</v>
          </cell>
          <cell r="AI5128">
            <v>0</v>
          </cell>
        </row>
        <row r="5129">
          <cell r="A5129">
            <v>516010200</v>
          </cell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  <cell r="AE5129">
            <v>0</v>
          </cell>
          <cell r="AF5129">
            <v>0</v>
          </cell>
          <cell r="AG5129">
            <v>0</v>
          </cell>
          <cell r="AH5129">
            <v>0</v>
          </cell>
          <cell r="AI5129">
            <v>0</v>
          </cell>
        </row>
        <row r="5130">
          <cell r="A5130">
            <v>516010201</v>
          </cell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R5130">
            <v>0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  <cell r="AG5130">
            <v>0</v>
          </cell>
          <cell r="AH5130">
            <v>0</v>
          </cell>
          <cell r="AI5130">
            <v>0</v>
          </cell>
        </row>
        <row r="5131">
          <cell r="A5131">
            <v>516010300</v>
          </cell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R5131">
            <v>0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  <cell r="AG5131">
            <v>0</v>
          </cell>
          <cell r="AH5131">
            <v>0</v>
          </cell>
          <cell r="AI5131">
            <v>0</v>
          </cell>
        </row>
        <row r="5132">
          <cell r="A5132">
            <v>516010301</v>
          </cell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R5132">
            <v>0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  <cell r="AE5132">
            <v>0</v>
          </cell>
          <cell r="AF5132">
            <v>0</v>
          </cell>
          <cell r="AG5132">
            <v>0</v>
          </cell>
          <cell r="AH5132">
            <v>0</v>
          </cell>
          <cell r="AI5132">
            <v>0</v>
          </cell>
        </row>
        <row r="5133">
          <cell r="A5133">
            <v>516010400</v>
          </cell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  <cell r="AG5133">
            <v>0</v>
          </cell>
          <cell r="AH5133">
            <v>0</v>
          </cell>
          <cell r="AI5133">
            <v>0</v>
          </cell>
        </row>
        <row r="5134">
          <cell r="A5134">
            <v>516010401</v>
          </cell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G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R5134">
            <v>0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  <cell r="AG5134">
            <v>0</v>
          </cell>
          <cell r="AH5134">
            <v>0</v>
          </cell>
          <cell r="AI5134">
            <v>0</v>
          </cell>
        </row>
        <row r="5135">
          <cell r="A5135">
            <v>516010500</v>
          </cell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G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R5135">
            <v>0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  <cell r="AG5135">
            <v>0</v>
          </cell>
          <cell r="AH5135">
            <v>0</v>
          </cell>
          <cell r="AI5135">
            <v>0</v>
          </cell>
        </row>
        <row r="5136">
          <cell r="A5136">
            <v>516010501</v>
          </cell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  <cell r="AG5136">
            <v>0</v>
          </cell>
          <cell r="AH5136">
            <v>0</v>
          </cell>
          <cell r="AI5136">
            <v>0</v>
          </cell>
        </row>
        <row r="5137">
          <cell r="A5137">
            <v>516010600</v>
          </cell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  <cell r="AG5137">
            <v>0</v>
          </cell>
          <cell r="AH5137">
            <v>0</v>
          </cell>
          <cell r="AI5137">
            <v>0</v>
          </cell>
        </row>
        <row r="5138">
          <cell r="A5138">
            <v>516010601</v>
          </cell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</v>
          </cell>
          <cell r="AE5138">
            <v>0</v>
          </cell>
          <cell r="AF5138">
            <v>0</v>
          </cell>
          <cell r="AG5138">
            <v>0</v>
          </cell>
          <cell r="AH5138">
            <v>0</v>
          </cell>
          <cell r="AI5138">
            <v>0</v>
          </cell>
        </row>
        <row r="5139">
          <cell r="A5139">
            <v>516010700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  <cell r="AG5139">
            <v>0</v>
          </cell>
          <cell r="AH5139">
            <v>0</v>
          </cell>
          <cell r="AI5139">
            <v>0</v>
          </cell>
        </row>
        <row r="5140">
          <cell r="A5140">
            <v>516010701</v>
          </cell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</row>
        <row r="5141">
          <cell r="A5141">
            <v>516010800</v>
          </cell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</row>
        <row r="5142">
          <cell r="A5142">
            <v>516010801</v>
          </cell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  <cell r="AE5142">
            <v>0</v>
          </cell>
          <cell r="AF5142">
            <v>0</v>
          </cell>
          <cell r="AG5142">
            <v>0</v>
          </cell>
          <cell r="AH5142">
            <v>0</v>
          </cell>
          <cell r="AI5142">
            <v>0</v>
          </cell>
        </row>
        <row r="5143">
          <cell r="A5143">
            <v>516010900</v>
          </cell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  <cell r="AG5143">
            <v>0</v>
          </cell>
          <cell r="AH5143">
            <v>0</v>
          </cell>
          <cell r="AI5143">
            <v>0</v>
          </cell>
        </row>
        <row r="5144">
          <cell r="A5144">
            <v>516010901</v>
          </cell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</row>
        <row r="5145">
          <cell r="A5145">
            <v>516011000</v>
          </cell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</row>
        <row r="5146">
          <cell r="A5146">
            <v>516011001</v>
          </cell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  <cell r="AE5146">
            <v>0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</row>
        <row r="5147">
          <cell r="A5147">
            <v>516011100</v>
          </cell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</row>
        <row r="5148">
          <cell r="A5148">
            <v>516011101</v>
          </cell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0</v>
          </cell>
          <cell r="AE5148">
            <v>0</v>
          </cell>
          <cell r="AF5148">
            <v>0</v>
          </cell>
          <cell r="AG5148">
            <v>0</v>
          </cell>
          <cell r="AH5148">
            <v>0</v>
          </cell>
          <cell r="AI5148">
            <v>0</v>
          </cell>
        </row>
        <row r="5149">
          <cell r="A5149">
            <v>516011200</v>
          </cell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</row>
        <row r="5150">
          <cell r="A5150">
            <v>516011201</v>
          </cell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0</v>
          </cell>
          <cell r="AE5150">
            <v>0</v>
          </cell>
          <cell r="AF5150">
            <v>0</v>
          </cell>
          <cell r="AG5150">
            <v>0</v>
          </cell>
          <cell r="AH5150">
            <v>0</v>
          </cell>
          <cell r="AI5150">
            <v>0</v>
          </cell>
        </row>
        <row r="5151">
          <cell r="A5151">
            <v>516011300</v>
          </cell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G5151">
            <v>0</v>
          </cell>
          <cell r="H5151">
            <v>93759683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  <cell r="AG5151">
            <v>0</v>
          </cell>
          <cell r="AH5151">
            <v>0</v>
          </cell>
          <cell r="AI5151">
            <v>0</v>
          </cell>
        </row>
        <row r="5152">
          <cell r="A5152">
            <v>516011301</v>
          </cell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93759683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  <cell r="AG5152">
            <v>0</v>
          </cell>
          <cell r="AH5152">
            <v>0</v>
          </cell>
          <cell r="AI5152">
            <v>0</v>
          </cell>
        </row>
        <row r="5153">
          <cell r="A5153">
            <v>516012000</v>
          </cell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</row>
        <row r="5154">
          <cell r="A5154">
            <v>516012001</v>
          </cell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</row>
        <row r="5155">
          <cell r="A5155">
            <v>516012002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</v>
          </cell>
          <cell r="AE5155">
            <v>0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</row>
        <row r="5156">
          <cell r="A5156">
            <v>516012003</v>
          </cell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</v>
          </cell>
          <cell r="AE5156">
            <v>0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</row>
        <row r="5157">
          <cell r="A5157">
            <v>516012004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  <cell r="AG5157">
            <v>0</v>
          </cell>
          <cell r="AH5157">
            <v>0</v>
          </cell>
          <cell r="AI5157">
            <v>0</v>
          </cell>
        </row>
        <row r="5158">
          <cell r="A5158">
            <v>516012005</v>
          </cell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</row>
        <row r="5159">
          <cell r="A5159">
            <v>516012006</v>
          </cell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  <cell r="AE5159">
            <v>0</v>
          </cell>
          <cell r="AF5159">
            <v>0</v>
          </cell>
          <cell r="AG5159">
            <v>0</v>
          </cell>
          <cell r="AH5159">
            <v>0</v>
          </cell>
          <cell r="AI5159">
            <v>0</v>
          </cell>
        </row>
        <row r="5160">
          <cell r="A5160">
            <v>516012007</v>
          </cell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</row>
        <row r="5161">
          <cell r="A5161">
            <v>516012008</v>
          </cell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  <cell r="AE5161">
            <v>0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</row>
        <row r="5162">
          <cell r="A5162">
            <v>516012009</v>
          </cell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0</v>
          </cell>
          <cell r="AE5162">
            <v>0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</row>
        <row r="5163">
          <cell r="A5163">
            <v>516040000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12249100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R5163">
            <v>0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  <cell r="AG5163">
            <v>0</v>
          </cell>
          <cell r="AH5163">
            <v>0</v>
          </cell>
          <cell r="AI5163">
            <v>0</v>
          </cell>
        </row>
        <row r="5164">
          <cell r="A5164">
            <v>516040100</v>
          </cell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  <cell r="AG5164">
            <v>0</v>
          </cell>
          <cell r="AH5164">
            <v>0</v>
          </cell>
          <cell r="AI5164">
            <v>0</v>
          </cell>
        </row>
        <row r="5165">
          <cell r="A5165">
            <v>516040101</v>
          </cell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  <cell r="AE5165">
            <v>0</v>
          </cell>
          <cell r="AF5165">
            <v>0</v>
          </cell>
          <cell r="AG5165">
            <v>0</v>
          </cell>
          <cell r="AH5165">
            <v>0</v>
          </cell>
          <cell r="AI5165">
            <v>0</v>
          </cell>
        </row>
        <row r="5166">
          <cell r="A5166">
            <v>516040200</v>
          </cell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  <cell r="AE5166">
            <v>0</v>
          </cell>
          <cell r="AF5166">
            <v>0</v>
          </cell>
          <cell r="AG5166">
            <v>0</v>
          </cell>
          <cell r="AH5166">
            <v>0</v>
          </cell>
          <cell r="AI5166">
            <v>0</v>
          </cell>
        </row>
        <row r="5167">
          <cell r="A5167">
            <v>516040201</v>
          </cell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  <cell r="AG5167">
            <v>0</v>
          </cell>
          <cell r="AH5167">
            <v>0</v>
          </cell>
          <cell r="AI5167">
            <v>0</v>
          </cell>
        </row>
        <row r="5168">
          <cell r="A5168">
            <v>516040300</v>
          </cell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4906568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  <cell r="AG5168">
            <v>0</v>
          </cell>
          <cell r="AH5168">
            <v>0</v>
          </cell>
          <cell r="AI5168">
            <v>0</v>
          </cell>
        </row>
        <row r="5169">
          <cell r="A5169">
            <v>516040301</v>
          </cell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4906568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</row>
        <row r="5170">
          <cell r="A5170">
            <v>516040400</v>
          </cell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  <cell r="AG5170">
            <v>0</v>
          </cell>
          <cell r="AH5170">
            <v>0</v>
          </cell>
          <cell r="AI5170">
            <v>0</v>
          </cell>
        </row>
        <row r="5171">
          <cell r="A5171">
            <v>516040401</v>
          </cell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  <cell r="AG5171">
            <v>0</v>
          </cell>
          <cell r="AH5171">
            <v>0</v>
          </cell>
          <cell r="AI5171">
            <v>0</v>
          </cell>
        </row>
        <row r="5172">
          <cell r="A5172">
            <v>516040500</v>
          </cell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</row>
        <row r="5173">
          <cell r="A5173">
            <v>516040501</v>
          </cell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  <cell r="AG5173">
            <v>0</v>
          </cell>
          <cell r="AH5173">
            <v>0</v>
          </cell>
          <cell r="AI5173">
            <v>0</v>
          </cell>
        </row>
        <row r="5174">
          <cell r="A5174">
            <v>516040600</v>
          </cell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7342532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0</v>
          </cell>
          <cell r="AE5174">
            <v>0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</row>
        <row r="5175">
          <cell r="A5175">
            <v>516040601</v>
          </cell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7342532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R5175">
            <v>0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  <cell r="AE5175">
            <v>0</v>
          </cell>
          <cell r="AF5175">
            <v>0</v>
          </cell>
          <cell r="AG5175">
            <v>0</v>
          </cell>
          <cell r="AH5175">
            <v>0</v>
          </cell>
          <cell r="AI5175">
            <v>0</v>
          </cell>
        </row>
        <row r="5176">
          <cell r="A5176">
            <v>516040700</v>
          </cell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  <cell r="AE5176">
            <v>0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</row>
        <row r="5177">
          <cell r="A5177">
            <v>516040701</v>
          </cell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  <cell r="AG5177">
            <v>0</v>
          </cell>
          <cell r="AH5177">
            <v>0</v>
          </cell>
          <cell r="AI5177">
            <v>0</v>
          </cell>
        </row>
        <row r="5178">
          <cell r="A5178">
            <v>516040800</v>
          </cell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</row>
        <row r="5179">
          <cell r="A5179">
            <v>516040801</v>
          </cell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</row>
        <row r="5180">
          <cell r="A5180">
            <v>516040900</v>
          </cell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0</v>
          </cell>
          <cell r="AE5180">
            <v>0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</row>
        <row r="5181">
          <cell r="A5181">
            <v>516040901</v>
          </cell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  <cell r="AG5181">
            <v>0</v>
          </cell>
          <cell r="AH5181">
            <v>0</v>
          </cell>
          <cell r="AI5181">
            <v>0</v>
          </cell>
        </row>
        <row r="5182">
          <cell r="A5182">
            <v>516041000</v>
          </cell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</row>
        <row r="5183">
          <cell r="A5183">
            <v>516041001</v>
          </cell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</row>
        <row r="5184">
          <cell r="A5184">
            <v>516041100</v>
          </cell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  <cell r="AE5184">
            <v>0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</row>
        <row r="5185">
          <cell r="A5185">
            <v>516041101</v>
          </cell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0</v>
          </cell>
          <cell r="AE5185">
            <v>0</v>
          </cell>
          <cell r="AF5185">
            <v>0</v>
          </cell>
          <cell r="AG5185">
            <v>0</v>
          </cell>
          <cell r="AH5185">
            <v>0</v>
          </cell>
          <cell r="AI5185">
            <v>0</v>
          </cell>
        </row>
        <row r="5186">
          <cell r="A5186">
            <v>516041200</v>
          </cell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R5186">
            <v>0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</row>
        <row r="5187">
          <cell r="A5187">
            <v>516041201</v>
          </cell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</row>
        <row r="5188">
          <cell r="A5188">
            <v>516041300</v>
          </cell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  <cell r="AE5188">
            <v>0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</row>
        <row r="5189">
          <cell r="A5189">
            <v>516041301</v>
          </cell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  <cell r="AE5189">
            <v>0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</row>
        <row r="5190">
          <cell r="A5190">
            <v>516042000</v>
          </cell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  <cell r="AE5190">
            <v>0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</row>
        <row r="5191">
          <cell r="A5191">
            <v>516042001</v>
          </cell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  <cell r="AE5191">
            <v>0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</row>
        <row r="5192">
          <cell r="A5192">
            <v>516042002</v>
          </cell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</row>
        <row r="5193">
          <cell r="A5193">
            <v>516042003</v>
          </cell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  <cell r="AE5193">
            <v>0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</row>
        <row r="5194">
          <cell r="A5194">
            <v>516042004</v>
          </cell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  <cell r="AE5194">
            <v>0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</row>
        <row r="5195">
          <cell r="A5195">
            <v>516042005</v>
          </cell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</row>
        <row r="5196">
          <cell r="A5196">
            <v>516042006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  <cell r="AE5196">
            <v>0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</row>
        <row r="5197">
          <cell r="A5197">
            <v>516042007</v>
          </cell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0</v>
          </cell>
          <cell r="AC5197">
            <v>0</v>
          </cell>
          <cell r="AD5197">
            <v>0</v>
          </cell>
          <cell r="AE5197">
            <v>0</v>
          </cell>
          <cell r="AF5197">
            <v>0</v>
          </cell>
          <cell r="AG5197">
            <v>0</v>
          </cell>
          <cell r="AH5197">
            <v>0</v>
          </cell>
          <cell r="AI5197">
            <v>0</v>
          </cell>
        </row>
        <row r="5198">
          <cell r="A5198">
            <v>516042008</v>
          </cell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  <cell r="AE5198">
            <v>0</v>
          </cell>
          <cell r="AF5198">
            <v>0</v>
          </cell>
          <cell r="AG5198">
            <v>0</v>
          </cell>
          <cell r="AH5198">
            <v>0</v>
          </cell>
          <cell r="AI5198">
            <v>0</v>
          </cell>
        </row>
        <row r="5199">
          <cell r="A5199">
            <v>516042009</v>
          </cell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0</v>
          </cell>
          <cell r="AC5199">
            <v>0</v>
          </cell>
          <cell r="AD5199">
            <v>0</v>
          </cell>
          <cell r="AE5199">
            <v>0</v>
          </cell>
          <cell r="AF5199">
            <v>0</v>
          </cell>
          <cell r="AG5199">
            <v>0</v>
          </cell>
          <cell r="AH5199">
            <v>0</v>
          </cell>
          <cell r="AI5199">
            <v>0</v>
          </cell>
        </row>
        <row r="5200">
          <cell r="A5200">
            <v>516050000</v>
          </cell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R5200">
            <v>0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</row>
        <row r="5201">
          <cell r="A5201">
            <v>516050100</v>
          </cell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  <cell r="AE5201">
            <v>0</v>
          </cell>
          <cell r="AF5201">
            <v>0</v>
          </cell>
          <cell r="AG5201">
            <v>0</v>
          </cell>
          <cell r="AH5201">
            <v>0</v>
          </cell>
          <cell r="AI5201">
            <v>0</v>
          </cell>
        </row>
        <row r="5202">
          <cell r="A5202">
            <v>516050101</v>
          </cell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</row>
        <row r="5203">
          <cell r="A5203">
            <v>516050200</v>
          </cell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</row>
        <row r="5204">
          <cell r="A5204">
            <v>516050201</v>
          </cell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</row>
        <row r="5205">
          <cell r="A5205">
            <v>516050300</v>
          </cell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  <cell r="AE5205">
            <v>0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</row>
        <row r="5206">
          <cell r="A5206">
            <v>516050301</v>
          </cell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R5206">
            <v>0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</row>
        <row r="5207">
          <cell r="A5207">
            <v>516050400</v>
          </cell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  <cell r="AE5207">
            <v>0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</row>
        <row r="5208">
          <cell r="A5208">
            <v>516050401</v>
          </cell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  <cell r="AE5208">
            <v>0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</row>
        <row r="5209">
          <cell r="A5209">
            <v>516050500</v>
          </cell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0</v>
          </cell>
          <cell r="AE5209">
            <v>0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</row>
        <row r="5210">
          <cell r="A5210">
            <v>516050501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  <cell r="AE5210">
            <v>0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</row>
        <row r="5211">
          <cell r="A5211">
            <v>516050600</v>
          </cell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R5211">
            <v>0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  <cell r="AE5211">
            <v>0</v>
          </cell>
          <cell r="AF5211">
            <v>0</v>
          </cell>
          <cell r="AG5211">
            <v>0</v>
          </cell>
          <cell r="AH5211">
            <v>0</v>
          </cell>
          <cell r="AI5211">
            <v>0</v>
          </cell>
        </row>
        <row r="5212">
          <cell r="A5212">
            <v>516050601</v>
          </cell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G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  <cell r="AE5212">
            <v>0</v>
          </cell>
          <cell r="AF5212">
            <v>0</v>
          </cell>
          <cell r="AG5212">
            <v>0</v>
          </cell>
          <cell r="AH5212">
            <v>0</v>
          </cell>
          <cell r="AI5212">
            <v>0</v>
          </cell>
        </row>
        <row r="5213">
          <cell r="A5213">
            <v>516050700</v>
          </cell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R5213">
            <v>0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  <cell r="AE5213">
            <v>0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</row>
        <row r="5214">
          <cell r="A5214">
            <v>516050701</v>
          </cell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  <cell r="AE5214">
            <v>0</v>
          </cell>
          <cell r="AF5214">
            <v>0</v>
          </cell>
          <cell r="AG5214">
            <v>0</v>
          </cell>
          <cell r="AH5214">
            <v>0</v>
          </cell>
          <cell r="AI5214">
            <v>0</v>
          </cell>
        </row>
        <row r="5215">
          <cell r="A5215">
            <v>516050800</v>
          </cell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  <cell r="AE5215">
            <v>0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</row>
        <row r="5216">
          <cell r="A5216">
            <v>516050801</v>
          </cell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R5216">
            <v>0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0</v>
          </cell>
          <cell r="AE5216">
            <v>0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</row>
        <row r="5217">
          <cell r="A5217">
            <v>516050900</v>
          </cell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R5217">
            <v>0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  <cell r="AE5217">
            <v>0</v>
          </cell>
          <cell r="AF5217">
            <v>0</v>
          </cell>
          <cell r="AG5217">
            <v>0</v>
          </cell>
          <cell r="AH5217">
            <v>0</v>
          </cell>
          <cell r="AI5217">
            <v>0</v>
          </cell>
        </row>
        <row r="5218">
          <cell r="A5218">
            <v>516050901</v>
          </cell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  <cell r="AG5218">
            <v>0</v>
          </cell>
          <cell r="AH5218">
            <v>0</v>
          </cell>
          <cell r="AI5218">
            <v>0</v>
          </cell>
        </row>
        <row r="5219">
          <cell r="A5219">
            <v>516051000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  <cell r="AG5219">
            <v>0</v>
          </cell>
          <cell r="AH5219">
            <v>0</v>
          </cell>
          <cell r="AI5219">
            <v>0</v>
          </cell>
        </row>
        <row r="5220">
          <cell r="A5220">
            <v>516051001</v>
          </cell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R5220">
            <v>0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  <cell r="AE5220">
            <v>0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</row>
        <row r="5221">
          <cell r="A5221">
            <v>516051100</v>
          </cell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  <cell r="AE5221">
            <v>0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</row>
        <row r="5222">
          <cell r="A5222">
            <v>516051101</v>
          </cell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  <cell r="AE5222">
            <v>0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</row>
        <row r="5223">
          <cell r="A5223">
            <v>516051200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</row>
        <row r="5224">
          <cell r="A5224">
            <v>516051201</v>
          </cell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R5224">
            <v>0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  <cell r="AG5224">
            <v>0</v>
          </cell>
          <cell r="AH5224">
            <v>0</v>
          </cell>
          <cell r="AI5224">
            <v>0</v>
          </cell>
        </row>
        <row r="5225">
          <cell r="A5225">
            <v>516051300</v>
          </cell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  <cell r="AE5225">
            <v>0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</row>
        <row r="5226">
          <cell r="A5226">
            <v>516051301</v>
          </cell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R5226">
            <v>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</row>
        <row r="5227">
          <cell r="A5227">
            <v>516052000</v>
          </cell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  <cell r="AG5227">
            <v>0</v>
          </cell>
          <cell r="AH5227">
            <v>0</v>
          </cell>
          <cell r="AI5227">
            <v>0</v>
          </cell>
        </row>
        <row r="5228">
          <cell r="A5228">
            <v>516052001</v>
          </cell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  <cell r="AE5228">
            <v>0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</row>
        <row r="5229">
          <cell r="A5229">
            <v>516052002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</row>
        <row r="5230">
          <cell r="A5230">
            <v>516052003</v>
          </cell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</row>
        <row r="5231">
          <cell r="A5231">
            <v>516052004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  <cell r="AE5231">
            <v>0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</row>
        <row r="5232">
          <cell r="A5232">
            <v>516052005</v>
          </cell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  <cell r="AE5232">
            <v>0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</row>
        <row r="5233">
          <cell r="A5233">
            <v>516052006</v>
          </cell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</row>
        <row r="5234">
          <cell r="A5234">
            <v>516052007</v>
          </cell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0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</row>
        <row r="5235">
          <cell r="A5235">
            <v>516052008</v>
          </cell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R5235">
            <v>0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</row>
        <row r="5236">
          <cell r="A5236">
            <v>516052009</v>
          </cell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0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</row>
        <row r="5237">
          <cell r="A5237">
            <v>525000000</v>
          </cell>
          <cell r="C5237">
            <v>5027326762</v>
          </cell>
          <cell r="D5237">
            <v>7371705111</v>
          </cell>
          <cell r="E5237">
            <v>3152097358</v>
          </cell>
          <cell r="F5237">
            <v>2959700524</v>
          </cell>
          <cell r="G5237">
            <v>8960211739</v>
          </cell>
          <cell r="H5237">
            <v>24053325934</v>
          </cell>
          <cell r="I5237">
            <v>5011036085</v>
          </cell>
          <cell r="J5237">
            <v>2196331482</v>
          </cell>
          <cell r="K5237">
            <v>1985280510</v>
          </cell>
          <cell r="L5237">
            <v>1506534706</v>
          </cell>
          <cell r="M5237">
            <v>2014061006</v>
          </cell>
          <cell r="N5237">
            <v>6972181113</v>
          </cell>
          <cell r="O5237">
            <v>5584087513</v>
          </cell>
          <cell r="P5237">
            <v>3004490581</v>
          </cell>
          <cell r="Q5237">
            <v>2711255201</v>
          </cell>
          <cell r="R5237">
            <v>3842206258</v>
          </cell>
          <cell r="S5237">
            <v>946310435</v>
          </cell>
          <cell r="T5237">
            <v>11138553138</v>
          </cell>
          <cell r="U5237">
            <v>557964114</v>
          </cell>
          <cell r="V5237">
            <v>8866722361</v>
          </cell>
          <cell r="W5237">
            <v>3140131051</v>
          </cell>
          <cell r="X5237">
            <v>6020188748</v>
          </cell>
          <cell r="Y5237">
            <v>2105538217</v>
          </cell>
          <cell r="Z5237">
            <v>4746387364</v>
          </cell>
          <cell r="AA5237">
            <v>1704257469</v>
          </cell>
          <cell r="AB5237">
            <v>9033518191</v>
          </cell>
          <cell r="AC5237">
            <v>2055795956</v>
          </cell>
          <cell r="AD5237">
            <v>7759508607</v>
          </cell>
          <cell r="AE5237">
            <v>38893860810</v>
          </cell>
          <cell r="AF5237">
            <v>5785142946</v>
          </cell>
          <cell r="AG5237">
            <v>3937154389</v>
          </cell>
          <cell r="AH5237">
            <v>11740275538</v>
          </cell>
          <cell r="AI5237">
            <v>6703651750</v>
          </cell>
        </row>
        <row r="5238">
          <cell r="A5238">
            <v>525010000</v>
          </cell>
          <cell r="C5238">
            <v>5027326762</v>
          </cell>
          <cell r="D5238">
            <v>7371705111</v>
          </cell>
          <cell r="E5238">
            <v>3152097358</v>
          </cell>
          <cell r="F5238">
            <v>2959700524</v>
          </cell>
          <cell r="G5238">
            <v>8960211739</v>
          </cell>
          <cell r="H5238">
            <v>24053325934</v>
          </cell>
          <cell r="I5238">
            <v>5011036085</v>
          </cell>
          <cell r="J5238">
            <v>2196331482</v>
          </cell>
          <cell r="K5238">
            <v>1985280510</v>
          </cell>
          <cell r="L5238">
            <v>1506534706</v>
          </cell>
          <cell r="M5238">
            <v>2014061006</v>
          </cell>
          <cell r="N5238">
            <v>6972181113</v>
          </cell>
          <cell r="O5238">
            <v>5584087513</v>
          </cell>
          <cell r="P5238">
            <v>3004490581</v>
          </cell>
          <cell r="Q5238">
            <v>2711255201</v>
          </cell>
          <cell r="R5238">
            <v>3842206258</v>
          </cell>
          <cell r="S5238">
            <v>946310435</v>
          </cell>
          <cell r="T5238">
            <v>11138553138</v>
          </cell>
          <cell r="U5238">
            <v>557964114</v>
          </cell>
          <cell r="V5238">
            <v>8866722361</v>
          </cell>
          <cell r="W5238">
            <v>3140131051</v>
          </cell>
          <cell r="X5238">
            <v>6020188748</v>
          </cell>
          <cell r="Y5238">
            <v>2105538217</v>
          </cell>
          <cell r="Z5238">
            <v>4746387364</v>
          </cell>
          <cell r="AA5238">
            <v>1704257469</v>
          </cell>
          <cell r="AB5238">
            <v>9033518191</v>
          </cell>
          <cell r="AC5238">
            <v>2055795956</v>
          </cell>
          <cell r="AD5238">
            <v>7759508607</v>
          </cell>
          <cell r="AE5238">
            <v>38893860810</v>
          </cell>
          <cell r="AF5238">
            <v>5785142946</v>
          </cell>
          <cell r="AG5238">
            <v>3937154389</v>
          </cell>
          <cell r="AH5238">
            <v>11740275538</v>
          </cell>
          <cell r="AI5238">
            <v>6703651750</v>
          </cell>
        </row>
        <row r="5239">
          <cell r="A5239">
            <v>525010100</v>
          </cell>
          <cell r="C5239">
            <v>502566667</v>
          </cell>
          <cell r="D5239">
            <v>813666667</v>
          </cell>
          <cell r="E5239">
            <v>544450000</v>
          </cell>
          <cell r="F5239">
            <v>453739210</v>
          </cell>
          <cell r="G5239">
            <v>805305824</v>
          </cell>
          <cell r="H5239">
            <v>1738570000</v>
          </cell>
          <cell r="I5239">
            <v>223216851</v>
          </cell>
          <cell r="J5239">
            <v>167674517</v>
          </cell>
          <cell r="K5239">
            <v>261101253</v>
          </cell>
          <cell r="L5239">
            <v>284388892</v>
          </cell>
          <cell r="M5239">
            <v>213521782</v>
          </cell>
          <cell r="N5239">
            <v>958800000</v>
          </cell>
          <cell r="O5239">
            <v>382769400</v>
          </cell>
          <cell r="P5239">
            <v>404100000</v>
          </cell>
          <cell r="Q5239">
            <v>430657035</v>
          </cell>
          <cell r="R5239">
            <v>304800000</v>
          </cell>
          <cell r="S5239">
            <v>70858500</v>
          </cell>
          <cell r="T5239">
            <v>2004748820</v>
          </cell>
          <cell r="U5239">
            <v>102000000</v>
          </cell>
          <cell r="V5239">
            <v>398830000</v>
          </cell>
          <cell r="W5239">
            <v>475363297</v>
          </cell>
          <cell r="X5239">
            <v>1156804057</v>
          </cell>
          <cell r="Y5239">
            <v>279366916</v>
          </cell>
          <cell r="Z5239">
            <v>953051707</v>
          </cell>
          <cell r="AA5239">
            <v>366168000</v>
          </cell>
          <cell r="AB5239">
            <v>552083334</v>
          </cell>
          <cell r="AC5239">
            <v>234933300</v>
          </cell>
          <cell r="AD5239">
            <v>619000000</v>
          </cell>
          <cell r="AE5239">
            <v>1677260187</v>
          </cell>
          <cell r="AF5239">
            <v>708209135</v>
          </cell>
          <cell r="AG5239">
            <v>201600000</v>
          </cell>
          <cell r="AH5239">
            <v>1187014342</v>
          </cell>
          <cell r="AI5239">
            <v>85457260</v>
          </cell>
        </row>
        <row r="5240">
          <cell r="A5240">
            <v>525010101</v>
          </cell>
          <cell r="C5240">
            <v>502566667</v>
          </cell>
          <cell r="D5240">
            <v>805666667</v>
          </cell>
          <cell r="E5240">
            <v>39950000</v>
          </cell>
          <cell r="F5240">
            <v>357139210</v>
          </cell>
          <cell r="G5240">
            <v>653102283</v>
          </cell>
          <cell r="H5240">
            <v>487000000</v>
          </cell>
          <cell r="I5240">
            <v>220216851</v>
          </cell>
          <cell r="J5240">
            <v>160847017</v>
          </cell>
          <cell r="K5240">
            <v>147963440</v>
          </cell>
          <cell r="L5240">
            <v>278263892</v>
          </cell>
          <cell r="M5240">
            <v>100816000</v>
          </cell>
          <cell r="N5240">
            <v>610000000</v>
          </cell>
          <cell r="O5240">
            <v>249600000</v>
          </cell>
          <cell r="P5240">
            <v>274000000</v>
          </cell>
          <cell r="Q5240">
            <v>430657035</v>
          </cell>
          <cell r="R5240">
            <v>139200000</v>
          </cell>
          <cell r="S5240">
            <v>39513395</v>
          </cell>
          <cell r="T5240">
            <v>778870584</v>
          </cell>
          <cell r="U5240">
            <v>96000000</v>
          </cell>
          <cell r="V5240">
            <v>0</v>
          </cell>
          <cell r="W5240">
            <v>49200000</v>
          </cell>
          <cell r="X5240">
            <v>535170724</v>
          </cell>
          <cell r="Y5240">
            <v>180350000</v>
          </cell>
          <cell r="Z5240">
            <v>539546805</v>
          </cell>
          <cell r="AA5240">
            <v>253968000</v>
          </cell>
          <cell r="AB5240">
            <v>420583334</v>
          </cell>
          <cell r="AC5240">
            <v>225333300</v>
          </cell>
          <cell r="AD5240">
            <v>549000000</v>
          </cell>
          <cell r="AE5240">
            <v>86170000</v>
          </cell>
          <cell r="AF5240">
            <v>382609135</v>
          </cell>
          <cell r="AG5240">
            <v>0</v>
          </cell>
          <cell r="AH5240">
            <v>373546800</v>
          </cell>
          <cell r="AI5240">
            <v>62755000</v>
          </cell>
        </row>
        <row r="5241">
          <cell r="A5241">
            <v>525010102</v>
          </cell>
          <cell r="C5241">
            <v>0</v>
          </cell>
          <cell r="D5241">
            <v>0</v>
          </cell>
          <cell r="E5241">
            <v>494000000</v>
          </cell>
          <cell r="F5241">
            <v>89400000</v>
          </cell>
          <cell r="G5241">
            <v>122444444</v>
          </cell>
          <cell r="H5241">
            <v>1243170000</v>
          </cell>
          <cell r="I5241">
            <v>0</v>
          </cell>
          <cell r="J5241">
            <v>0</v>
          </cell>
          <cell r="K5241">
            <v>76000000</v>
          </cell>
          <cell r="L5241">
            <v>0</v>
          </cell>
          <cell r="M5241">
            <v>109505782</v>
          </cell>
          <cell r="N5241">
            <v>345000000</v>
          </cell>
          <cell r="O5241">
            <v>126169400</v>
          </cell>
          <cell r="P5241">
            <v>113000000</v>
          </cell>
          <cell r="Q5241">
            <v>0</v>
          </cell>
          <cell r="R5241">
            <v>150000000</v>
          </cell>
          <cell r="S5241">
            <v>31345105</v>
          </cell>
          <cell r="T5241">
            <v>1187198454</v>
          </cell>
          <cell r="U5241">
            <v>0</v>
          </cell>
          <cell r="V5241">
            <v>395830000</v>
          </cell>
          <cell r="W5241">
            <v>426163297</v>
          </cell>
          <cell r="X5241">
            <v>616633333</v>
          </cell>
          <cell r="Y5241">
            <v>94016916</v>
          </cell>
          <cell r="Z5241">
            <v>413504902</v>
          </cell>
          <cell r="AA5241">
            <v>105000000</v>
          </cell>
          <cell r="AB5241">
            <v>103500000</v>
          </cell>
          <cell r="AC5241">
            <v>0</v>
          </cell>
          <cell r="AD5241">
            <v>70000000</v>
          </cell>
          <cell r="AE5241">
            <v>1570090187</v>
          </cell>
          <cell r="AF5241">
            <v>296200000</v>
          </cell>
          <cell r="AG5241">
            <v>192000000</v>
          </cell>
          <cell r="AH5241">
            <v>783899542</v>
          </cell>
          <cell r="AI5241">
            <v>8609060</v>
          </cell>
        </row>
        <row r="5242">
          <cell r="A5242">
            <v>525010103</v>
          </cell>
          <cell r="C5242">
            <v>0</v>
          </cell>
          <cell r="D5242">
            <v>8000000</v>
          </cell>
          <cell r="E5242">
            <v>10500000</v>
          </cell>
          <cell r="F5242">
            <v>7200000</v>
          </cell>
          <cell r="G5242">
            <v>29759097</v>
          </cell>
          <cell r="H5242">
            <v>8400000</v>
          </cell>
          <cell r="I5242">
            <v>3000000</v>
          </cell>
          <cell r="J5242">
            <v>6827500</v>
          </cell>
          <cell r="K5242">
            <v>37137813</v>
          </cell>
          <cell r="L5242">
            <v>6125000</v>
          </cell>
          <cell r="M5242">
            <v>3200000</v>
          </cell>
          <cell r="N5242">
            <v>3800000</v>
          </cell>
          <cell r="O5242">
            <v>7000000</v>
          </cell>
          <cell r="P5242">
            <v>17100000</v>
          </cell>
          <cell r="Q5242">
            <v>0</v>
          </cell>
          <cell r="R5242">
            <v>15600000</v>
          </cell>
          <cell r="S5242">
            <v>0</v>
          </cell>
          <cell r="T5242">
            <v>38679782</v>
          </cell>
          <cell r="U5242">
            <v>6000000</v>
          </cell>
          <cell r="V5242">
            <v>3000000</v>
          </cell>
          <cell r="W5242">
            <v>0</v>
          </cell>
          <cell r="X5242">
            <v>5000000</v>
          </cell>
          <cell r="Y5242">
            <v>5000000</v>
          </cell>
          <cell r="Z5242">
            <v>0</v>
          </cell>
          <cell r="AA5242">
            <v>7200000</v>
          </cell>
          <cell r="AB5242">
            <v>28000000</v>
          </cell>
          <cell r="AC5242">
            <v>9600000</v>
          </cell>
          <cell r="AD5242">
            <v>0</v>
          </cell>
          <cell r="AE5242">
            <v>21000000</v>
          </cell>
          <cell r="AF5242">
            <v>29400000</v>
          </cell>
          <cell r="AG5242">
            <v>9600000</v>
          </cell>
          <cell r="AH5242">
            <v>29568000</v>
          </cell>
          <cell r="AI5242">
            <v>14093200</v>
          </cell>
        </row>
        <row r="5243">
          <cell r="A5243">
            <v>525010200</v>
          </cell>
          <cell r="C5243">
            <v>1189099582</v>
          </cell>
          <cell r="D5243">
            <v>3360236681</v>
          </cell>
          <cell r="E5243">
            <v>1013735135</v>
          </cell>
          <cell r="F5243">
            <v>1058539188</v>
          </cell>
          <cell r="G5243">
            <v>2639928123</v>
          </cell>
          <cell r="H5243">
            <v>7141648355</v>
          </cell>
          <cell r="I5243">
            <v>1684111002</v>
          </cell>
          <cell r="J5243">
            <v>523113381</v>
          </cell>
          <cell r="K5243">
            <v>673894580</v>
          </cell>
          <cell r="L5243">
            <v>460916457</v>
          </cell>
          <cell r="M5243">
            <v>319971434</v>
          </cell>
          <cell r="N5243">
            <v>1478165966</v>
          </cell>
          <cell r="O5243">
            <v>2076549581</v>
          </cell>
          <cell r="P5243">
            <v>1031930740</v>
          </cell>
          <cell r="Q5243">
            <v>360324037</v>
          </cell>
          <cell r="R5243">
            <v>1396645544</v>
          </cell>
          <cell r="S5243">
            <v>216501479</v>
          </cell>
          <cell r="T5243">
            <v>2955712127</v>
          </cell>
          <cell r="U5243">
            <v>132386976</v>
          </cell>
          <cell r="V5243">
            <v>2758527047</v>
          </cell>
          <cell r="W5243">
            <v>1338495233</v>
          </cell>
          <cell r="X5243">
            <v>1696597547</v>
          </cell>
          <cell r="Y5243">
            <v>525198721</v>
          </cell>
          <cell r="Z5243">
            <v>1419796849</v>
          </cell>
          <cell r="AA5243">
            <v>382506750</v>
          </cell>
          <cell r="AB5243">
            <v>2195035663</v>
          </cell>
          <cell r="AC5243">
            <v>772706981</v>
          </cell>
          <cell r="AD5243">
            <v>3189200647</v>
          </cell>
          <cell r="AE5243">
            <v>10656877494</v>
          </cell>
          <cell r="AF5243">
            <v>1693501955</v>
          </cell>
          <cell r="AG5243">
            <v>1007682517</v>
          </cell>
          <cell r="AH5243">
            <v>4748146706</v>
          </cell>
          <cell r="AI5243">
            <v>1118158480</v>
          </cell>
        </row>
        <row r="5244">
          <cell r="A5244">
            <v>525010201</v>
          </cell>
          <cell r="C5244">
            <v>834531473</v>
          </cell>
          <cell r="D5244">
            <v>2513441229</v>
          </cell>
          <cell r="E5244">
            <v>653637505</v>
          </cell>
          <cell r="F5244">
            <v>717363895</v>
          </cell>
          <cell r="G5244">
            <v>1304810945</v>
          </cell>
          <cell r="H5244">
            <v>4468488251</v>
          </cell>
          <cell r="I5244">
            <v>856708001</v>
          </cell>
          <cell r="J5244">
            <v>320985699</v>
          </cell>
          <cell r="K5244">
            <v>514672011</v>
          </cell>
          <cell r="L5244">
            <v>322679296</v>
          </cell>
          <cell r="M5244">
            <v>217669607</v>
          </cell>
          <cell r="N5244">
            <v>851708294</v>
          </cell>
          <cell r="O5244">
            <v>1411040078</v>
          </cell>
          <cell r="P5244">
            <v>695639570</v>
          </cell>
          <cell r="Q5244">
            <v>281100000</v>
          </cell>
          <cell r="R5244">
            <v>945719433</v>
          </cell>
          <cell r="S5244">
            <v>166144772</v>
          </cell>
          <cell r="T5244">
            <v>1718499993</v>
          </cell>
          <cell r="U5244">
            <v>98480880</v>
          </cell>
          <cell r="V5244">
            <v>1747940033</v>
          </cell>
          <cell r="W5244">
            <v>993168578</v>
          </cell>
          <cell r="X5244">
            <v>1215840618</v>
          </cell>
          <cell r="Y5244">
            <v>382745031</v>
          </cell>
          <cell r="Z5244">
            <v>765049505</v>
          </cell>
          <cell r="AA5244">
            <v>273450000</v>
          </cell>
          <cell r="AB5244">
            <v>1566521922</v>
          </cell>
          <cell r="AC5244">
            <v>450329518</v>
          </cell>
          <cell r="AD5244">
            <v>2117591877</v>
          </cell>
          <cell r="AE5244">
            <v>5521544644</v>
          </cell>
          <cell r="AF5244">
            <v>921214942</v>
          </cell>
          <cell r="AG5244">
            <v>671116492</v>
          </cell>
          <cell r="AH5244">
            <v>2678371973</v>
          </cell>
          <cell r="AI5244">
            <v>796030790</v>
          </cell>
        </row>
        <row r="5245">
          <cell r="A5245">
            <v>525010202</v>
          </cell>
          <cell r="C5245">
            <v>690000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15405226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2474582</v>
          </cell>
          <cell r="AI5245">
            <v>0</v>
          </cell>
        </row>
        <row r="5246">
          <cell r="A5246">
            <v>525010203</v>
          </cell>
          <cell r="C5246">
            <v>77166848</v>
          </cell>
          <cell r="D5246">
            <v>209453936</v>
          </cell>
          <cell r="E5246">
            <v>58994533</v>
          </cell>
          <cell r="F5246">
            <v>63586002</v>
          </cell>
          <cell r="G5246">
            <v>174636230</v>
          </cell>
          <cell r="H5246">
            <v>556712801</v>
          </cell>
          <cell r="I5246">
            <v>71334309</v>
          </cell>
          <cell r="J5246">
            <v>27033748</v>
          </cell>
          <cell r="K5246">
            <v>43000782</v>
          </cell>
          <cell r="L5246">
            <v>53045272</v>
          </cell>
          <cell r="M5246">
            <v>23234835</v>
          </cell>
          <cell r="N5246">
            <v>186852434</v>
          </cell>
          <cell r="O5246">
            <v>122448181</v>
          </cell>
          <cell r="P5246">
            <v>60225871</v>
          </cell>
          <cell r="Q5246">
            <v>20659421</v>
          </cell>
          <cell r="R5246">
            <v>89694521</v>
          </cell>
          <cell r="S5246">
            <v>14680231</v>
          </cell>
          <cell r="T5246">
            <v>200791958</v>
          </cell>
          <cell r="U5246">
            <v>17656740</v>
          </cell>
          <cell r="V5246">
            <v>169533157</v>
          </cell>
          <cell r="W5246">
            <v>89998972</v>
          </cell>
          <cell r="X5246">
            <v>105252310</v>
          </cell>
          <cell r="Y5246">
            <v>59195045</v>
          </cell>
          <cell r="Z5246">
            <v>79882977</v>
          </cell>
          <cell r="AA5246">
            <v>23137500</v>
          </cell>
          <cell r="AB5246">
            <v>183759193</v>
          </cell>
          <cell r="AC5246">
            <v>194048202</v>
          </cell>
          <cell r="AD5246">
            <v>210874583</v>
          </cell>
          <cell r="AE5246">
            <v>605927074</v>
          </cell>
          <cell r="AF5246">
            <v>129080481</v>
          </cell>
          <cell r="AG5246">
            <v>132287425</v>
          </cell>
          <cell r="AH5246">
            <v>312579293</v>
          </cell>
          <cell r="AI5246">
            <v>76583879</v>
          </cell>
        </row>
        <row r="5247">
          <cell r="A5247">
            <v>525010204</v>
          </cell>
          <cell r="C5247">
            <v>64587325</v>
          </cell>
          <cell r="D5247">
            <v>5989433</v>
          </cell>
          <cell r="E5247">
            <v>53864400</v>
          </cell>
          <cell r="F5247">
            <v>32428479</v>
          </cell>
          <cell r="G5247">
            <v>22116666</v>
          </cell>
          <cell r="H5247">
            <v>15190000</v>
          </cell>
          <cell r="I5247">
            <v>6280014</v>
          </cell>
          <cell r="J5247">
            <v>10363837</v>
          </cell>
          <cell r="K5247">
            <v>7516667</v>
          </cell>
          <cell r="L5247">
            <v>0</v>
          </cell>
          <cell r="M5247">
            <v>7466509</v>
          </cell>
          <cell r="N5247">
            <v>53209984</v>
          </cell>
          <cell r="O5247">
            <v>1873995</v>
          </cell>
          <cell r="P5247">
            <v>65625221</v>
          </cell>
          <cell r="Q5247">
            <v>0</v>
          </cell>
          <cell r="R5247">
            <v>3241708</v>
          </cell>
          <cell r="S5247">
            <v>0</v>
          </cell>
          <cell r="T5247">
            <v>66792484</v>
          </cell>
          <cell r="U5247">
            <v>0</v>
          </cell>
          <cell r="V5247">
            <v>83261924</v>
          </cell>
          <cell r="W5247">
            <v>40208696</v>
          </cell>
          <cell r="X5247">
            <v>47187107</v>
          </cell>
          <cell r="Y5247">
            <v>650000</v>
          </cell>
          <cell r="Z5247">
            <v>6070768</v>
          </cell>
          <cell r="AA5247">
            <v>0</v>
          </cell>
          <cell r="AB5247">
            <v>6615217</v>
          </cell>
          <cell r="AC5247">
            <v>17589998</v>
          </cell>
          <cell r="AD5247">
            <v>160979440</v>
          </cell>
          <cell r="AE5247">
            <v>25319096</v>
          </cell>
          <cell r="AF5247">
            <v>7000062</v>
          </cell>
          <cell r="AG5247">
            <v>5160558</v>
          </cell>
          <cell r="AH5247">
            <v>92863316</v>
          </cell>
          <cell r="AI5247">
            <v>0</v>
          </cell>
        </row>
        <row r="5248">
          <cell r="A5248">
            <v>525010205</v>
          </cell>
          <cell r="C5248">
            <v>152044301</v>
          </cell>
          <cell r="D5248">
            <v>420384716</v>
          </cell>
          <cell r="E5248">
            <v>116737812</v>
          </cell>
          <cell r="F5248">
            <v>129803560</v>
          </cell>
          <cell r="G5248">
            <v>219887388</v>
          </cell>
          <cell r="H5248">
            <v>807383504</v>
          </cell>
          <cell r="I5248">
            <v>173802842</v>
          </cell>
          <cell r="J5248">
            <v>58800605</v>
          </cell>
          <cell r="K5248">
            <v>84957182</v>
          </cell>
          <cell r="L5248">
            <v>52051251</v>
          </cell>
          <cell r="M5248">
            <v>40555700</v>
          </cell>
          <cell r="N5248">
            <v>200415691</v>
          </cell>
          <cell r="O5248">
            <v>249372206</v>
          </cell>
          <cell r="P5248">
            <v>129245398</v>
          </cell>
          <cell r="Q5248">
            <v>45010360</v>
          </cell>
          <cell r="R5248">
            <v>200733553</v>
          </cell>
          <cell r="S5248">
            <v>27447917</v>
          </cell>
          <cell r="T5248">
            <v>566112962</v>
          </cell>
          <cell r="U5248">
            <v>16249356</v>
          </cell>
          <cell r="V5248">
            <v>342824894</v>
          </cell>
          <cell r="W5248">
            <v>170507251</v>
          </cell>
          <cell r="X5248">
            <v>210379572</v>
          </cell>
          <cell r="Y5248">
            <v>64391162</v>
          </cell>
          <cell r="Z5248">
            <v>172882050</v>
          </cell>
          <cell r="AA5248">
            <v>45119250</v>
          </cell>
          <cell r="AB5248">
            <v>262982469</v>
          </cell>
          <cell r="AC5248">
            <v>77206723</v>
          </cell>
          <cell r="AD5248">
            <v>390446063</v>
          </cell>
          <cell r="AE5248">
            <v>1158499679</v>
          </cell>
          <cell r="AF5248">
            <v>176734572</v>
          </cell>
          <cell r="AG5248">
            <v>123211553</v>
          </cell>
          <cell r="AH5248">
            <v>590873719</v>
          </cell>
          <cell r="AI5248">
            <v>134749098</v>
          </cell>
        </row>
        <row r="5249">
          <cell r="A5249">
            <v>525010206</v>
          </cell>
          <cell r="C5249">
            <v>5001470</v>
          </cell>
          <cell r="D5249">
            <v>11668272</v>
          </cell>
          <cell r="E5249">
            <v>7257096</v>
          </cell>
          <cell r="F5249">
            <v>11810568</v>
          </cell>
          <cell r="G5249">
            <v>12520986</v>
          </cell>
          <cell r="H5249">
            <v>40310000</v>
          </cell>
          <cell r="I5249">
            <v>11952760</v>
          </cell>
          <cell r="J5249">
            <v>0</v>
          </cell>
          <cell r="K5249">
            <v>7043652</v>
          </cell>
          <cell r="L5249">
            <v>0</v>
          </cell>
          <cell r="M5249">
            <v>4197850</v>
          </cell>
          <cell r="N5249">
            <v>12747043</v>
          </cell>
          <cell r="O5249">
            <v>17004072</v>
          </cell>
          <cell r="P5249">
            <v>4766916</v>
          </cell>
          <cell r="Q5249">
            <v>1565256</v>
          </cell>
          <cell r="R5249">
            <v>18324574</v>
          </cell>
          <cell r="S5249">
            <v>8110872</v>
          </cell>
          <cell r="T5249">
            <v>5939340</v>
          </cell>
          <cell r="U5249">
            <v>0</v>
          </cell>
          <cell r="V5249">
            <v>11743840</v>
          </cell>
          <cell r="W5249">
            <v>24524500</v>
          </cell>
          <cell r="X5249">
            <v>4085694</v>
          </cell>
          <cell r="Y5249">
            <v>2490180</v>
          </cell>
          <cell r="Z5249">
            <v>281772</v>
          </cell>
          <cell r="AA5249">
            <v>2580000</v>
          </cell>
          <cell r="AB5249">
            <v>21361500</v>
          </cell>
          <cell r="AC5249">
            <v>7683972</v>
          </cell>
          <cell r="AD5249">
            <v>13873860</v>
          </cell>
          <cell r="AE5249">
            <v>25923023</v>
          </cell>
          <cell r="AF5249">
            <v>19636848</v>
          </cell>
          <cell r="AG5249">
            <v>9462684</v>
          </cell>
          <cell r="AH5249">
            <v>22864910</v>
          </cell>
          <cell r="AI5249">
            <v>0</v>
          </cell>
        </row>
        <row r="5250">
          <cell r="A5250">
            <v>525010207</v>
          </cell>
          <cell r="C5250">
            <v>22146165</v>
          </cell>
          <cell r="D5250">
            <v>0</v>
          </cell>
          <cell r="E5250">
            <v>0</v>
          </cell>
          <cell r="F5250">
            <v>25579920</v>
          </cell>
          <cell r="G5250">
            <v>789532069</v>
          </cell>
          <cell r="H5250">
            <v>643854438</v>
          </cell>
          <cell r="I5250">
            <v>0</v>
          </cell>
          <cell r="J5250">
            <v>43030153</v>
          </cell>
          <cell r="K5250">
            <v>569183</v>
          </cell>
          <cell r="L5250">
            <v>0</v>
          </cell>
          <cell r="M5250">
            <v>20703297</v>
          </cell>
          <cell r="N5250">
            <v>7300000</v>
          </cell>
          <cell r="O5250">
            <v>98917860</v>
          </cell>
          <cell r="P5250">
            <v>22040659</v>
          </cell>
          <cell r="Q5250">
            <v>0</v>
          </cell>
          <cell r="R5250">
            <v>1983333</v>
          </cell>
          <cell r="S5250">
            <v>0</v>
          </cell>
          <cell r="T5250">
            <v>64031400</v>
          </cell>
          <cell r="U5250">
            <v>0</v>
          </cell>
          <cell r="V5250">
            <v>42478350</v>
          </cell>
          <cell r="W5250">
            <v>0</v>
          </cell>
          <cell r="X5250">
            <v>2000000</v>
          </cell>
          <cell r="Y5250">
            <v>6808459</v>
          </cell>
          <cell r="Z5250">
            <v>294626283</v>
          </cell>
          <cell r="AA5250">
            <v>24112500</v>
          </cell>
          <cell r="AB5250">
            <v>0</v>
          </cell>
          <cell r="AC5250">
            <v>24425000</v>
          </cell>
          <cell r="AD5250">
            <v>86699848</v>
          </cell>
          <cell r="AE5250">
            <v>1788001845</v>
          </cell>
          <cell r="AF5250">
            <v>175535820</v>
          </cell>
          <cell r="AG5250">
            <v>2622958</v>
          </cell>
          <cell r="AH5250">
            <v>367739295</v>
          </cell>
          <cell r="AI5250">
            <v>55777409</v>
          </cell>
        </row>
        <row r="5251">
          <cell r="A5251">
            <v>525010208</v>
          </cell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  <cell r="I5251">
            <v>0</v>
          </cell>
          <cell r="J5251">
            <v>3089785</v>
          </cell>
          <cell r="K5251">
            <v>1434547</v>
          </cell>
          <cell r="L5251">
            <v>28449182</v>
          </cell>
          <cell r="M5251">
            <v>0</v>
          </cell>
          <cell r="N5251">
            <v>39704699</v>
          </cell>
          <cell r="O5251">
            <v>0</v>
          </cell>
          <cell r="P5251">
            <v>8778874</v>
          </cell>
          <cell r="Q5251">
            <v>0</v>
          </cell>
          <cell r="R5251">
            <v>1200000</v>
          </cell>
          <cell r="S5251">
            <v>0</v>
          </cell>
          <cell r="T5251">
            <v>87093478</v>
          </cell>
          <cell r="U5251">
            <v>0</v>
          </cell>
          <cell r="V5251">
            <v>20862460</v>
          </cell>
          <cell r="W5251">
            <v>0</v>
          </cell>
          <cell r="X5251">
            <v>0</v>
          </cell>
          <cell r="Y5251">
            <v>0</v>
          </cell>
          <cell r="Z5251">
            <v>16656040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51090184</v>
          </cell>
          <cell r="AG5251">
            <v>0</v>
          </cell>
          <cell r="AH5251">
            <v>0</v>
          </cell>
          <cell r="AI5251">
            <v>0</v>
          </cell>
        </row>
        <row r="5252">
          <cell r="A5252">
            <v>525010209</v>
          </cell>
          <cell r="C5252">
            <v>0</v>
          </cell>
          <cell r="D5252">
            <v>0</v>
          </cell>
          <cell r="E5252">
            <v>31393293</v>
          </cell>
          <cell r="F5252">
            <v>0</v>
          </cell>
          <cell r="G5252">
            <v>0</v>
          </cell>
          <cell r="H5252">
            <v>0</v>
          </cell>
          <cell r="I5252">
            <v>320922158</v>
          </cell>
          <cell r="J5252">
            <v>0</v>
          </cell>
          <cell r="K5252">
            <v>8500000</v>
          </cell>
          <cell r="L5252">
            <v>2733852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R5252">
            <v>58516440</v>
          </cell>
          <cell r="S5252">
            <v>0</v>
          </cell>
          <cell r="T5252">
            <v>5554594</v>
          </cell>
          <cell r="U5252">
            <v>0</v>
          </cell>
          <cell r="V5252">
            <v>53579312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128500000</v>
          </cell>
          <cell r="AE5252">
            <v>90963112</v>
          </cell>
          <cell r="AF5252">
            <v>2628440</v>
          </cell>
          <cell r="AG5252">
            <v>0</v>
          </cell>
          <cell r="AH5252">
            <v>4191636</v>
          </cell>
          <cell r="AI5252">
            <v>317644</v>
          </cell>
        </row>
        <row r="5253">
          <cell r="A5253">
            <v>525010210</v>
          </cell>
          <cell r="C5253">
            <v>330000</v>
          </cell>
          <cell r="D5253">
            <v>3550000</v>
          </cell>
          <cell r="E5253">
            <v>2213764</v>
          </cell>
          <cell r="F5253">
            <v>5463636</v>
          </cell>
          <cell r="G5253">
            <v>15824158</v>
          </cell>
          <cell r="H5253">
            <v>172905380</v>
          </cell>
          <cell r="I5253">
            <v>4386363</v>
          </cell>
          <cell r="J5253">
            <v>8319122</v>
          </cell>
          <cell r="K5253">
            <v>0</v>
          </cell>
          <cell r="L5253">
            <v>0</v>
          </cell>
          <cell r="M5253">
            <v>1663636</v>
          </cell>
          <cell r="N5253">
            <v>31965879</v>
          </cell>
          <cell r="O5253">
            <v>54013415</v>
          </cell>
          <cell r="P5253">
            <v>5713182</v>
          </cell>
          <cell r="Q5253">
            <v>1852000</v>
          </cell>
          <cell r="R5253">
            <v>17840376</v>
          </cell>
          <cell r="S5253">
            <v>0</v>
          </cell>
          <cell r="T5253">
            <v>22014161</v>
          </cell>
          <cell r="U5253">
            <v>0</v>
          </cell>
          <cell r="V5253">
            <v>5844546</v>
          </cell>
          <cell r="W5253">
            <v>11189054</v>
          </cell>
          <cell r="X5253">
            <v>30119731</v>
          </cell>
          <cell r="Y5253">
            <v>0</v>
          </cell>
          <cell r="Z5253">
            <v>8523183</v>
          </cell>
          <cell r="AA5253">
            <v>6905228</v>
          </cell>
          <cell r="AB5253">
            <v>15390725</v>
          </cell>
          <cell r="AC5253">
            <v>250000</v>
          </cell>
          <cell r="AD5253">
            <v>48697743</v>
          </cell>
          <cell r="AE5253">
            <v>232965036</v>
          </cell>
          <cell r="AF5253">
            <v>156433519</v>
          </cell>
          <cell r="AG5253">
            <v>1663637</v>
          </cell>
          <cell r="AH5253">
            <v>68152055</v>
          </cell>
          <cell r="AI5253">
            <v>14430340</v>
          </cell>
        </row>
        <row r="5254">
          <cell r="A5254">
            <v>525010211</v>
          </cell>
          <cell r="C5254">
            <v>0</v>
          </cell>
          <cell r="D5254">
            <v>5861363</v>
          </cell>
          <cell r="E5254">
            <v>0</v>
          </cell>
          <cell r="F5254">
            <v>4230080</v>
          </cell>
          <cell r="G5254">
            <v>13622135</v>
          </cell>
          <cell r="H5254">
            <v>26423871</v>
          </cell>
          <cell r="I5254">
            <v>36383725</v>
          </cell>
          <cell r="J5254">
            <v>9728909</v>
          </cell>
          <cell r="K5254">
            <v>6100556</v>
          </cell>
          <cell r="L5254">
            <v>0</v>
          </cell>
          <cell r="M5254">
            <v>4480000</v>
          </cell>
          <cell r="N5254">
            <v>8277500</v>
          </cell>
          <cell r="O5254">
            <v>5104546</v>
          </cell>
          <cell r="P5254">
            <v>24895049</v>
          </cell>
          <cell r="Q5254">
            <v>462000</v>
          </cell>
          <cell r="R5254">
            <v>4235540</v>
          </cell>
          <cell r="S5254">
            <v>0</v>
          </cell>
          <cell r="T5254">
            <v>13834212</v>
          </cell>
          <cell r="U5254">
            <v>0</v>
          </cell>
          <cell r="V5254">
            <v>10400001</v>
          </cell>
          <cell r="W5254">
            <v>8898182</v>
          </cell>
          <cell r="X5254">
            <v>14161149</v>
          </cell>
          <cell r="Y5254">
            <v>0</v>
          </cell>
          <cell r="Z5254">
            <v>17062935</v>
          </cell>
          <cell r="AA5254">
            <v>7202272</v>
          </cell>
          <cell r="AB5254">
            <v>18178637</v>
          </cell>
          <cell r="AC5254">
            <v>0</v>
          </cell>
          <cell r="AD5254">
            <v>14037233</v>
          </cell>
          <cell r="AE5254">
            <v>154000885</v>
          </cell>
          <cell r="AF5254">
            <v>6779288</v>
          </cell>
          <cell r="AG5254">
            <v>21717727</v>
          </cell>
          <cell r="AH5254">
            <v>60692177</v>
          </cell>
          <cell r="AI5254">
            <v>10990910</v>
          </cell>
        </row>
        <row r="5255">
          <cell r="A5255">
            <v>525010212</v>
          </cell>
          <cell r="C5255">
            <v>0</v>
          </cell>
          <cell r="D5255">
            <v>14454545</v>
          </cell>
          <cell r="E5255">
            <v>41721501</v>
          </cell>
          <cell r="F5255">
            <v>350000</v>
          </cell>
          <cell r="G5255">
            <v>0</v>
          </cell>
          <cell r="H5255">
            <v>0</v>
          </cell>
          <cell r="I5255">
            <v>50729195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56704290</v>
          </cell>
          <cell r="O5255">
            <v>0</v>
          </cell>
          <cell r="P5255">
            <v>0</v>
          </cell>
          <cell r="Q5255">
            <v>0</v>
          </cell>
          <cell r="R5255">
            <v>0</v>
          </cell>
          <cell r="S5255">
            <v>0</v>
          </cell>
          <cell r="T5255">
            <v>53191698</v>
          </cell>
          <cell r="U5255">
            <v>0</v>
          </cell>
          <cell r="V5255">
            <v>61688159</v>
          </cell>
          <cell r="W5255">
            <v>0</v>
          </cell>
          <cell r="X5255">
            <v>57571366</v>
          </cell>
          <cell r="Y5255">
            <v>0</v>
          </cell>
          <cell r="Z5255">
            <v>51646366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810881676</v>
          </cell>
          <cell r="AF5255">
            <v>0</v>
          </cell>
          <cell r="AG5255">
            <v>960000</v>
          </cell>
          <cell r="AH5255">
            <v>0</v>
          </cell>
          <cell r="AI5255">
            <v>7546013</v>
          </cell>
        </row>
        <row r="5256">
          <cell r="A5256">
            <v>525010213</v>
          </cell>
          <cell r="C5256">
            <v>26352000</v>
          </cell>
          <cell r="D5256">
            <v>7775187</v>
          </cell>
          <cell r="E5256">
            <v>47915231</v>
          </cell>
          <cell r="F5256">
            <v>44163408</v>
          </cell>
          <cell r="G5256">
            <v>74027546</v>
          </cell>
          <cell r="H5256">
            <v>276791667</v>
          </cell>
          <cell r="I5256">
            <v>101887734</v>
          </cell>
          <cell r="J5256">
            <v>41050023</v>
          </cell>
          <cell r="K5256">
            <v>0</v>
          </cell>
          <cell r="L5256">
            <v>1957604</v>
          </cell>
          <cell r="M5256">
            <v>0</v>
          </cell>
          <cell r="N5256">
            <v>13874926</v>
          </cell>
          <cell r="O5256">
            <v>108460458</v>
          </cell>
          <cell r="P5256">
            <v>0</v>
          </cell>
          <cell r="Q5256">
            <v>9675000</v>
          </cell>
          <cell r="R5256">
            <v>37358999</v>
          </cell>
          <cell r="S5256">
            <v>0</v>
          </cell>
          <cell r="T5256">
            <v>100132597</v>
          </cell>
          <cell r="U5256">
            <v>0</v>
          </cell>
          <cell r="V5256">
            <v>97820371</v>
          </cell>
          <cell r="W5256">
            <v>0</v>
          </cell>
          <cell r="X5256">
            <v>0</v>
          </cell>
          <cell r="Y5256">
            <v>1414408</v>
          </cell>
          <cell r="Z5256">
            <v>0</v>
          </cell>
          <cell r="AA5256">
            <v>0</v>
          </cell>
          <cell r="AB5256">
            <v>99530000</v>
          </cell>
          <cell r="AC5256">
            <v>0</v>
          </cell>
          <cell r="AD5256">
            <v>0</v>
          </cell>
          <cell r="AE5256">
            <v>0</v>
          </cell>
          <cell r="AF5256">
            <v>21629646</v>
          </cell>
          <cell r="AG5256">
            <v>20565274</v>
          </cell>
          <cell r="AH5256">
            <v>353644362</v>
          </cell>
          <cell r="AI5256">
            <v>21732397</v>
          </cell>
        </row>
        <row r="5257">
          <cell r="A5257">
            <v>525010214</v>
          </cell>
          <cell r="C5257">
            <v>0</v>
          </cell>
          <cell r="D5257">
            <v>277592</v>
          </cell>
          <cell r="E5257">
            <v>0</v>
          </cell>
          <cell r="F5257">
            <v>0</v>
          </cell>
          <cell r="G5257">
            <v>3600000</v>
          </cell>
          <cell r="H5257">
            <v>0</v>
          </cell>
          <cell r="I5257">
            <v>0</v>
          </cell>
          <cell r="J5257">
            <v>0</v>
          </cell>
          <cell r="K5257">
            <v>100000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R5257">
            <v>0</v>
          </cell>
          <cell r="S5257">
            <v>117687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1173568</v>
          </cell>
          <cell r="AD5257">
            <v>0</v>
          </cell>
          <cell r="AE5257">
            <v>9000000</v>
          </cell>
          <cell r="AF5257">
            <v>0</v>
          </cell>
          <cell r="AG5257">
            <v>126461</v>
          </cell>
          <cell r="AH5257">
            <v>0</v>
          </cell>
          <cell r="AI5257">
            <v>0</v>
          </cell>
        </row>
        <row r="5258">
          <cell r="A5258">
            <v>525010215</v>
          </cell>
          <cell r="C5258">
            <v>6250000</v>
          </cell>
          <cell r="D5258">
            <v>167380408</v>
          </cell>
          <cell r="E5258">
            <v>0</v>
          </cell>
          <cell r="F5258">
            <v>23759640</v>
          </cell>
          <cell r="G5258">
            <v>9350000</v>
          </cell>
          <cell r="H5258">
            <v>133588443</v>
          </cell>
          <cell r="I5258">
            <v>49723901</v>
          </cell>
          <cell r="J5258">
            <v>711500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8314770</v>
          </cell>
          <cell r="P5258">
            <v>15000000</v>
          </cell>
          <cell r="Q5258">
            <v>0</v>
          </cell>
          <cell r="R5258">
            <v>17797067</v>
          </cell>
          <cell r="S5258">
            <v>0</v>
          </cell>
          <cell r="T5258">
            <v>51723250</v>
          </cell>
          <cell r="U5258">
            <v>0</v>
          </cell>
          <cell r="V5258">
            <v>110550000</v>
          </cell>
          <cell r="W5258">
            <v>0</v>
          </cell>
          <cell r="X5258">
            <v>10000000</v>
          </cell>
          <cell r="Y5258">
            <v>7504436</v>
          </cell>
          <cell r="Z5258">
            <v>7114970</v>
          </cell>
          <cell r="AA5258">
            <v>0</v>
          </cell>
          <cell r="AB5258">
            <v>20696000</v>
          </cell>
          <cell r="AC5258">
            <v>0</v>
          </cell>
          <cell r="AD5258">
            <v>17500000</v>
          </cell>
          <cell r="AE5258">
            <v>233851424</v>
          </cell>
          <cell r="AF5258">
            <v>25738153</v>
          </cell>
          <cell r="AG5258">
            <v>18787748</v>
          </cell>
          <cell r="AH5258">
            <v>193699388</v>
          </cell>
          <cell r="AI5258">
            <v>0</v>
          </cell>
        </row>
        <row r="5259">
          <cell r="A5259">
            <v>525010300</v>
          </cell>
          <cell r="C5259">
            <v>250226574</v>
          </cell>
          <cell r="D5259">
            <v>492411121</v>
          </cell>
          <cell r="E5259">
            <v>305113334</v>
          </cell>
          <cell r="F5259">
            <v>181759294</v>
          </cell>
          <cell r="G5259">
            <v>649115544</v>
          </cell>
          <cell r="H5259">
            <v>1894029194</v>
          </cell>
          <cell r="I5259">
            <v>475993803</v>
          </cell>
          <cell r="J5259">
            <v>295800825</v>
          </cell>
          <cell r="K5259">
            <v>139537583</v>
          </cell>
          <cell r="L5259">
            <v>165515740</v>
          </cell>
          <cell r="M5259">
            <v>373359740</v>
          </cell>
          <cell r="N5259">
            <v>996035618</v>
          </cell>
          <cell r="O5259">
            <v>335574580</v>
          </cell>
          <cell r="P5259">
            <v>221400212</v>
          </cell>
          <cell r="Q5259">
            <v>168383400</v>
          </cell>
          <cell r="R5259">
            <v>287314990</v>
          </cell>
          <cell r="S5259">
            <v>42387085</v>
          </cell>
          <cell r="T5259">
            <v>730166612</v>
          </cell>
          <cell r="U5259">
            <v>41115527</v>
          </cell>
          <cell r="V5259">
            <v>440481460</v>
          </cell>
          <cell r="W5259">
            <v>126445450</v>
          </cell>
          <cell r="X5259">
            <v>558353276</v>
          </cell>
          <cell r="Y5259">
            <v>102645185</v>
          </cell>
          <cell r="Z5259">
            <v>173005394</v>
          </cell>
          <cell r="AA5259">
            <v>155589782</v>
          </cell>
          <cell r="AB5259">
            <v>484699314</v>
          </cell>
          <cell r="AC5259">
            <v>196918016</v>
          </cell>
          <cell r="AD5259">
            <v>323214226</v>
          </cell>
          <cell r="AE5259">
            <v>1646715048</v>
          </cell>
          <cell r="AF5259">
            <v>576525314</v>
          </cell>
          <cell r="AG5259">
            <v>770776417</v>
          </cell>
          <cell r="AH5259">
            <v>771831606</v>
          </cell>
          <cell r="AI5259">
            <v>839625643</v>
          </cell>
        </row>
        <row r="5260">
          <cell r="A5260">
            <v>525010301</v>
          </cell>
          <cell r="C5260">
            <v>41195455</v>
          </cell>
          <cell r="D5260">
            <v>19500000</v>
          </cell>
          <cell r="E5260">
            <v>16000000</v>
          </cell>
          <cell r="F5260">
            <v>13909091</v>
          </cell>
          <cell r="G5260">
            <v>10909090</v>
          </cell>
          <cell r="H5260">
            <v>77181818</v>
          </cell>
          <cell r="I5260">
            <v>26266182</v>
          </cell>
          <cell r="J5260">
            <v>16000000</v>
          </cell>
          <cell r="K5260">
            <v>12000000</v>
          </cell>
          <cell r="L5260">
            <v>51180550</v>
          </cell>
          <cell r="M5260">
            <v>19000000</v>
          </cell>
          <cell r="N5260">
            <v>280879544</v>
          </cell>
          <cell r="O5260">
            <v>20000000</v>
          </cell>
          <cell r="P5260">
            <v>26045455</v>
          </cell>
          <cell r="Q5260">
            <v>32750000</v>
          </cell>
          <cell r="R5260">
            <v>22727275</v>
          </cell>
          <cell r="S5260">
            <v>16100000</v>
          </cell>
          <cell r="T5260">
            <v>294472720</v>
          </cell>
          <cell r="U5260">
            <v>9600000</v>
          </cell>
          <cell r="V5260">
            <v>46500000</v>
          </cell>
          <cell r="W5260">
            <v>0</v>
          </cell>
          <cell r="X5260">
            <v>27866361</v>
          </cell>
          <cell r="Y5260">
            <v>18827275</v>
          </cell>
          <cell r="Z5260">
            <v>8409091</v>
          </cell>
          <cell r="AA5260">
            <v>19440000</v>
          </cell>
          <cell r="AB5260">
            <v>35409091</v>
          </cell>
          <cell r="AC5260">
            <v>42077922</v>
          </cell>
          <cell r="AD5260">
            <v>40355505</v>
          </cell>
          <cell r="AE5260">
            <v>126410000</v>
          </cell>
          <cell r="AF5260">
            <v>22870000</v>
          </cell>
          <cell r="AG5260">
            <v>31473742</v>
          </cell>
          <cell r="AH5260">
            <v>50000000</v>
          </cell>
          <cell r="AI5260">
            <v>71764300</v>
          </cell>
        </row>
        <row r="5261">
          <cell r="A5261">
            <v>525010302</v>
          </cell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18545455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</row>
        <row r="5262">
          <cell r="A5262">
            <v>525010303</v>
          </cell>
          <cell r="C5262">
            <v>123000000</v>
          </cell>
          <cell r="D5262">
            <v>91100000</v>
          </cell>
          <cell r="E5262">
            <v>24000000</v>
          </cell>
          <cell r="F5262">
            <v>10318182</v>
          </cell>
          <cell r="G5262">
            <v>95728255</v>
          </cell>
          <cell r="H5262">
            <v>543362060</v>
          </cell>
          <cell r="I5262">
            <v>426869014</v>
          </cell>
          <cell r="J5262">
            <v>9797239</v>
          </cell>
          <cell r="K5262">
            <v>30000000</v>
          </cell>
          <cell r="L5262">
            <v>16906368</v>
          </cell>
          <cell r="M5262">
            <v>33272591</v>
          </cell>
          <cell r="N5262">
            <v>386138018</v>
          </cell>
          <cell r="O5262">
            <v>40280000</v>
          </cell>
          <cell r="P5262">
            <v>58600000</v>
          </cell>
          <cell r="Q5262">
            <v>0</v>
          </cell>
          <cell r="R5262">
            <v>68682393</v>
          </cell>
          <cell r="S5262">
            <v>10578711</v>
          </cell>
          <cell r="T5262">
            <v>99987777</v>
          </cell>
          <cell r="U5262">
            <v>0</v>
          </cell>
          <cell r="V5262">
            <v>0</v>
          </cell>
          <cell r="W5262">
            <v>55378087</v>
          </cell>
          <cell r="X5262">
            <v>10315632</v>
          </cell>
          <cell r="Y5262">
            <v>8067868</v>
          </cell>
          <cell r="Z5262">
            <v>68518535</v>
          </cell>
          <cell r="AA5262">
            <v>49735000</v>
          </cell>
          <cell r="AB5262">
            <v>76632168</v>
          </cell>
          <cell r="AC5262">
            <v>22890909</v>
          </cell>
          <cell r="AD5262">
            <v>112564347</v>
          </cell>
          <cell r="AE5262">
            <v>72312614</v>
          </cell>
          <cell r="AF5262">
            <v>8613636</v>
          </cell>
          <cell r="AG5262">
            <v>0</v>
          </cell>
          <cell r="AH5262">
            <v>155678189</v>
          </cell>
          <cell r="AI5262">
            <v>146930500</v>
          </cell>
        </row>
        <row r="5263">
          <cell r="A5263">
            <v>525010304</v>
          </cell>
          <cell r="C5263">
            <v>63736364</v>
          </cell>
          <cell r="D5263">
            <v>138856818</v>
          </cell>
          <cell r="E5263">
            <v>70528045</v>
          </cell>
          <cell r="F5263">
            <v>54000000</v>
          </cell>
          <cell r="G5263">
            <v>78762840</v>
          </cell>
          <cell r="H5263">
            <v>0</v>
          </cell>
          <cell r="I5263">
            <v>1503636</v>
          </cell>
          <cell r="J5263">
            <v>82921114</v>
          </cell>
          <cell r="K5263">
            <v>48000000</v>
          </cell>
          <cell r="L5263">
            <v>42881591</v>
          </cell>
          <cell r="M5263">
            <v>51305453</v>
          </cell>
          <cell r="N5263">
            <v>108295203</v>
          </cell>
          <cell r="O5263">
            <v>81120000</v>
          </cell>
          <cell r="P5263">
            <v>0</v>
          </cell>
          <cell r="Q5263">
            <v>70856000</v>
          </cell>
          <cell r="R5263">
            <v>0</v>
          </cell>
          <cell r="S5263">
            <v>0</v>
          </cell>
          <cell r="T5263">
            <v>69230780</v>
          </cell>
          <cell r="U5263">
            <v>0</v>
          </cell>
          <cell r="V5263">
            <v>42500000</v>
          </cell>
          <cell r="W5263">
            <v>61200000</v>
          </cell>
          <cell r="X5263">
            <v>189666839</v>
          </cell>
          <cell r="Y5263">
            <v>0</v>
          </cell>
          <cell r="Z5263">
            <v>33718182</v>
          </cell>
          <cell r="AA5263">
            <v>41100000</v>
          </cell>
          <cell r="AB5263">
            <v>102400000</v>
          </cell>
          <cell r="AC5263">
            <v>44931818</v>
          </cell>
          <cell r="AD5263">
            <v>93662458</v>
          </cell>
          <cell r="AE5263">
            <v>291664606</v>
          </cell>
          <cell r="AF5263">
            <v>81600000</v>
          </cell>
          <cell r="AG5263">
            <v>29999997</v>
          </cell>
          <cell r="AH5263">
            <v>296054545</v>
          </cell>
          <cell r="AI5263">
            <v>3833009</v>
          </cell>
        </row>
        <row r="5264">
          <cell r="A5264">
            <v>525010305</v>
          </cell>
          <cell r="C5264">
            <v>3449299</v>
          </cell>
          <cell r="D5264">
            <v>14828614</v>
          </cell>
          <cell r="E5264">
            <v>12285289</v>
          </cell>
          <cell r="F5264">
            <v>23421772</v>
          </cell>
          <cell r="G5264">
            <v>8837134</v>
          </cell>
          <cell r="H5264">
            <v>31903764</v>
          </cell>
          <cell r="I5264">
            <v>21354971</v>
          </cell>
          <cell r="J5264">
            <v>4519666</v>
          </cell>
          <cell r="K5264">
            <v>1714728</v>
          </cell>
          <cell r="L5264">
            <v>44832745</v>
          </cell>
          <cell r="M5264">
            <v>9859029</v>
          </cell>
          <cell r="N5264">
            <v>202177398</v>
          </cell>
          <cell r="O5264">
            <v>15975920</v>
          </cell>
          <cell r="P5264">
            <v>7963151</v>
          </cell>
          <cell r="Q5264">
            <v>0</v>
          </cell>
          <cell r="R5264">
            <v>4824704</v>
          </cell>
          <cell r="S5264">
            <v>108374</v>
          </cell>
          <cell r="T5264">
            <v>24082980</v>
          </cell>
          <cell r="U5264">
            <v>2342359</v>
          </cell>
          <cell r="V5264">
            <v>23752051</v>
          </cell>
          <cell r="W5264">
            <v>6567363</v>
          </cell>
          <cell r="X5264">
            <v>11831958</v>
          </cell>
          <cell r="Y5264">
            <v>2111806</v>
          </cell>
          <cell r="Z5264">
            <v>10554519</v>
          </cell>
          <cell r="AA5264">
            <v>7504382</v>
          </cell>
          <cell r="AB5264">
            <v>26072620</v>
          </cell>
          <cell r="AC5264">
            <v>7388182</v>
          </cell>
          <cell r="AD5264">
            <v>4641006</v>
          </cell>
          <cell r="AE5264">
            <v>0</v>
          </cell>
          <cell r="AF5264">
            <v>7612864</v>
          </cell>
          <cell r="AG5264">
            <v>12395431</v>
          </cell>
          <cell r="AH5264">
            <v>42058450</v>
          </cell>
          <cell r="AI5264">
            <v>1514206</v>
          </cell>
        </row>
        <row r="5265">
          <cell r="A5265">
            <v>525010306</v>
          </cell>
          <cell r="C5265">
            <v>0</v>
          </cell>
          <cell r="D5265">
            <v>0</v>
          </cell>
          <cell r="E5265">
            <v>122200000</v>
          </cell>
          <cell r="F5265">
            <v>2727273</v>
          </cell>
          <cell r="G5265">
            <v>0</v>
          </cell>
          <cell r="H5265">
            <v>0</v>
          </cell>
          <cell r="I5265">
            <v>0</v>
          </cell>
          <cell r="J5265">
            <v>50996650</v>
          </cell>
          <cell r="K5265">
            <v>0</v>
          </cell>
          <cell r="L5265">
            <v>0</v>
          </cell>
          <cell r="M5265">
            <v>67016000</v>
          </cell>
          <cell r="N5265">
            <v>0</v>
          </cell>
          <cell r="O5265">
            <v>0</v>
          </cell>
          <cell r="P5265">
            <v>55209091</v>
          </cell>
          <cell r="Q5265">
            <v>3500000</v>
          </cell>
          <cell r="R5265">
            <v>0</v>
          </cell>
          <cell r="S5265">
            <v>15600000</v>
          </cell>
          <cell r="T5265">
            <v>0</v>
          </cell>
          <cell r="U5265">
            <v>0</v>
          </cell>
          <cell r="V5265">
            <v>172493056</v>
          </cell>
          <cell r="W5265">
            <v>0</v>
          </cell>
          <cell r="X5265">
            <v>3250000</v>
          </cell>
          <cell r="Y5265">
            <v>0</v>
          </cell>
          <cell r="Z5265">
            <v>14790067</v>
          </cell>
          <cell r="AA5265">
            <v>20950000</v>
          </cell>
          <cell r="AB5265">
            <v>0</v>
          </cell>
          <cell r="AC5265">
            <v>41580000</v>
          </cell>
          <cell r="AD5265">
            <v>0</v>
          </cell>
          <cell r="AE5265">
            <v>71242069</v>
          </cell>
          <cell r="AF5265">
            <v>58500000</v>
          </cell>
          <cell r="AG5265">
            <v>84000000</v>
          </cell>
          <cell r="AH5265">
            <v>0</v>
          </cell>
          <cell r="AI5265">
            <v>98052318</v>
          </cell>
        </row>
        <row r="5266">
          <cell r="A5266">
            <v>525010399</v>
          </cell>
          <cell r="C5266">
            <v>18845456</v>
          </cell>
          <cell r="D5266">
            <v>228125689</v>
          </cell>
          <cell r="E5266">
            <v>60100000</v>
          </cell>
          <cell r="F5266">
            <v>77382976</v>
          </cell>
          <cell r="G5266">
            <v>454878225</v>
          </cell>
          <cell r="H5266">
            <v>1241581552</v>
          </cell>
          <cell r="I5266">
            <v>0</v>
          </cell>
          <cell r="J5266">
            <v>131566156</v>
          </cell>
          <cell r="K5266">
            <v>47822855</v>
          </cell>
          <cell r="L5266">
            <v>9714486</v>
          </cell>
          <cell r="M5266">
            <v>192906667</v>
          </cell>
          <cell r="N5266">
            <v>0</v>
          </cell>
          <cell r="O5266">
            <v>178198660</v>
          </cell>
          <cell r="P5266">
            <v>73582515</v>
          </cell>
          <cell r="Q5266">
            <v>61277400</v>
          </cell>
          <cell r="R5266">
            <v>191080618</v>
          </cell>
          <cell r="S5266">
            <v>0</v>
          </cell>
          <cell r="T5266">
            <v>242392355</v>
          </cell>
          <cell r="U5266">
            <v>29173168</v>
          </cell>
          <cell r="V5266">
            <v>155236353</v>
          </cell>
          <cell r="W5266">
            <v>3300000</v>
          </cell>
          <cell r="X5266">
            <v>315422486</v>
          </cell>
          <cell r="Y5266">
            <v>73638236</v>
          </cell>
          <cell r="Z5266">
            <v>37015000</v>
          </cell>
          <cell r="AA5266">
            <v>16860400</v>
          </cell>
          <cell r="AB5266">
            <v>244185435</v>
          </cell>
          <cell r="AC5266">
            <v>38049185</v>
          </cell>
          <cell r="AD5266">
            <v>71990910</v>
          </cell>
          <cell r="AE5266">
            <v>1085085759</v>
          </cell>
          <cell r="AF5266">
            <v>397328814</v>
          </cell>
          <cell r="AG5266">
            <v>612907247</v>
          </cell>
          <cell r="AH5266">
            <v>228040422</v>
          </cell>
          <cell r="AI5266">
            <v>517531310</v>
          </cell>
        </row>
        <row r="5267">
          <cell r="A5267">
            <v>525010400</v>
          </cell>
          <cell r="C5267">
            <v>274047961</v>
          </cell>
          <cell r="D5267">
            <v>503226657</v>
          </cell>
          <cell r="E5267">
            <v>440770468</v>
          </cell>
          <cell r="F5267">
            <v>109409247</v>
          </cell>
          <cell r="G5267">
            <v>495180612</v>
          </cell>
          <cell r="H5267">
            <v>745897928</v>
          </cell>
          <cell r="I5267">
            <v>289321466</v>
          </cell>
          <cell r="J5267">
            <v>286928828</v>
          </cell>
          <cell r="K5267">
            <v>149084291</v>
          </cell>
          <cell r="L5267">
            <v>146532513</v>
          </cell>
          <cell r="M5267">
            <v>264501175</v>
          </cell>
          <cell r="N5267">
            <v>491680545</v>
          </cell>
          <cell r="O5267">
            <v>180911008</v>
          </cell>
          <cell r="P5267">
            <v>20397725</v>
          </cell>
          <cell r="Q5267">
            <v>380948836</v>
          </cell>
          <cell r="R5267">
            <v>111235793</v>
          </cell>
          <cell r="S5267">
            <v>57005188</v>
          </cell>
          <cell r="T5267">
            <v>427963887</v>
          </cell>
          <cell r="U5267">
            <v>21227760</v>
          </cell>
          <cell r="V5267">
            <v>677902596</v>
          </cell>
          <cell r="W5267">
            <v>156835624</v>
          </cell>
          <cell r="X5267">
            <v>279277886</v>
          </cell>
          <cell r="Y5267">
            <v>31094491</v>
          </cell>
          <cell r="Z5267">
            <v>116108940</v>
          </cell>
          <cell r="AA5267">
            <v>136683469</v>
          </cell>
          <cell r="AB5267">
            <v>606252646</v>
          </cell>
          <cell r="AC5267">
            <v>187991427</v>
          </cell>
          <cell r="AD5267">
            <v>386014839</v>
          </cell>
          <cell r="AE5267">
            <v>3778675938</v>
          </cell>
          <cell r="AF5267">
            <v>101603701</v>
          </cell>
          <cell r="AG5267">
            <v>103125073</v>
          </cell>
          <cell r="AH5267">
            <v>247047721</v>
          </cell>
          <cell r="AI5267">
            <v>19557209</v>
          </cell>
        </row>
        <row r="5268">
          <cell r="A5268">
            <v>525010401</v>
          </cell>
          <cell r="C5268">
            <v>224752936</v>
          </cell>
          <cell r="D5268">
            <v>478179010</v>
          </cell>
          <cell r="E5268">
            <v>310158001</v>
          </cell>
          <cell r="F5268">
            <v>63522884</v>
          </cell>
          <cell r="G5268">
            <v>415623332</v>
          </cell>
          <cell r="H5268">
            <v>721514044</v>
          </cell>
          <cell r="I5268">
            <v>204980081</v>
          </cell>
          <cell r="J5268">
            <v>253157186</v>
          </cell>
          <cell r="K5268">
            <v>142560755</v>
          </cell>
          <cell r="L5268">
            <v>60520952</v>
          </cell>
          <cell r="M5268">
            <v>250166658</v>
          </cell>
          <cell r="N5268">
            <v>193225807</v>
          </cell>
          <cell r="O5268">
            <v>142908498</v>
          </cell>
          <cell r="P5268">
            <v>0</v>
          </cell>
          <cell r="Q5268">
            <v>216265584</v>
          </cell>
          <cell r="R5268">
            <v>30258033</v>
          </cell>
          <cell r="S5268">
            <v>49531620</v>
          </cell>
          <cell r="T5268">
            <v>374610531</v>
          </cell>
          <cell r="U5268">
            <v>0</v>
          </cell>
          <cell r="V5268">
            <v>600350677</v>
          </cell>
          <cell r="W5268">
            <v>78745053</v>
          </cell>
          <cell r="X5268">
            <v>252119018</v>
          </cell>
          <cell r="Y5268">
            <v>19900847</v>
          </cell>
          <cell r="Z5268">
            <v>80986113</v>
          </cell>
          <cell r="AA5268">
            <v>122921849</v>
          </cell>
          <cell r="AB5268">
            <v>500478382</v>
          </cell>
          <cell r="AC5268">
            <v>178325709</v>
          </cell>
          <cell r="AD5268">
            <v>337536877</v>
          </cell>
          <cell r="AE5268">
            <v>3411480516</v>
          </cell>
          <cell r="AF5268">
            <v>83692089</v>
          </cell>
          <cell r="AG5268">
            <v>80784102</v>
          </cell>
          <cell r="AH5268">
            <v>224133486</v>
          </cell>
          <cell r="AI5268">
            <v>0</v>
          </cell>
        </row>
        <row r="5269">
          <cell r="A5269">
            <v>525010402</v>
          </cell>
          <cell r="C5269">
            <v>9151729</v>
          </cell>
          <cell r="D5269">
            <v>3785900</v>
          </cell>
          <cell r="E5269">
            <v>0</v>
          </cell>
          <cell r="F5269">
            <v>12345257</v>
          </cell>
          <cell r="G5269">
            <v>15111073</v>
          </cell>
          <cell r="H5269">
            <v>0</v>
          </cell>
          <cell r="I5269">
            <v>7082622</v>
          </cell>
          <cell r="J5269">
            <v>3813600</v>
          </cell>
          <cell r="K5269">
            <v>0</v>
          </cell>
          <cell r="L5269">
            <v>1933800</v>
          </cell>
          <cell r="M5269">
            <v>4477600</v>
          </cell>
          <cell r="N5269">
            <v>0</v>
          </cell>
          <cell r="O5269">
            <v>11011700</v>
          </cell>
          <cell r="P5269">
            <v>0</v>
          </cell>
          <cell r="Q5269">
            <v>0</v>
          </cell>
          <cell r="R5269">
            <v>18435286</v>
          </cell>
          <cell r="S5269">
            <v>2690068</v>
          </cell>
          <cell r="T5269">
            <v>0</v>
          </cell>
          <cell r="U5269">
            <v>0</v>
          </cell>
          <cell r="V5269">
            <v>0</v>
          </cell>
          <cell r="W5269">
            <v>10713838</v>
          </cell>
          <cell r="X5269">
            <v>0</v>
          </cell>
          <cell r="Y5269">
            <v>1783294</v>
          </cell>
          <cell r="Z5269">
            <v>1391500</v>
          </cell>
          <cell r="AA5269">
            <v>2614900</v>
          </cell>
          <cell r="AB5269">
            <v>0</v>
          </cell>
          <cell r="AC5269">
            <v>1883666</v>
          </cell>
          <cell r="AD5269">
            <v>3728773</v>
          </cell>
          <cell r="AE5269">
            <v>6788866</v>
          </cell>
          <cell r="AF5269">
            <v>0</v>
          </cell>
          <cell r="AG5269">
            <v>1102200</v>
          </cell>
          <cell r="AH5269">
            <v>2930100</v>
          </cell>
          <cell r="AI5269">
            <v>0</v>
          </cell>
        </row>
        <row r="5270">
          <cell r="A5270">
            <v>525010403</v>
          </cell>
          <cell r="C5270">
            <v>40143296</v>
          </cell>
          <cell r="D5270">
            <v>21217831</v>
          </cell>
          <cell r="E5270">
            <v>33503607</v>
          </cell>
          <cell r="F5270">
            <v>23095566</v>
          </cell>
          <cell r="G5270">
            <v>50153236</v>
          </cell>
          <cell r="H5270">
            <v>24383884</v>
          </cell>
          <cell r="I5270">
            <v>61561332</v>
          </cell>
          <cell r="J5270">
            <v>27791928</v>
          </cell>
          <cell r="K5270">
            <v>6501200</v>
          </cell>
          <cell r="L5270">
            <v>4733300</v>
          </cell>
          <cell r="M5270">
            <v>9856917</v>
          </cell>
          <cell r="N5270">
            <v>25341031</v>
          </cell>
          <cell r="O5270">
            <v>26679883</v>
          </cell>
          <cell r="P5270">
            <v>20277150</v>
          </cell>
          <cell r="Q5270">
            <v>31200100</v>
          </cell>
          <cell r="R5270">
            <v>38468991</v>
          </cell>
          <cell r="S5270">
            <v>4783500</v>
          </cell>
          <cell r="T5270">
            <v>48942520</v>
          </cell>
          <cell r="U5270">
            <v>20473300</v>
          </cell>
          <cell r="V5270">
            <v>66144931</v>
          </cell>
          <cell r="W5270">
            <v>11605600</v>
          </cell>
          <cell r="X5270">
            <v>21744541</v>
          </cell>
          <cell r="Y5270">
            <v>9397738</v>
          </cell>
          <cell r="Z5270">
            <v>33716327</v>
          </cell>
          <cell r="AA5270">
            <v>11097300</v>
          </cell>
          <cell r="AB5270">
            <v>29031252</v>
          </cell>
          <cell r="AC5270">
            <v>7782052</v>
          </cell>
          <cell r="AD5270">
            <v>44668971</v>
          </cell>
          <cell r="AE5270">
            <v>201357241</v>
          </cell>
          <cell r="AF5270">
            <v>11606612</v>
          </cell>
          <cell r="AG5270">
            <v>17874229</v>
          </cell>
          <cell r="AH5270">
            <v>19984135</v>
          </cell>
          <cell r="AI5270">
            <v>17489162</v>
          </cell>
        </row>
        <row r="5271">
          <cell r="A5271">
            <v>525010404</v>
          </cell>
          <cell r="C5271">
            <v>0</v>
          </cell>
          <cell r="D5271">
            <v>43916</v>
          </cell>
          <cell r="E5271">
            <v>97108860</v>
          </cell>
          <cell r="F5271">
            <v>10445540</v>
          </cell>
          <cell r="G5271">
            <v>14292971</v>
          </cell>
          <cell r="H5271">
            <v>0</v>
          </cell>
          <cell r="I5271">
            <v>15697431</v>
          </cell>
          <cell r="J5271">
            <v>2166114</v>
          </cell>
          <cell r="K5271">
            <v>22336</v>
          </cell>
          <cell r="L5271">
            <v>79344461</v>
          </cell>
          <cell r="M5271">
            <v>0</v>
          </cell>
          <cell r="N5271">
            <v>273113707</v>
          </cell>
          <cell r="O5271">
            <v>310927</v>
          </cell>
          <cell r="P5271">
            <v>120575</v>
          </cell>
          <cell r="Q5271">
            <v>133483152</v>
          </cell>
          <cell r="R5271">
            <v>24073483</v>
          </cell>
          <cell r="S5271">
            <v>0</v>
          </cell>
          <cell r="T5271">
            <v>4410836</v>
          </cell>
          <cell r="U5271">
            <v>754460</v>
          </cell>
          <cell r="V5271">
            <v>11406988</v>
          </cell>
          <cell r="W5271">
            <v>55771133</v>
          </cell>
          <cell r="X5271">
            <v>5414327</v>
          </cell>
          <cell r="Y5271">
            <v>12612</v>
          </cell>
          <cell r="Z5271">
            <v>15000</v>
          </cell>
          <cell r="AA5271">
            <v>49420</v>
          </cell>
          <cell r="AB5271">
            <v>76743012</v>
          </cell>
          <cell r="AC5271">
            <v>0</v>
          </cell>
          <cell r="AD5271">
            <v>80218</v>
          </cell>
          <cell r="AE5271">
            <v>159049315</v>
          </cell>
          <cell r="AF5271">
            <v>6305000</v>
          </cell>
          <cell r="AG5271">
            <v>3364542</v>
          </cell>
          <cell r="AH5271">
            <v>0</v>
          </cell>
          <cell r="AI5271">
            <v>2068047</v>
          </cell>
        </row>
        <row r="5272">
          <cell r="A5272">
            <v>525010500</v>
          </cell>
          <cell r="C5272">
            <v>19812384</v>
          </cell>
          <cell r="D5272">
            <v>2171831</v>
          </cell>
          <cell r="E5272">
            <v>3877476</v>
          </cell>
          <cell r="F5272">
            <v>1082648</v>
          </cell>
          <cell r="G5272">
            <v>1337971</v>
          </cell>
          <cell r="H5272">
            <v>11739211</v>
          </cell>
          <cell r="I5272">
            <v>0</v>
          </cell>
          <cell r="J5272">
            <v>3385261</v>
          </cell>
          <cell r="K5272">
            <v>349804</v>
          </cell>
          <cell r="L5272">
            <v>92863</v>
          </cell>
          <cell r="M5272">
            <v>2562640</v>
          </cell>
          <cell r="N5272">
            <v>700000</v>
          </cell>
          <cell r="O5272">
            <v>134281</v>
          </cell>
          <cell r="P5272">
            <v>0</v>
          </cell>
          <cell r="Q5272">
            <v>319020</v>
          </cell>
          <cell r="R5272">
            <v>13027961</v>
          </cell>
          <cell r="S5272">
            <v>50000</v>
          </cell>
          <cell r="T5272">
            <v>14193077</v>
          </cell>
          <cell r="U5272">
            <v>547617</v>
          </cell>
          <cell r="V5272">
            <v>2502981</v>
          </cell>
          <cell r="W5272">
            <v>37713</v>
          </cell>
          <cell r="X5272">
            <v>47724</v>
          </cell>
          <cell r="Y5272">
            <v>44263</v>
          </cell>
          <cell r="Z5272">
            <v>4296928</v>
          </cell>
          <cell r="AA5272">
            <v>610356</v>
          </cell>
          <cell r="AB5272">
            <v>6000713</v>
          </cell>
          <cell r="AC5272">
            <v>145071</v>
          </cell>
          <cell r="AD5272">
            <v>12062733</v>
          </cell>
          <cell r="AE5272">
            <v>6138284</v>
          </cell>
          <cell r="AF5272">
            <v>0</v>
          </cell>
          <cell r="AG5272">
            <v>931374</v>
          </cell>
          <cell r="AH5272">
            <v>8508852</v>
          </cell>
          <cell r="AI5272">
            <v>1128335</v>
          </cell>
        </row>
        <row r="5273">
          <cell r="A5273">
            <v>525010501</v>
          </cell>
          <cell r="C5273">
            <v>15693943</v>
          </cell>
          <cell r="D5273">
            <v>1358244</v>
          </cell>
          <cell r="E5273">
            <v>3877476</v>
          </cell>
          <cell r="F5273">
            <v>968173</v>
          </cell>
          <cell r="G5273">
            <v>1277495</v>
          </cell>
          <cell r="H5273">
            <v>0</v>
          </cell>
          <cell r="I5273">
            <v>0</v>
          </cell>
          <cell r="J5273">
            <v>3267715</v>
          </cell>
          <cell r="K5273">
            <v>11966</v>
          </cell>
          <cell r="L5273">
            <v>0</v>
          </cell>
          <cell r="M5273">
            <v>2520443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R5273">
            <v>0</v>
          </cell>
          <cell r="S5273">
            <v>50000</v>
          </cell>
          <cell r="T5273">
            <v>4645279</v>
          </cell>
          <cell r="U5273">
            <v>150000</v>
          </cell>
          <cell r="V5273">
            <v>0</v>
          </cell>
          <cell r="W5273">
            <v>37713</v>
          </cell>
          <cell r="X5273">
            <v>0</v>
          </cell>
          <cell r="Y5273">
            <v>0</v>
          </cell>
          <cell r="Z5273">
            <v>0</v>
          </cell>
          <cell r="AA5273">
            <v>610356</v>
          </cell>
          <cell r="AB5273">
            <v>78597</v>
          </cell>
          <cell r="AC5273">
            <v>51193</v>
          </cell>
          <cell r="AD5273">
            <v>11549462</v>
          </cell>
          <cell r="AE5273">
            <v>6127213</v>
          </cell>
          <cell r="AF5273">
            <v>0</v>
          </cell>
          <cell r="AG5273">
            <v>0</v>
          </cell>
          <cell r="AH5273">
            <v>6558120</v>
          </cell>
          <cell r="AI5273">
            <v>0</v>
          </cell>
        </row>
        <row r="5274">
          <cell r="A5274">
            <v>525010502</v>
          </cell>
          <cell r="C5274">
            <v>0</v>
          </cell>
          <cell r="D5274">
            <v>716100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118400</v>
          </cell>
          <cell r="P5274">
            <v>0</v>
          </cell>
          <cell r="Q5274">
            <v>0</v>
          </cell>
          <cell r="R5274">
            <v>1385300</v>
          </cell>
          <cell r="S5274">
            <v>0</v>
          </cell>
          <cell r="T5274">
            <v>1034390</v>
          </cell>
          <cell r="U5274">
            <v>0</v>
          </cell>
          <cell r="V5274">
            <v>774090</v>
          </cell>
          <cell r="W5274">
            <v>0</v>
          </cell>
          <cell r="X5274">
            <v>0</v>
          </cell>
          <cell r="Y5274">
            <v>0</v>
          </cell>
          <cell r="Z5274">
            <v>4296928</v>
          </cell>
          <cell r="AA5274">
            <v>0</v>
          </cell>
          <cell r="AB5274">
            <v>350332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619284</v>
          </cell>
          <cell r="AH5274">
            <v>0</v>
          </cell>
          <cell r="AI5274">
            <v>0</v>
          </cell>
        </row>
        <row r="5275">
          <cell r="A5275">
            <v>525010503</v>
          </cell>
          <cell r="C5275">
            <v>0</v>
          </cell>
          <cell r="D5275">
            <v>97487</v>
          </cell>
          <cell r="E5275">
            <v>0</v>
          </cell>
          <cell r="F5275">
            <v>0</v>
          </cell>
          <cell r="G5275">
            <v>60476</v>
          </cell>
          <cell r="H5275">
            <v>0</v>
          </cell>
          <cell r="I5275">
            <v>0</v>
          </cell>
          <cell r="J5275">
            <v>67546</v>
          </cell>
          <cell r="K5275">
            <v>0</v>
          </cell>
          <cell r="L5275">
            <v>92863</v>
          </cell>
          <cell r="M5275">
            <v>42197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R5275">
            <v>0</v>
          </cell>
          <cell r="S5275">
            <v>0</v>
          </cell>
          <cell r="T5275">
            <v>0</v>
          </cell>
          <cell r="U5275">
            <v>397617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93878</v>
          </cell>
          <cell r="AD5275">
            <v>513271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</row>
        <row r="5276">
          <cell r="A5276">
            <v>525010504</v>
          </cell>
          <cell r="C5276">
            <v>0</v>
          </cell>
          <cell r="D5276">
            <v>0</v>
          </cell>
          <cell r="E5276">
            <v>0</v>
          </cell>
          <cell r="F5276">
            <v>19703</v>
          </cell>
          <cell r="G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700000</v>
          </cell>
          <cell r="O5276">
            <v>0</v>
          </cell>
          <cell r="P5276">
            <v>0</v>
          </cell>
          <cell r="Q5276">
            <v>0</v>
          </cell>
          <cell r="R5276">
            <v>10837400</v>
          </cell>
          <cell r="S5276">
            <v>0</v>
          </cell>
          <cell r="T5276">
            <v>0</v>
          </cell>
          <cell r="U5276">
            <v>0</v>
          </cell>
          <cell r="V5276">
            <v>58891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</row>
        <row r="5277">
          <cell r="A5277">
            <v>525010505</v>
          </cell>
          <cell r="C5277">
            <v>4118441</v>
          </cell>
          <cell r="D5277">
            <v>0</v>
          </cell>
          <cell r="E5277">
            <v>0</v>
          </cell>
          <cell r="F5277">
            <v>94772</v>
          </cell>
          <cell r="G5277">
            <v>0</v>
          </cell>
          <cell r="H5277">
            <v>11739211</v>
          </cell>
          <cell r="I5277">
            <v>0</v>
          </cell>
          <cell r="J5277">
            <v>50000</v>
          </cell>
          <cell r="K5277">
            <v>337838</v>
          </cell>
          <cell r="L5277">
            <v>0</v>
          </cell>
          <cell r="M5277">
            <v>0</v>
          </cell>
          <cell r="N5277">
            <v>0</v>
          </cell>
          <cell r="O5277">
            <v>15881</v>
          </cell>
          <cell r="P5277">
            <v>0</v>
          </cell>
          <cell r="Q5277">
            <v>319020</v>
          </cell>
          <cell r="R5277">
            <v>805261</v>
          </cell>
          <cell r="S5277">
            <v>0</v>
          </cell>
          <cell r="T5277">
            <v>8513408</v>
          </cell>
          <cell r="U5277">
            <v>0</v>
          </cell>
          <cell r="V5277">
            <v>1670000</v>
          </cell>
          <cell r="W5277">
            <v>0</v>
          </cell>
          <cell r="X5277">
            <v>47724</v>
          </cell>
          <cell r="Y5277">
            <v>44263</v>
          </cell>
          <cell r="Z5277">
            <v>0</v>
          </cell>
          <cell r="AA5277">
            <v>0</v>
          </cell>
          <cell r="AB5277">
            <v>5571784</v>
          </cell>
          <cell r="AC5277">
            <v>0</v>
          </cell>
          <cell r="AD5277">
            <v>0</v>
          </cell>
          <cell r="AE5277">
            <v>11071</v>
          </cell>
          <cell r="AF5277">
            <v>0</v>
          </cell>
          <cell r="AG5277">
            <v>312090</v>
          </cell>
          <cell r="AH5277">
            <v>1950732</v>
          </cell>
          <cell r="AI5277">
            <v>1128335</v>
          </cell>
        </row>
        <row r="5278">
          <cell r="A5278">
            <v>525010600</v>
          </cell>
          <cell r="C5278">
            <v>358183865</v>
          </cell>
          <cell r="D5278">
            <v>174052162</v>
          </cell>
          <cell r="E5278">
            <v>19338339</v>
          </cell>
          <cell r="F5278">
            <v>36885403</v>
          </cell>
          <cell r="G5278">
            <v>114842405</v>
          </cell>
          <cell r="H5278">
            <v>644155476</v>
          </cell>
          <cell r="I5278">
            <v>100914272</v>
          </cell>
          <cell r="J5278">
            <v>59476248</v>
          </cell>
          <cell r="K5278">
            <v>44234354</v>
          </cell>
          <cell r="L5278">
            <v>11188213</v>
          </cell>
          <cell r="M5278">
            <v>61534454</v>
          </cell>
          <cell r="N5278">
            <v>8940502</v>
          </cell>
          <cell r="O5278">
            <v>130943544</v>
          </cell>
          <cell r="P5278">
            <v>146689853</v>
          </cell>
          <cell r="Q5278">
            <v>44791936</v>
          </cell>
          <cell r="R5278">
            <v>93112897</v>
          </cell>
          <cell r="S5278">
            <v>5961364</v>
          </cell>
          <cell r="T5278">
            <v>151950828</v>
          </cell>
          <cell r="U5278">
            <v>24512479</v>
          </cell>
          <cell r="V5278">
            <v>209396428</v>
          </cell>
          <cell r="W5278">
            <v>25741257</v>
          </cell>
          <cell r="X5278">
            <v>69753649</v>
          </cell>
          <cell r="Y5278">
            <v>87493384</v>
          </cell>
          <cell r="Z5278">
            <v>45461829</v>
          </cell>
          <cell r="AA5278">
            <v>42994688</v>
          </cell>
          <cell r="AB5278">
            <v>223227613</v>
          </cell>
          <cell r="AC5278">
            <v>13591272</v>
          </cell>
          <cell r="AD5278">
            <v>140044051</v>
          </cell>
          <cell r="AE5278">
            <v>1410318486</v>
          </cell>
          <cell r="AF5278">
            <v>138791887</v>
          </cell>
          <cell r="AG5278">
            <v>57247137</v>
          </cell>
          <cell r="AH5278">
            <v>220541333</v>
          </cell>
          <cell r="AI5278">
            <v>95159184</v>
          </cell>
        </row>
        <row r="5279">
          <cell r="A5279">
            <v>525010601</v>
          </cell>
          <cell r="C5279">
            <v>56412773</v>
          </cell>
          <cell r="D5279">
            <v>0</v>
          </cell>
          <cell r="E5279">
            <v>0</v>
          </cell>
          <cell r="F5279">
            <v>5634546</v>
          </cell>
          <cell r="G5279">
            <v>40013161</v>
          </cell>
          <cell r="H5279">
            <v>89403687</v>
          </cell>
          <cell r="I5279">
            <v>0</v>
          </cell>
          <cell r="J5279">
            <v>4515564</v>
          </cell>
          <cell r="K5279">
            <v>0</v>
          </cell>
          <cell r="L5279">
            <v>0</v>
          </cell>
          <cell r="M5279">
            <v>27950490</v>
          </cell>
          <cell r="N5279">
            <v>0</v>
          </cell>
          <cell r="O5279">
            <v>0</v>
          </cell>
          <cell r="P5279">
            <v>7159455</v>
          </cell>
          <cell r="Q5279">
            <v>0</v>
          </cell>
          <cell r="R5279">
            <v>30085889</v>
          </cell>
          <cell r="S5279">
            <v>0</v>
          </cell>
          <cell r="T5279">
            <v>6623932</v>
          </cell>
          <cell r="U5279">
            <v>19930885</v>
          </cell>
          <cell r="V5279">
            <v>578000</v>
          </cell>
          <cell r="W5279">
            <v>4187272</v>
          </cell>
          <cell r="X5279">
            <v>5625255</v>
          </cell>
          <cell r="Y5279">
            <v>1843162</v>
          </cell>
          <cell r="Z5279">
            <v>0</v>
          </cell>
          <cell r="AA5279">
            <v>7038254</v>
          </cell>
          <cell r="AB5279">
            <v>672727</v>
          </cell>
          <cell r="AC5279">
            <v>5027273</v>
          </cell>
          <cell r="AD5279">
            <v>51082920</v>
          </cell>
          <cell r="AE5279">
            <v>395349335</v>
          </cell>
          <cell r="AF5279">
            <v>6245455</v>
          </cell>
          <cell r="AG5279">
            <v>7493818</v>
          </cell>
          <cell r="AH5279">
            <v>3240909</v>
          </cell>
          <cell r="AI5279">
            <v>0</v>
          </cell>
        </row>
        <row r="5280">
          <cell r="A5280">
            <v>525010602</v>
          </cell>
          <cell r="C5280">
            <v>19598181</v>
          </cell>
          <cell r="D5280">
            <v>9898184</v>
          </cell>
          <cell r="E5280">
            <v>2678923</v>
          </cell>
          <cell r="F5280">
            <v>16368874</v>
          </cell>
          <cell r="G5280">
            <v>16483534</v>
          </cell>
          <cell r="H5280">
            <v>5009088</v>
          </cell>
          <cell r="I5280">
            <v>54523642</v>
          </cell>
          <cell r="J5280">
            <v>3106818</v>
          </cell>
          <cell r="K5280">
            <v>14553629</v>
          </cell>
          <cell r="L5280">
            <v>7915304</v>
          </cell>
          <cell r="M5280">
            <v>16142632</v>
          </cell>
          <cell r="N5280">
            <v>2708859</v>
          </cell>
          <cell r="O5280">
            <v>76671570</v>
          </cell>
          <cell r="P5280">
            <v>12644889</v>
          </cell>
          <cell r="Q5280">
            <v>5418138</v>
          </cell>
          <cell r="R5280">
            <v>1402007</v>
          </cell>
          <cell r="S5280">
            <v>45455</v>
          </cell>
          <cell r="T5280">
            <v>30261519</v>
          </cell>
          <cell r="U5280">
            <v>3136138</v>
          </cell>
          <cell r="V5280">
            <v>26907624</v>
          </cell>
          <cell r="W5280">
            <v>7955788</v>
          </cell>
          <cell r="X5280">
            <v>15755276</v>
          </cell>
          <cell r="Y5280">
            <v>75320917</v>
          </cell>
          <cell r="Z5280">
            <v>6914502</v>
          </cell>
          <cell r="AA5280">
            <v>636364</v>
          </cell>
          <cell r="AB5280">
            <v>2945909</v>
          </cell>
          <cell r="AC5280">
            <v>5004090</v>
          </cell>
          <cell r="AD5280">
            <v>49296626</v>
          </cell>
          <cell r="AE5280">
            <v>38111934</v>
          </cell>
          <cell r="AF5280">
            <v>787818</v>
          </cell>
          <cell r="AG5280">
            <v>4854547</v>
          </cell>
          <cell r="AH5280">
            <v>31236084</v>
          </cell>
          <cell r="AI5280">
            <v>38532697</v>
          </cell>
        </row>
        <row r="5281">
          <cell r="A5281">
            <v>525010603</v>
          </cell>
          <cell r="C5281">
            <v>16711137</v>
          </cell>
          <cell r="D5281">
            <v>12193741</v>
          </cell>
          <cell r="E5281">
            <v>7906023</v>
          </cell>
          <cell r="F5281">
            <v>4913186</v>
          </cell>
          <cell r="G5281">
            <v>10009841</v>
          </cell>
          <cell r="H5281">
            <v>127370048</v>
          </cell>
          <cell r="I5281">
            <v>16660447</v>
          </cell>
          <cell r="J5281">
            <v>13903983</v>
          </cell>
          <cell r="K5281">
            <v>5284455</v>
          </cell>
          <cell r="L5281">
            <v>347909</v>
          </cell>
          <cell r="M5281">
            <v>2059090</v>
          </cell>
          <cell r="N5281">
            <v>6231643</v>
          </cell>
          <cell r="O5281">
            <v>25545802</v>
          </cell>
          <cell r="P5281">
            <v>21097444</v>
          </cell>
          <cell r="Q5281">
            <v>9308632</v>
          </cell>
          <cell r="R5281">
            <v>61625001</v>
          </cell>
          <cell r="S5281">
            <v>4945909</v>
          </cell>
          <cell r="T5281">
            <v>19260339</v>
          </cell>
          <cell r="U5281">
            <v>1172728</v>
          </cell>
          <cell r="V5281">
            <v>14010981</v>
          </cell>
          <cell r="W5281">
            <v>7312341</v>
          </cell>
          <cell r="X5281">
            <v>14134025</v>
          </cell>
          <cell r="Y5281">
            <v>7980214</v>
          </cell>
          <cell r="Z5281">
            <v>18333614</v>
          </cell>
          <cell r="AA5281">
            <v>12136627</v>
          </cell>
          <cell r="AB5281">
            <v>6047273</v>
          </cell>
          <cell r="AC5281">
            <v>1271364</v>
          </cell>
          <cell r="AD5281">
            <v>3910185</v>
          </cell>
          <cell r="AE5281">
            <v>185716231</v>
          </cell>
          <cell r="AF5281">
            <v>36071615</v>
          </cell>
          <cell r="AG5281">
            <v>8307270</v>
          </cell>
          <cell r="AH5281">
            <v>69166682</v>
          </cell>
          <cell r="AI5281">
            <v>25603673</v>
          </cell>
        </row>
        <row r="5282">
          <cell r="A5282">
            <v>525010604</v>
          </cell>
          <cell r="C5282">
            <v>15398047</v>
          </cell>
          <cell r="D5282">
            <v>46792679</v>
          </cell>
          <cell r="E5282">
            <v>109091</v>
          </cell>
          <cell r="F5282">
            <v>2105059</v>
          </cell>
          <cell r="G5282">
            <v>0</v>
          </cell>
          <cell r="H5282">
            <v>319220976</v>
          </cell>
          <cell r="I5282">
            <v>17327526</v>
          </cell>
          <cell r="J5282">
            <v>1727273</v>
          </cell>
          <cell r="K5282">
            <v>12693530</v>
          </cell>
          <cell r="L5282">
            <v>2925000</v>
          </cell>
          <cell r="M5282">
            <v>796404</v>
          </cell>
          <cell r="N5282">
            <v>0</v>
          </cell>
          <cell r="O5282">
            <v>20936614</v>
          </cell>
          <cell r="P5282">
            <v>79068810</v>
          </cell>
          <cell r="Q5282">
            <v>7109091</v>
          </cell>
          <cell r="R5282">
            <v>0</v>
          </cell>
          <cell r="S5282">
            <v>970000</v>
          </cell>
          <cell r="T5282">
            <v>10423499</v>
          </cell>
          <cell r="U5282">
            <v>272728</v>
          </cell>
          <cell r="V5282">
            <v>89952921</v>
          </cell>
          <cell r="W5282">
            <v>2392544</v>
          </cell>
          <cell r="X5282">
            <v>1005464</v>
          </cell>
          <cell r="Y5282">
            <v>1803636</v>
          </cell>
          <cell r="Z5282">
            <v>10210419</v>
          </cell>
          <cell r="AA5282">
            <v>22447079</v>
          </cell>
          <cell r="AB5282">
            <v>35467813</v>
          </cell>
          <cell r="AC5282">
            <v>1638545</v>
          </cell>
          <cell r="AD5282">
            <v>7698182</v>
          </cell>
          <cell r="AE5282">
            <v>686815897</v>
          </cell>
          <cell r="AF5282">
            <v>12297568</v>
          </cell>
          <cell r="AG5282">
            <v>550001</v>
          </cell>
          <cell r="AH5282">
            <v>38948295</v>
          </cell>
          <cell r="AI5282">
            <v>0</v>
          </cell>
        </row>
        <row r="5283">
          <cell r="A5283">
            <v>525010605</v>
          </cell>
          <cell r="C5283">
            <v>250063727</v>
          </cell>
          <cell r="D5283">
            <v>93402502</v>
          </cell>
          <cell r="E5283">
            <v>8644302</v>
          </cell>
          <cell r="F5283">
            <v>7863738</v>
          </cell>
          <cell r="G5283">
            <v>48335869</v>
          </cell>
          <cell r="H5283">
            <v>101333495</v>
          </cell>
          <cell r="I5283">
            <v>12402657</v>
          </cell>
          <cell r="J5283">
            <v>36059428</v>
          </cell>
          <cell r="K5283">
            <v>11702740</v>
          </cell>
          <cell r="L5283">
            <v>0</v>
          </cell>
          <cell r="M5283">
            <v>14585838</v>
          </cell>
          <cell r="N5283">
            <v>0</v>
          </cell>
          <cell r="O5283">
            <v>7789558</v>
          </cell>
          <cell r="P5283">
            <v>26719255</v>
          </cell>
          <cell r="Q5283">
            <v>1654410</v>
          </cell>
          <cell r="R5283">
            <v>0</v>
          </cell>
          <cell r="S5283">
            <v>0</v>
          </cell>
          <cell r="T5283">
            <v>79141341</v>
          </cell>
          <cell r="U5283">
            <v>0</v>
          </cell>
          <cell r="V5283">
            <v>63035312</v>
          </cell>
          <cell r="W5283">
            <v>3893312</v>
          </cell>
          <cell r="X5283">
            <v>9315163</v>
          </cell>
          <cell r="Y5283">
            <v>0</v>
          </cell>
          <cell r="Z5283">
            <v>7110658</v>
          </cell>
          <cell r="AA5283">
            <v>736364</v>
          </cell>
          <cell r="AB5283">
            <v>57082170</v>
          </cell>
          <cell r="AC5283">
            <v>650000</v>
          </cell>
          <cell r="AD5283">
            <v>19065909</v>
          </cell>
          <cell r="AE5283">
            <v>74516565</v>
          </cell>
          <cell r="AF5283">
            <v>49631467</v>
          </cell>
          <cell r="AG5283">
            <v>17289306</v>
          </cell>
          <cell r="AH5283">
            <v>43289044</v>
          </cell>
          <cell r="AI5283">
            <v>29531905</v>
          </cell>
        </row>
        <row r="5284">
          <cell r="A5284">
            <v>525010606</v>
          </cell>
          <cell r="C5284">
            <v>0</v>
          </cell>
          <cell r="D5284">
            <v>11765056</v>
          </cell>
          <cell r="E5284">
            <v>0</v>
          </cell>
          <cell r="F5284">
            <v>0</v>
          </cell>
          <cell r="G5284">
            <v>0</v>
          </cell>
          <cell r="H5284">
            <v>1818182</v>
          </cell>
          <cell r="I5284">
            <v>0</v>
          </cell>
          <cell r="J5284">
            <v>163182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21301665</v>
          </cell>
          <cell r="R5284">
            <v>0</v>
          </cell>
          <cell r="S5284">
            <v>0</v>
          </cell>
          <cell r="T5284">
            <v>6240198</v>
          </cell>
          <cell r="U5284">
            <v>0</v>
          </cell>
          <cell r="V5284">
            <v>14911590</v>
          </cell>
          <cell r="W5284">
            <v>0</v>
          </cell>
          <cell r="X5284">
            <v>23918466</v>
          </cell>
          <cell r="Y5284">
            <v>545455</v>
          </cell>
          <cell r="Z5284">
            <v>2892636</v>
          </cell>
          <cell r="AA5284">
            <v>0</v>
          </cell>
          <cell r="AB5284">
            <v>121011721</v>
          </cell>
          <cell r="AC5284">
            <v>0</v>
          </cell>
          <cell r="AD5284">
            <v>8990229</v>
          </cell>
          <cell r="AE5284">
            <v>29808524</v>
          </cell>
          <cell r="AF5284">
            <v>33757964</v>
          </cell>
          <cell r="AG5284">
            <v>18752195</v>
          </cell>
          <cell r="AH5284">
            <v>34660319</v>
          </cell>
          <cell r="AI5284">
            <v>1490909</v>
          </cell>
        </row>
        <row r="5285">
          <cell r="A5285">
            <v>525010700</v>
          </cell>
          <cell r="C5285">
            <v>386965704</v>
          </cell>
          <cell r="D5285">
            <v>140009529</v>
          </cell>
          <cell r="E5285">
            <v>73242930</v>
          </cell>
          <cell r="F5285">
            <v>154024908</v>
          </cell>
          <cell r="G5285">
            <v>259349247</v>
          </cell>
          <cell r="H5285">
            <v>1181226184</v>
          </cell>
          <cell r="I5285">
            <v>389019500</v>
          </cell>
          <cell r="J5285">
            <v>66437968</v>
          </cell>
          <cell r="K5285">
            <v>57529470</v>
          </cell>
          <cell r="L5285">
            <v>43125039</v>
          </cell>
          <cell r="M5285">
            <v>46993130</v>
          </cell>
          <cell r="N5285">
            <v>118354592</v>
          </cell>
          <cell r="O5285">
            <v>153209897</v>
          </cell>
          <cell r="P5285">
            <v>128509745</v>
          </cell>
          <cell r="Q5285">
            <v>31959421</v>
          </cell>
          <cell r="R5285">
            <v>140137282</v>
          </cell>
          <cell r="S5285">
            <v>58714611</v>
          </cell>
          <cell r="T5285">
            <v>628669974</v>
          </cell>
          <cell r="U5285">
            <v>127003920</v>
          </cell>
          <cell r="V5285">
            <v>475499495</v>
          </cell>
          <cell r="W5285">
            <v>137860821</v>
          </cell>
          <cell r="X5285">
            <v>92367419</v>
          </cell>
          <cell r="Y5285">
            <v>61491737</v>
          </cell>
          <cell r="Z5285">
            <v>86775531</v>
          </cell>
          <cell r="AA5285">
            <v>28734541</v>
          </cell>
          <cell r="AB5285">
            <v>160261956</v>
          </cell>
          <cell r="AC5285">
            <v>46967071</v>
          </cell>
          <cell r="AD5285">
            <v>348192383</v>
          </cell>
          <cell r="AE5285">
            <v>1664567969</v>
          </cell>
          <cell r="AF5285">
            <v>248469165</v>
          </cell>
          <cell r="AG5285">
            <v>133564079</v>
          </cell>
          <cell r="AH5285">
            <v>267367484</v>
          </cell>
          <cell r="AI5285">
            <v>203417343</v>
          </cell>
        </row>
        <row r="5286">
          <cell r="A5286">
            <v>525010701</v>
          </cell>
          <cell r="C5286">
            <v>0</v>
          </cell>
          <cell r="D5286">
            <v>0</v>
          </cell>
          <cell r="E5286">
            <v>0</v>
          </cell>
          <cell r="F5286">
            <v>128392928</v>
          </cell>
          <cell r="G5286">
            <v>70633371</v>
          </cell>
          <cell r="H5286">
            <v>358345097</v>
          </cell>
          <cell r="I5286">
            <v>46143752</v>
          </cell>
          <cell r="J5286">
            <v>16393923</v>
          </cell>
          <cell r="K5286">
            <v>0</v>
          </cell>
          <cell r="L5286">
            <v>11778002</v>
          </cell>
          <cell r="M5286">
            <v>23944135</v>
          </cell>
          <cell r="N5286">
            <v>18173744</v>
          </cell>
          <cell r="O5286">
            <v>68158092</v>
          </cell>
          <cell r="P5286">
            <v>75591105</v>
          </cell>
          <cell r="Q5286">
            <v>0</v>
          </cell>
          <cell r="R5286">
            <v>45463258</v>
          </cell>
          <cell r="S5286">
            <v>50970378</v>
          </cell>
          <cell r="T5286">
            <v>249368789</v>
          </cell>
          <cell r="U5286">
            <v>91810762</v>
          </cell>
          <cell r="V5286">
            <v>94347056</v>
          </cell>
          <cell r="W5286">
            <v>58776537</v>
          </cell>
          <cell r="X5286">
            <v>0</v>
          </cell>
          <cell r="Y5286">
            <v>25459968</v>
          </cell>
          <cell r="Z5286">
            <v>0</v>
          </cell>
          <cell r="AA5286">
            <v>10599768</v>
          </cell>
          <cell r="AB5286">
            <v>0</v>
          </cell>
          <cell r="AC5286">
            <v>22117008</v>
          </cell>
          <cell r="AD5286">
            <v>69630445</v>
          </cell>
          <cell r="AE5286">
            <v>231827217</v>
          </cell>
          <cell r="AF5286">
            <v>0</v>
          </cell>
          <cell r="AG5286">
            <v>14653629</v>
          </cell>
          <cell r="AH5286">
            <v>0</v>
          </cell>
          <cell r="AI5286">
            <v>0</v>
          </cell>
        </row>
        <row r="5287">
          <cell r="A5287">
            <v>525010702</v>
          </cell>
          <cell r="C5287">
            <v>31891198</v>
          </cell>
          <cell r="D5287">
            <v>23480245</v>
          </cell>
          <cell r="E5287">
            <v>42649271</v>
          </cell>
          <cell r="F5287">
            <v>6625145</v>
          </cell>
          <cell r="G5287">
            <v>32523684</v>
          </cell>
          <cell r="H5287">
            <v>332858156</v>
          </cell>
          <cell r="I5287">
            <v>36960884</v>
          </cell>
          <cell r="J5287">
            <v>1889232</v>
          </cell>
          <cell r="K5287">
            <v>5407765</v>
          </cell>
          <cell r="L5287">
            <v>14466013</v>
          </cell>
          <cell r="M5287">
            <v>3399481</v>
          </cell>
          <cell r="N5287">
            <v>18656366</v>
          </cell>
          <cell r="O5287">
            <v>30727041</v>
          </cell>
          <cell r="P5287">
            <v>11418522</v>
          </cell>
          <cell r="Q5287">
            <v>9064775</v>
          </cell>
          <cell r="R5287">
            <v>20639923</v>
          </cell>
          <cell r="S5287">
            <v>4396856</v>
          </cell>
          <cell r="T5287">
            <v>74788222</v>
          </cell>
          <cell r="U5287">
            <v>26259699</v>
          </cell>
          <cell r="V5287">
            <v>153028154</v>
          </cell>
          <cell r="W5287">
            <v>32946845</v>
          </cell>
          <cell r="X5287">
            <v>32129619</v>
          </cell>
          <cell r="Y5287">
            <v>15116250</v>
          </cell>
          <cell r="Z5287">
            <v>30491182</v>
          </cell>
          <cell r="AA5287">
            <v>1356036</v>
          </cell>
          <cell r="AB5287">
            <v>54022484</v>
          </cell>
          <cell r="AC5287">
            <v>5108620</v>
          </cell>
          <cell r="AD5287">
            <v>96889986</v>
          </cell>
          <cell r="AE5287">
            <v>469372274</v>
          </cell>
          <cell r="AF5287">
            <v>71667960</v>
          </cell>
          <cell r="AG5287">
            <v>33667383</v>
          </cell>
          <cell r="AH5287">
            <v>45980338</v>
          </cell>
          <cell r="AI5287">
            <v>66198067</v>
          </cell>
        </row>
        <row r="5288">
          <cell r="A5288">
            <v>525010703</v>
          </cell>
          <cell r="C5288">
            <v>5317217</v>
          </cell>
          <cell r="D5288">
            <v>14945047</v>
          </cell>
          <cell r="E5288">
            <v>4662707</v>
          </cell>
          <cell r="F5288">
            <v>1974448</v>
          </cell>
          <cell r="G5288">
            <v>26988447</v>
          </cell>
          <cell r="H5288">
            <v>92292606</v>
          </cell>
          <cell r="I5288">
            <v>0</v>
          </cell>
          <cell r="J5288">
            <v>28337236</v>
          </cell>
          <cell r="K5288">
            <v>9168351</v>
          </cell>
          <cell r="L5288">
            <v>2112504</v>
          </cell>
          <cell r="M5288">
            <v>2940410</v>
          </cell>
          <cell r="N5288">
            <v>71814499</v>
          </cell>
          <cell r="O5288">
            <v>2692365</v>
          </cell>
          <cell r="P5288">
            <v>9564443</v>
          </cell>
          <cell r="Q5288">
            <v>22894646</v>
          </cell>
          <cell r="R5288">
            <v>40804484</v>
          </cell>
          <cell r="S5288">
            <v>328879</v>
          </cell>
          <cell r="T5288">
            <v>48323954</v>
          </cell>
          <cell r="U5288">
            <v>1960572</v>
          </cell>
          <cell r="V5288">
            <v>29819740</v>
          </cell>
          <cell r="W5288">
            <v>2902032</v>
          </cell>
          <cell r="X5288">
            <v>366944</v>
          </cell>
          <cell r="Y5288">
            <v>4415963</v>
          </cell>
          <cell r="Z5288">
            <v>8949849</v>
          </cell>
          <cell r="AA5288">
            <v>7770298</v>
          </cell>
          <cell r="AB5288">
            <v>17225744</v>
          </cell>
          <cell r="AC5288">
            <v>741564</v>
          </cell>
          <cell r="AD5288">
            <v>22162197</v>
          </cell>
          <cell r="AE5288">
            <v>195367493</v>
          </cell>
          <cell r="AF5288">
            <v>19561405</v>
          </cell>
          <cell r="AG5288">
            <v>16083291</v>
          </cell>
          <cell r="AH5288">
            <v>40576195</v>
          </cell>
          <cell r="AI5288">
            <v>4061369</v>
          </cell>
        </row>
        <row r="5289">
          <cell r="A5289">
            <v>525010704</v>
          </cell>
          <cell r="C5289">
            <v>231236248</v>
          </cell>
          <cell r="D5289">
            <v>40137978</v>
          </cell>
          <cell r="E5289">
            <v>13579748</v>
          </cell>
          <cell r="F5289">
            <v>17032387</v>
          </cell>
          <cell r="G5289">
            <v>42059886</v>
          </cell>
          <cell r="H5289">
            <v>146187652</v>
          </cell>
          <cell r="I5289">
            <v>226310890</v>
          </cell>
          <cell r="J5289">
            <v>0</v>
          </cell>
          <cell r="K5289">
            <v>24316083</v>
          </cell>
          <cell r="L5289">
            <v>14153871</v>
          </cell>
          <cell r="M5289">
            <v>9479083</v>
          </cell>
          <cell r="N5289">
            <v>0</v>
          </cell>
          <cell r="O5289">
            <v>36559722</v>
          </cell>
          <cell r="P5289">
            <v>16101135</v>
          </cell>
          <cell r="Q5289">
            <v>0</v>
          </cell>
          <cell r="R5289">
            <v>30497524</v>
          </cell>
          <cell r="S5289">
            <v>3018498</v>
          </cell>
          <cell r="T5289">
            <v>76719555</v>
          </cell>
          <cell r="U5289">
            <v>0</v>
          </cell>
          <cell r="V5289">
            <v>80441592</v>
          </cell>
          <cell r="W5289">
            <v>35160800</v>
          </cell>
          <cell r="X5289">
            <v>38918116</v>
          </cell>
          <cell r="Y5289">
            <v>16499556</v>
          </cell>
          <cell r="Z5289">
            <v>47334500</v>
          </cell>
          <cell r="AA5289">
            <v>9008439</v>
          </cell>
          <cell r="AB5289">
            <v>54585239</v>
          </cell>
          <cell r="AC5289">
            <v>18999879</v>
          </cell>
          <cell r="AD5289">
            <v>134849859</v>
          </cell>
          <cell r="AE5289">
            <v>565227511</v>
          </cell>
          <cell r="AF5289">
            <v>73947274</v>
          </cell>
          <cell r="AG5289">
            <v>52485006</v>
          </cell>
          <cell r="AH5289">
            <v>89505802</v>
          </cell>
          <cell r="AI5289">
            <v>66517808</v>
          </cell>
        </row>
        <row r="5290">
          <cell r="A5290">
            <v>525010705</v>
          </cell>
          <cell r="C5290">
            <v>118521041</v>
          </cell>
          <cell r="D5290">
            <v>61446259</v>
          </cell>
          <cell r="E5290">
            <v>12351204</v>
          </cell>
          <cell r="F5290">
            <v>0</v>
          </cell>
          <cell r="G5290">
            <v>87143859</v>
          </cell>
          <cell r="H5290">
            <v>251542673</v>
          </cell>
          <cell r="I5290">
            <v>79603974</v>
          </cell>
          <cell r="J5290">
            <v>10217577</v>
          </cell>
          <cell r="K5290">
            <v>18637271</v>
          </cell>
          <cell r="L5290">
            <v>614649</v>
          </cell>
          <cell r="M5290">
            <v>7230021</v>
          </cell>
          <cell r="N5290">
            <v>9709983</v>
          </cell>
          <cell r="O5290">
            <v>15072677</v>
          </cell>
          <cell r="P5290">
            <v>15834540</v>
          </cell>
          <cell r="Q5290">
            <v>0</v>
          </cell>
          <cell r="R5290">
            <v>0</v>
          </cell>
          <cell r="S5290">
            <v>0</v>
          </cell>
          <cell r="T5290">
            <v>179469454</v>
          </cell>
          <cell r="U5290">
            <v>6972887</v>
          </cell>
          <cell r="V5290">
            <v>117862953</v>
          </cell>
          <cell r="W5290">
            <v>3469007</v>
          </cell>
          <cell r="X5290">
            <v>20952740</v>
          </cell>
          <cell r="Y5290">
            <v>0</v>
          </cell>
          <cell r="Z5290">
            <v>0</v>
          </cell>
          <cell r="AA5290">
            <v>0</v>
          </cell>
          <cell r="AB5290">
            <v>34428489</v>
          </cell>
          <cell r="AC5290">
            <v>0</v>
          </cell>
          <cell r="AD5290">
            <v>24659896</v>
          </cell>
          <cell r="AE5290">
            <v>202773474</v>
          </cell>
          <cell r="AF5290">
            <v>83292526</v>
          </cell>
          <cell r="AG5290">
            <v>12076673</v>
          </cell>
          <cell r="AH5290">
            <v>91305149</v>
          </cell>
          <cell r="AI5290">
            <v>66640099</v>
          </cell>
        </row>
        <row r="5291">
          <cell r="A5291">
            <v>525010710</v>
          </cell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R5291">
            <v>0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4598097</v>
          </cell>
          <cell r="AH5291">
            <v>0</v>
          </cell>
          <cell r="AI5291">
            <v>0</v>
          </cell>
        </row>
        <row r="5292">
          <cell r="A5292">
            <v>525010711</v>
          </cell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  <cell r="I5292">
            <v>0</v>
          </cell>
          <cell r="J5292">
            <v>9600000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R5292">
            <v>2732093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4605600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  <cell r="AE5292">
            <v>0</v>
          </cell>
          <cell r="AF5292">
            <v>0</v>
          </cell>
          <cell r="AG5292">
            <v>0</v>
          </cell>
          <cell r="AH5292">
            <v>0</v>
          </cell>
          <cell r="AI5292">
            <v>0</v>
          </cell>
        </row>
        <row r="5293">
          <cell r="A5293">
            <v>525010712</v>
          </cell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R5293">
            <v>0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0</v>
          </cell>
          <cell r="AE5293">
            <v>0</v>
          </cell>
          <cell r="AF5293">
            <v>0</v>
          </cell>
          <cell r="AG5293">
            <v>0</v>
          </cell>
          <cell r="AH5293">
            <v>0</v>
          </cell>
          <cell r="AI5293">
            <v>0</v>
          </cell>
        </row>
        <row r="5294">
          <cell r="A5294">
            <v>525010713</v>
          </cell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R5294">
            <v>0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</row>
        <row r="5295">
          <cell r="A5295">
            <v>525010800</v>
          </cell>
          <cell r="C5295">
            <v>0</v>
          </cell>
          <cell r="D5295">
            <v>33349308</v>
          </cell>
          <cell r="E5295">
            <v>13464184</v>
          </cell>
          <cell r="F5295">
            <v>2306421</v>
          </cell>
          <cell r="G5295">
            <v>12715401</v>
          </cell>
          <cell r="H5295">
            <v>0</v>
          </cell>
          <cell r="I5295">
            <v>45846316</v>
          </cell>
          <cell r="J5295">
            <v>0</v>
          </cell>
          <cell r="K5295">
            <v>7015047</v>
          </cell>
          <cell r="L5295">
            <v>0</v>
          </cell>
          <cell r="M5295">
            <v>29916696</v>
          </cell>
          <cell r="N5295">
            <v>22029074</v>
          </cell>
          <cell r="O5295">
            <v>14123833</v>
          </cell>
          <cell r="P5295">
            <v>3601510</v>
          </cell>
          <cell r="Q5295">
            <v>0</v>
          </cell>
          <cell r="R5295">
            <v>39395457</v>
          </cell>
          <cell r="S5295">
            <v>2688750</v>
          </cell>
          <cell r="T5295">
            <v>142142894</v>
          </cell>
          <cell r="U5295">
            <v>0</v>
          </cell>
          <cell r="V5295">
            <v>61000102</v>
          </cell>
          <cell r="W5295">
            <v>24462266</v>
          </cell>
          <cell r="X5295">
            <v>101756027</v>
          </cell>
          <cell r="Y5295">
            <v>3860961</v>
          </cell>
          <cell r="Z5295">
            <v>96896062</v>
          </cell>
          <cell r="AA5295">
            <v>5628348</v>
          </cell>
          <cell r="AB5295">
            <v>39085362</v>
          </cell>
          <cell r="AC5295">
            <v>18181824</v>
          </cell>
          <cell r="AD5295">
            <v>72028745</v>
          </cell>
          <cell r="AE5295">
            <v>814121622</v>
          </cell>
          <cell r="AF5295">
            <v>58056811</v>
          </cell>
          <cell r="AG5295">
            <v>55396261</v>
          </cell>
          <cell r="AH5295">
            <v>2434057508</v>
          </cell>
          <cell r="AI5295">
            <v>151651128</v>
          </cell>
        </row>
        <row r="5296">
          <cell r="A5296">
            <v>525010801</v>
          </cell>
          <cell r="C5296">
            <v>0</v>
          </cell>
          <cell r="D5296">
            <v>0</v>
          </cell>
          <cell r="E5296">
            <v>0</v>
          </cell>
          <cell r="F5296">
            <v>2306421</v>
          </cell>
          <cell r="G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15283076</v>
          </cell>
          <cell r="O5296">
            <v>0</v>
          </cell>
          <cell r="P5296">
            <v>0</v>
          </cell>
          <cell r="Q5296">
            <v>0</v>
          </cell>
          <cell r="R5296">
            <v>16059385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12084528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  <cell r="AE5296">
            <v>94497420</v>
          </cell>
          <cell r="AF5296">
            <v>0</v>
          </cell>
          <cell r="AG5296">
            <v>0</v>
          </cell>
          <cell r="AH5296">
            <v>2265162333</v>
          </cell>
          <cell r="AI5296">
            <v>61316041</v>
          </cell>
        </row>
        <row r="5297">
          <cell r="A5297">
            <v>525010802</v>
          </cell>
          <cell r="C5297">
            <v>0</v>
          </cell>
          <cell r="D5297">
            <v>12833856</v>
          </cell>
          <cell r="E5297">
            <v>1422753</v>
          </cell>
          <cell r="F5297">
            <v>0</v>
          </cell>
          <cell r="G5297">
            <v>12715401</v>
          </cell>
          <cell r="H5297">
            <v>0</v>
          </cell>
          <cell r="I5297">
            <v>12517315</v>
          </cell>
          <cell r="J5297">
            <v>0</v>
          </cell>
          <cell r="K5297">
            <v>2334981</v>
          </cell>
          <cell r="L5297">
            <v>0</v>
          </cell>
          <cell r="M5297">
            <v>29916696</v>
          </cell>
          <cell r="N5297">
            <v>6745998</v>
          </cell>
          <cell r="O5297">
            <v>12776315</v>
          </cell>
          <cell r="P5297">
            <v>1525000</v>
          </cell>
          <cell r="Q5297">
            <v>0</v>
          </cell>
          <cell r="R5297">
            <v>23336072</v>
          </cell>
          <cell r="S5297">
            <v>2688750</v>
          </cell>
          <cell r="T5297">
            <v>131157248</v>
          </cell>
          <cell r="U5297">
            <v>0</v>
          </cell>
          <cell r="V5297">
            <v>16349095</v>
          </cell>
          <cell r="W5297">
            <v>24462266</v>
          </cell>
          <cell r="X5297">
            <v>8324724</v>
          </cell>
          <cell r="Y5297">
            <v>3860961</v>
          </cell>
          <cell r="Z5297">
            <v>14420655</v>
          </cell>
          <cell r="AA5297">
            <v>5628348</v>
          </cell>
          <cell r="AB5297">
            <v>39085362</v>
          </cell>
          <cell r="AC5297">
            <v>18181824</v>
          </cell>
          <cell r="AD5297">
            <v>47514161</v>
          </cell>
          <cell r="AE5297">
            <v>481284155</v>
          </cell>
          <cell r="AF5297">
            <v>41295446</v>
          </cell>
          <cell r="AG5297">
            <v>22987854</v>
          </cell>
          <cell r="AH5297">
            <v>135705700</v>
          </cell>
          <cell r="AI5297">
            <v>0</v>
          </cell>
        </row>
        <row r="5298">
          <cell r="A5298">
            <v>525010803</v>
          </cell>
          <cell r="C5298">
            <v>0</v>
          </cell>
          <cell r="D5298">
            <v>20515452</v>
          </cell>
          <cell r="E5298">
            <v>12041431</v>
          </cell>
          <cell r="F5298">
            <v>0</v>
          </cell>
          <cell r="G5298">
            <v>0</v>
          </cell>
          <cell r="H5298">
            <v>0</v>
          </cell>
          <cell r="I5298">
            <v>33329001</v>
          </cell>
          <cell r="J5298">
            <v>0</v>
          </cell>
          <cell r="K5298">
            <v>4680066</v>
          </cell>
          <cell r="L5298">
            <v>0</v>
          </cell>
          <cell r="M5298">
            <v>0</v>
          </cell>
          <cell r="N5298">
            <v>0</v>
          </cell>
          <cell r="O5298">
            <v>1347518</v>
          </cell>
          <cell r="P5298">
            <v>2076510</v>
          </cell>
          <cell r="Q5298">
            <v>0</v>
          </cell>
          <cell r="R5298">
            <v>0</v>
          </cell>
          <cell r="S5298">
            <v>0</v>
          </cell>
          <cell r="T5298">
            <v>10985646</v>
          </cell>
          <cell r="U5298">
            <v>0</v>
          </cell>
          <cell r="V5298">
            <v>44651007</v>
          </cell>
          <cell r="W5298">
            <v>0</v>
          </cell>
          <cell r="X5298">
            <v>81346775</v>
          </cell>
          <cell r="Y5298">
            <v>0</v>
          </cell>
          <cell r="Z5298">
            <v>82475407</v>
          </cell>
          <cell r="AA5298">
            <v>0</v>
          </cell>
          <cell r="AB5298">
            <v>0</v>
          </cell>
          <cell r="AC5298">
            <v>0</v>
          </cell>
          <cell r="AD5298">
            <v>24514584</v>
          </cell>
          <cell r="AE5298">
            <v>238340047</v>
          </cell>
          <cell r="AF5298">
            <v>16761365</v>
          </cell>
          <cell r="AG5298">
            <v>0</v>
          </cell>
          <cell r="AH5298">
            <v>33189475</v>
          </cell>
          <cell r="AI5298">
            <v>90335087</v>
          </cell>
        </row>
        <row r="5299">
          <cell r="A5299">
            <v>525010804</v>
          </cell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  <cell r="AG5299">
            <v>32408407</v>
          </cell>
          <cell r="AH5299">
            <v>0</v>
          </cell>
          <cell r="AI5299">
            <v>0</v>
          </cell>
        </row>
        <row r="5300">
          <cell r="A5300">
            <v>525010805</v>
          </cell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R5300">
            <v>0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  <cell r="AG5300">
            <v>0</v>
          </cell>
          <cell r="AH5300">
            <v>0</v>
          </cell>
          <cell r="AI5300">
            <v>0</v>
          </cell>
        </row>
        <row r="5301">
          <cell r="A5301">
            <v>525010806</v>
          </cell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G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</row>
        <row r="5302">
          <cell r="A5302">
            <v>525010900</v>
          </cell>
          <cell r="C5302">
            <v>52265361</v>
          </cell>
          <cell r="D5302">
            <v>186984473</v>
          </cell>
          <cell r="E5302">
            <v>127160000</v>
          </cell>
          <cell r="F5302">
            <v>0</v>
          </cell>
          <cell r="G5302">
            <v>44166194</v>
          </cell>
          <cell r="H5302">
            <v>307947261</v>
          </cell>
          <cell r="I5302">
            <v>185030000</v>
          </cell>
          <cell r="J5302">
            <v>24030477</v>
          </cell>
          <cell r="K5302">
            <v>102314250</v>
          </cell>
          <cell r="L5302">
            <v>30800000</v>
          </cell>
          <cell r="M5302">
            <v>0</v>
          </cell>
          <cell r="N5302">
            <v>169236910</v>
          </cell>
          <cell r="O5302">
            <v>110938481</v>
          </cell>
          <cell r="P5302">
            <v>60250000</v>
          </cell>
          <cell r="Q5302">
            <v>72000000</v>
          </cell>
          <cell r="R5302">
            <v>53140000</v>
          </cell>
          <cell r="S5302">
            <v>0</v>
          </cell>
          <cell r="T5302">
            <v>171943779</v>
          </cell>
          <cell r="U5302">
            <v>22350000</v>
          </cell>
          <cell r="V5302">
            <v>228347120</v>
          </cell>
          <cell r="W5302">
            <v>0</v>
          </cell>
          <cell r="X5302">
            <v>234043087</v>
          </cell>
          <cell r="Y5302">
            <v>6780000</v>
          </cell>
          <cell r="Z5302">
            <v>58864284</v>
          </cell>
          <cell r="AA5302">
            <v>0</v>
          </cell>
          <cell r="AB5302">
            <v>329295568</v>
          </cell>
          <cell r="AC5302">
            <v>0</v>
          </cell>
          <cell r="AD5302">
            <v>235441445</v>
          </cell>
          <cell r="AE5302">
            <v>878999481</v>
          </cell>
          <cell r="AF5302">
            <v>247361962</v>
          </cell>
          <cell r="AG5302">
            <v>255531729</v>
          </cell>
          <cell r="AH5302">
            <v>24795146</v>
          </cell>
          <cell r="AI5302">
            <v>778732923</v>
          </cell>
        </row>
        <row r="5303">
          <cell r="A5303">
            <v>525010901</v>
          </cell>
          <cell r="C5303">
            <v>44003253</v>
          </cell>
          <cell r="D5303">
            <v>186984473</v>
          </cell>
          <cell r="E5303">
            <v>127160000</v>
          </cell>
          <cell r="F5303">
            <v>0</v>
          </cell>
          <cell r="G5303">
            <v>42547146</v>
          </cell>
          <cell r="H5303">
            <v>307947261</v>
          </cell>
          <cell r="I5303">
            <v>185030000</v>
          </cell>
          <cell r="J5303">
            <v>24030477</v>
          </cell>
          <cell r="K5303">
            <v>102314250</v>
          </cell>
          <cell r="L5303">
            <v>30800000</v>
          </cell>
          <cell r="M5303">
            <v>0</v>
          </cell>
          <cell r="N5303">
            <v>114272154</v>
          </cell>
          <cell r="O5303">
            <v>110938481</v>
          </cell>
          <cell r="P5303">
            <v>60250000</v>
          </cell>
          <cell r="Q5303">
            <v>72000000</v>
          </cell>
          <cell r="R5303">
            <v>53140000</v>
          </cell>
          <cell r="S5303">
            <v>0</v>
          </cell>
          <cell r="T5303">
            <v>165549887</v>
          </cell>
          <cell r="U5303">
            <v>22350000</v>
          </cell>
          <cell r="V5303">
            <v>217554936</v>
          </cell>
          <cell r="W5303">
            <v>0</v>
          </cell>
          <cell r="X5303">
            <v>233843087</v>
          </cell>
          <cell r="Y5303">
            <v>6000000</v>
          </cell>
          <cell r="Z5303">
            <v>58864284</v>
          </cell>
          <cell r="AA5303">
            <v>0</v>
          </cell>
          <cell r="AB5303">
            <v>295706152</v>
          </cell>
          <cell r="AC5303">
            <v>0</v>
          </cell>
          <cell r="AD5303">
            <v>142380853</v>
          </cell>
          <cell r="AE5303">
            <v>878999481</v>
          </cell>
          <cell r="AF5303">
            <v>247361962</v>
          </cell>
          <cell r="AG5303">
            <v>251114761</v>
          </cell>
          <cell r="AH5303">
            <v>24795146</v>
          </cell>
          <cell r="AI5303">
            <v>638066950</v>
          </cell>
        </row>
        <row r="5304">
          <cell r="A5304">
            <v>525010902</v>
          </cell>
          <cell r="C5304">
            <v>8262108</v>
          </cell>
          <cell r="D5304">
            <v>0</v>
          </cell>
          <cell r="E5304">
            <v>0</v>
          </cell>
          <cell r="F5304">
            <v>0</v>
          </cell>
          <cell r="G5304">
            <v>1619048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54964756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6393892</v>
          </cell>
          <cell r="U5304">
            <v>0</v>
          </cell>
          <cell r="V5304">
            <v>10792184</v>
          </cell>
          <cell r="W5304">
            <v>0</v>
          </cell>
          <cell r="X5304">
            <v>200000</v>
          </cell>
          <cell r="Y5304">
            <v>780000</v>
          </cell>
          <cell r="Z5304">
            <v>0</v>
          </cell>
          <cell r="AA5304">
            <v>0</v>
          </cell>
          <cell r="AB5304">
            <v>33589416</v>
          </cell>
          <cell r="AC5304">
            <v>0</v>
          </cell>
          <cell r="AD5304">
            <v>93060592</v>
          </cell>
          <cell r="AE5304">
            <v>0</v>
          </cell>
          <cell r="AF5304">
            <v>0</v>
          </cell>
          <cell r="AG5304">
            <v>4416968</v>
          </cell>
          <cell r="AH5304">
            <v>0</v>
          </cell>
          <cell r="AI5304">
            <v>140665973</v>
          </cell>
        </row>
        <row r="5305">
          <cell r="A5305">
            <v>525011000</v>
          </cell>
          <cell r="C5305">
            <v>161545396</v>
          </cell>
          <cell r="D5305">
            <v>98870307</v>
          </cell>
          <cell r="E5305">
            <v>176047442</v>
          </cell>
          <cell r="F5305">
            <v>15878229</v>
          </cell>
          <cell r="G5305">
            <v>310952663</v>
          </cell>
          <cell r="H5305">
            <v>644159421</v>
          </cell>
          <cell r="I5305">
            <v>145352430</v>
          </cell>
          <cell r="J5305">
            <v>49596841</v>
          </cell>
          <cell r="K5305">
            <v>7491710</v>
          </cell>
          <cell r="L5305">
            <v>23556166</v>
          </cell>
          <cell r="M5305">
            <v>125852646</v>
          </cell>
          <cell r="N5305">
            <v>45982205</v>
          </cell>
          <cell r="O5305">
            <v>267842351</v>
          </cell>
          <cell r="P5305">
            <v>57469546</v>
          </cell>
          <cell r="Q5305">
            <v>259192871</v>
          </cell>
          <cell r="R5305">
            <v>180212643</v>
          </cell>
          <cell r="S5305">
            <v>26659091</v>
          </cell>
          <cell r="T5305">
            <v>951626741</v>
          </cell>
          <cell r="U5305">
            <v>0</v>
          </cell>
          <cell r="V5305">
            <v>275372598</v>
          </cell>
          <cell r="W5305">
            <v>5766877</v>
          </cell>
          <cell r="X5305">
            <v>253678874</v>
          </cell>
          <cell r="Y5305">
            <v>33505156</v>
          </cell>
          <cell r="Z5305">
            <v>174866844</v>
          </cell>
          <cell r="AA5305">
            <v>13090527</v>
          </cell>
          <cell r="AB5305">
            <v>745178937</v>
          </cell>
          <cell r="AC5305">
            <v>10999112</v>
          </cell>
          <cell r="AD5305">
            <v>98566829</v>
          </cell>
          <cell r="AE5305">
            <v>273300463</v>
          </cell>
          <cell r="AF5305">
            <v>318657276</v>
          </cell>
          <cell r="AG5305">
            <v>37578604</v>
          </cell>
          <cell r="AH5305">
            <v>381571165</v>
          </cell>
          <cell r="AI5305">
            <v>1862857322</v>
          </cell>
        </row>
        <row r="5306">
          <cell r="A5306">
            <v>525011001</v>
          </cell>
          <cell r="C5306">
            <v>161545396</v>
          </cell>
          <cell r="D5306">
            <v>98870307</v>
          </cell>
          <cell r="E5306">
            <v>176047442</v>
          </cell>
          <cell r="F5306">
            <v>15878229</v>
          </cell>
          <cell r="G5306">
            <v>310952663</v>
          </cell>
          <cell r="H5306">
            <v>644159421</v>
          </cell>
          <cell r="I5306">
            <v>145352430</v>
          </cell>
          <cell r="J5306">
            <v>49596841</v>
          </cell>
          <cell r="K5306">
            <v>7491710</v>
          </cell>
          <cell r="L5306">
            <v>23556166</v>
          </cell>
          <cell r="M5306">
            <v>125852646</v>
          </cell>
          <cell r="N5306">
            <v>45982205</v>
          </cell>
          <cell r="O5306">
            <v>267842351</v>
          </cell>
          <cell r="P5306">
            <v>57469546</v>
          </cell>
          <cell r="Q5306">
            <v>259192871</v>
          </cell>
          <cell r="R5306">
            <v>180212643</v>
          </cell>
          <cell r="S5306">
            <v>26659091</v>
          </cell>
          <cell r="T5306">
            <v>951626741</v>
          </cell>
          <cell r="U5306">
            <v>0</v>
          </cell>
          <cell r="V5306">
            <v>275372598</v>
          </cell>
          <cell r="W5306">
            <v>5766877</v>
          </cell>
          <cell r="X5306">
            <v>253678874</v>
          </cell>
          <cell r="Y5306">
            <v>33505156</v>
          </cell>
          <cell r="Z5306">
            <v>174866844</v>
          </cell>
          <cell r="AA5306">
            <v>13090527</v>
          </cell>
          <cell r="AB5306">
            <v>745178937</v>
          </cell>
          <cell r="AC5306">
            <v>10999112</v>
          </cell>
          <cell r="AD5306">
            <v>98566829</v>
          </cell>
          <cell r="AE5306">
            <v>273300463</v>
          </cell>
          <cell r="AF5306">
            <v>318657276</v>
          </cell>
          <cell r="AG5306">
            <v>37578604</v>
          </cell>
          <cell r="AH5306">
            <v>381571165</v>
          </cell>
          <cell r="AI5306">
            <v>1862857322</v>
          </cell>
        </row>
        <row r="5307">
          <cell r="A5307">
            <v>525011100</v>
          </cell>
          <cell r="C5307">
            <v>1832613268</v>
          </cell>
          <cell r="D5307">
            <v>1566726375</v>
          </cell>
          <cell r="E5307">
            <v>434898050</v>
          </cell>
          <cell r="F5307">
            <v>946075976</v>
          </cell>
          <cell r="G5307">
            <v>3627317755</v>
          </cell>
          <cell r="H5307">
            <v>9743952904</v>
          </cell>
          <cell r="I5307">
            <v>1472230445</v>
          </cell>
          <cell r="J5307">
            <v>719887136</v>
          </cell>
          <cell r="K5307">
            <v>542728168</v>
          </cell>
          <cell r="L5307">
            <v>340418823</v>
          </cell>
          <cell r="M5307">
            <v>575847309</v>
          </cell>
          <cell r="N5307">
            <v>2682255701</v>
          </cell>
          <cell r="O5307">
            <v>1931090557</v>
          </cell>
          <cell r="P5307">
            <v>930141250</v>
          </cell>
          <cell r="Q5307">
            <v>962678645</v>
          </cell>
          <cell r="R5307">
            <v>1223183691</v>
          </cell>
          <cell r="S5307">
            <v>465484367</v>
          </cell>
          <cell r="T5307">
            <v>2959434399</v>
          </cell>
          <cell r="U5307">
            <v>86819835</v>
          </cell>
          <cell r="V5307">
            <v>3338862534</v>
          </cell>
          <cell r="W5307">
            <v>849122513</v>
          </cell>
          <cell r="X5307">
            <v>1577509202</v>
          </cell>
          <cell r="Y5307">
            <v>974057403</v>
          </cell>
          <cell r="Z5307">
            <v>1617262996</v>
          </cell>
          <cell r="AA5307">
            <v>572251008</v>
          </cell>
          <cell r="AB5307">
            <v>3692397085</v>
          </cell>
          <cell r="AC5307">
            <v>573361882</v>
          </cell>
          <cell r="AD5307">
            <v>2335742709</v>
          </cell>
          <cell r="AE5307">
            <v>16086885838</v>
          </cell>
          <cell r="AF5307">
            <v>1693965740</v>
          </cell>
          <cell r="AG5307">
            <v>1313721198</v>
          </cell>
          <cell r="AH5307">
            <v>1449393675</v>
          </cell>
          <cell r="AI5307">
            <v>1547906923</v>
          </cell>
        </row>
        <row r="5308">
          <cell r="A5308">
            <v>525011101</v>
          </cell>
          <cell r="C5308">
            <v>39159295</v>
          </cell>
          <cell r="D5308">
            <v>50808456</v>
          </cell>
          <cell r="E5308">
            <v>20769540</v>
          </cell>
          <cell r="F5308">
            <v>36993753</v>
          </cell>
          <cell r="G5308">
            <v>73388905</v>
          </cell>
          <cell r="H5308">
            <v>163159463</v>
          </cell>
          <cell r="I5308">
            <v>93289089</v>
          </cell>
          <cell r="J5308">
            <v>22057651</v>
          </cell>
          <cell r="K5308">
            <v>18471416</v>
          </cell>
          <cell r="L5308">
            <v>8102807</v>
          </cell>
          <cell r="M5308">
            <v>18442729</v>
          </cell>
          <cell r="N5308">
            <v>21850871</v>
          </cell>
          <cell r="O5308">
            <v>64396865</v>
          </cell>
          <cell r="P5308">
            <v>21935763</v>
          </cell>
          <cell r="Q5308">
            <v>21497403</v>
          </cell>
          <cell r="R5308">
            <v>32041760</v>
          </cell>
          <cell r="S5308">
            <v>8660912</v>
          </cell>
          <cell r="T5308">
            <v>77166656</v>
          </cell>
          <cell r="U5308">
            <v>3444529</v>
          </cell>
          <cell r="V5308">
            <v>108503910</v>
          </cell>
          <cell r="W5308">
            <v>37462696</v>
          </cell>
          <cell r="X5308">
            <v>38442170</v>
          </cell>
          <cell r="Y5308">
            <v>15010035</v>
          </cell>
          <cell r="Z5308">
            <v>30935923</v>
          </cell>
          <cell r="AA5308">
            <v>11262336</v>
          </cell>
          <cell r="AB5308">
            <v>57161936</v>
          </cell>
          <cell r="AC5308">
            <v>15551856</v>
          </cell>
          <cell r="AD5308">
            <v>85826216</v>
          </cell>
          <cell r="AE5308">
            <v>260749010</v>
          </cell>
          <cell r="AF5308">
            <v>39185850</v>
          </cell>
          <cell r="AG5308">
            <v>38598137</v>
          </cell>
          <cell r="AH5308">
            <v>4718050</v>
          </cell>
          <cell r="AI5308">
            <v>37545096</v>
          </cell>
        </row>
        <row r="5309">
          <cell r="A5309">
            <v>525011102</v>
          </cell>
          <cell r="C5309">
            <v>59516821</v>
          </cell>
          <cell r="D5309">
            <v>95379796</v>
          </cell>
          <cell r="E5309">
            <v>34469324</v>
          </cell>
          <cell r="F5309">
            <v>51622398</v>
          </cell>
          <cell r="G5309">
            <v>147069254</v>
          </cell>
          <cell r="H5309">
            <v>434930980</v>
          </cell>
          <cell r="I5309">
            <v>124986259</v>
          </cell>
          <cell r="J5309">
            <v>44708413</v>
          </cell>
          <cell r="K5309">
            <v>38351128</v>
          </cell>
          <cell r="L5309">
            <v>20154533</v>
          </cell>
          <cell r="M5309">
            <v>40208478</v>
          </cell>
          <cell r="N5309">
            <v>159898198</v>
          </cell>
          <cell r="O5309">
            <v>54943948</v>
          </cell>
          <cell r="P5309">
            <v>82047723</v>
          </cell>
          <cell r="Q5309">
            <v>30823145</v>
          </cell>
          <cell r="R5309">
            <v>82671102</v>
          </cell>
          <cell r="S5309">
            <v>27796386</v>
          </cell>
          <cell r="T5309">
            <v>224522106</v>
          </cell>
          <cell r="U5309">
            <v>6507356</v>
          </cell>
          <cell r="V5309">
            <v>194849694</v>
          </cell>
          <cell r="W5309">
            <v>68550432</v>
          </cell>
          <cell r="X5309">
            <v>65901474</v>
          </cell>
          <cell r="Y5309">
            <v>46718555</v>
          </cell>
          <cell r="Z5309">
            <v>100030849</v>
          </cell>
          <cell r="AA5309">
            <v>33586702</v>
          </cell>
          <cell r="AB5309">
            <v>191449246</v>
          </cell>
          <cell r="AC5309">
            <v>24770254</v>
          </cell>
          <cell r="AD5309">
            <v>187415762</v>
          </cell>
          <cell r="AE5309">
            <v>689532560</v>
          </cell>
          <cell r="AF5309">
            <v>129738715</v>
          </cell>
          <cell r="AG5309">
            <v>127548078</v>
          </cell>
          <cell r="AH5309">
            <v>250564800</v>
          </cell>
          <cell r="AI5309">
            <v>133211030</v>
          </cell>
        </row>
        <row r="5310">
          <cell r="A5310">
            <v>525011103</v>
          </cell>
          <cell r="C5310">
            <v>7531997</v>
          </cell>
          <cell r="D5310">
            <v>9436196</v>
          </cell>
          <cell r="E5310">
            <v>1801361</v>
          </cell>
          <cell r="F5310">
            <v>2707910</v>
          </cell>
          <cell r="G5310">
            <v>6956900</v>
          </cell>
          <cell r="H5310">
            <v>10139108</v>
          </cell>
          <cell r="I5310">
            <v>11480569</v>
          </cell>
          <cell r="J5310">
            <v>1674398</v>
          </cell>
          <cell r="K5310">
            <v>0</v>
          </cell>
          <cell r="L5310">
            <v>1771375</v>
          </cell>
          <cell r="M5310">
            <v>0</v>
          </cell>
          <cell r="N5310">
            <v>6577359</v>
          </cell>
          <cell r="O5310">
            <v>2862676</v>
          </cell>
          <cell r="P5310">
            <v>2033545</v>
          </cell>
          <cell r="Q5310">
            <v>1808001</v>
          </cell>
          <cell r="R5310">
            <v>3699907</v>
          </cell>
          <cell r="S5310">
            <v>834544</v>
          </cell>
          <cell r="T5310">
            <v>7126083</v>
          </cell>
          <cell r="U5310">
            <v>0</v>
          </cell>
          <cell r="V5310">
            <v>15170820</v>
          </cell>
          <cell r="W5310">
            <v>1811418</v>
          </cell>
          <cell r="X5310">
            <v>4593218</v>
          </cell>
          <cell r="Y5310">
            <v>1090051</v>
          </cell>
          <cell r="Z5310">
            <v>2731078</v>
          </cell>
          <cell r="AA5310">
            <v>1032484</v>
          </cell>
          <cell r="AB5310">
            <v>11236486</v>
          </cell>
          <cell r="AC5310">
            <v>589075</v>
          </cell>
          <cell r="AD5310">
            <v>1956968</v>
          </cell>
          <cell r="AE5310">
            <v>0</v>
          </cell>
          <cell r="AF5310">
            <v>5726197</v>
          </cell>
          <cell r="AG5310">
            <v>1242660</v>
          </cell>
          <cell r="AH5310">
            <v>4826296</v>
          </cell>
          <cell r="AI5310">
            <v>2433841</v>
          </cell>
        </row>
        <row r="5311">
          <cell r="A5311">
            <v>525011104</v>
          </cell>
          <cell r="C5311">
            <v>34497064</v>
          </cell>
          <cell r="D5311">
            <v>57509932</v>
          </cell>
          <cell r="E5311">
            <v>20897752</v>
          </cell>
          <cell r="F5311">
            <v>14037643</v>
          </cell>
          <cell r="G5311">
            <v>66885240</v>
          </cell>
          <cell r="H5311">
            <v>262971464</v>
          </cell>
          <cell r="I5311">
            <v>60668294</v>
          </cell>
          <cell r="J5311">
            <v>13728324</v>
          </cell>
          <cell r="K5311">
            <v>442609</v>
          </cell>
          <cell r="L5311">
            <v>1582842</v>
          </cell>
          <cell r="M5311">
            <v>362258</v>
          </cell>
          <cell r="N5311">
            <v>10488080</v>
          </cell>
          <cell r="O5311">
            <v>22024659</v>
          </cell>
          <cell r="P5311">
            <v>14905439</v>
          </cell>
          <cell r="Q5311">
            <v>484995</v>
          </cell>
          <cell r="R5311">
            <v>11552474</v>
          </cell>
          <cell r="S5311">
            <v>5943630</v>
          </cell>
          <cell r="T5311">
            <v>93368261</v>
          </cell>
          <cell r="U5311">
            <v>0</v>
          </cell>
          <cell r="V5311">
            <v>81819227</v>
          </cell>
          <cell r="W5311">
            <v>5328905</v>
          </cell>
          <cell r="X5311">
            <v>57408089</v>
          </cell>
          <cell r="Y5311">
            <v>9109807</v>
          </cell>
          <cell r="Z5311">
            <v>28477383</v>
          </cell>
          <cell r="AA5311">
            <v>0</v>
          </cell>
          <cell r="AB5311">
            <v>98300084</v>
          </cell>
          <cell r="AC5311">
            <v>363063</v>
          </cell>
          <cell r="AD5311">
            <v>92586430</v>
          </cell>
          <cell r="AE5311">
            <v>422000013</v>
          </cell>
          <cell r="AF5311">
            <v>76188570</v>
          </cell>
          <cell r="AG5311">
            <v>49346958</v>
          </cell>
          <cell r="AH5311">
            <v>17884799</v>
          </cell>
          <cell r="AI5311">
            <v>19277853</v>
          </cell>
        </row>
        <row r="5312">
          <cell r="A5312">
            <v>525011105</v>
          </cell>
          <cell r="C5312">
            <v>10070011</v>
          </cell>
          <cell r="D5312">
            <v>107822648</v>
          </cell>
          <cell r="E5312">
            <v>18423855</v>
          </cell>
          <cell r="F5312">
            <v>40964736</v>
          </cell>
          <cell r="G5312">
            <v>106904124</v>
          </cell>
          <cell r="H5312">
            <v>614344281</v>
          </cell>
          <cell r="I5312">
            <v>86554759</v>
          </cell>
          <cell r="J5312">
            <v>29848357</v>
          </cell>
          <cell r="K5312">
            <v>29898339</v>
          </cell>
          <cell r="L5312">
            <v>13530517</v>
          </cell>
          <cell r="M5312">
            <v>7380959</v>
          </cell>
          <cell r="N5312">
            <v>45684491</v>
          </cell>
          <cell r="O5312">
            <v>43627548</v>
          </cell>
          <cell r="P5312">
            <v>44049348</v>
          </cell>
          <cell r="Q5312">
            <v>18270993</v>
          </cell>
          <cell r="R5312">
            <v>25376789</v>
          </cell>
          <cell r="S5312">
            <v>1675000</v>
          </cell>
          <cell r="T5312">
            <v>161028670</v>
          </cell>
          <cell r="U5312">
            <v>8096300</v>
          </cell>
          <cell r="V5312">
            <v>75696371</v>
          </cell>
          <cell r="W5312">
            <v>129593090</v>
          </cell>
          <cell r="X5312">
            <v>50385545</v>
          </cell>
          <cell r="Y5312">
            <v>25678534</v>
          </cell>
          <cell r="Z5312">
            <v>436789523</v>
          </cell>
          <cell r="AA5312">
            <v>14358728</v>
          </cell>
          <cell r="AB5312">
            <v>26359366</v>
          </cell>
          <cell r="AC5312">
            <v>4159162</v>
          </cell>
          <cell r="AD5312">
            <v>260513710</v>
          </cell>
          <cell r="AE5312">
            <v>253519498</v>
          </cell>
          <cell r="AF5312">
            <v>112966794</v>
          </cell>
          <cell r="AG5312">
            <v>74762681</v>
          </cell>
          <cell r="AH5312">
            <v>108377616</v>
          </cell>
          <cell r="AI5312">
            <v>118677534</v>
          </cell>
        </row>
        <row r="5313">
          <cell r="A5313">
            <v>525011106</v>
          </cell>
          <cell r="C5313">
            <v>122450584</v>
          </cell>
          <cell r="D5313">
            <v>150999967</v>
          </cell>
          <cell r="E5313">
            <v>29970074</v>
          </cell>
          <cell r="F5313">
            <v>23429957</v>
          </cell>
          <cell r="G5313">
            <v>105968180</v>
          </cell>
          <cell r="H5313">
            <v>266778727</v>
          </cell>
          <cell r="I5313">
            <v>69153253</v>
          </cell>
          <cell r="J5313">
            <v>31520805</v>
          </cell>
          <cell r="K5313">
            <v>40283473</v>
          </cell>
          <cell r="L5313">
            <v>12651514</v>
          </cell>
          <cell r="M5313">
            <v>47275072</v>
          </cell>
          <cell r="N5313">
            <v>121578729</v>
          </cell>
          <cell r="O5313">
            <v>46367021</v>
          </cell>
          <cell r="P5313">
            <v>66044461</v>
          </cell>
          <cell r="Q5313">
            <v>43335181</v>
          </cell>
          <cell r="R5313">
            <v>48422351</v>
          </cell>
          <cell r="S5313">
            <v>12775910</v>
          </cell>
          <cell r="T5313">
            <v>85091011</v>
          </cell>
          <cell r="U5313">
            <v>159091</v>
          </cell>
          <cell r="V5313">
            <v>172074171</v>
          </cell>
          <cell r="W5313">
            <v>59084728</v>
          </cell>
          <cell r="X5313">
            <v>160587854</v>
          </cell>
          <cell r="Y5313">
            <v>11695186</v>
          </cell>
          <cell r="Z5313">
            <v>116863052</v>
          </cell>
          <cell r="AA5313">
            <v>12888638</v>
          </cell>
          <cell r="AB5313">
            <v>172123053</v>
          </cell>
          <cell r="AC5313">
            <v>29944462</v>
          </cell>
          <cell r="AD5313">
            <v>236570372</v>
          </cell>
          <cell r="AE5313">
            <v>161354503</v>
          </cell>
          <cell r="AF5313">
            <v>137792584</v>
          </cell>
          <cell r="AG5313">
            <v>124501835</v>
          </cell>
          <cell r="AH5313">
            <v>141888724</v>
          </cell>
          <cell r="AI5313">
            <v>121888559</v>
          </cell>
        </row>
        <row r="5314">
          <cell r="A5314">
            <v>525011107</v>
          </cell>
          <cell r="C5314">
            <v>49042264</v>
          </cell>
          <cell r="D5314">
            <v>44958924</v>
          </cell>
          <cell r="E5314">
            <v>12927922</v>
          </cell>
          <cell r="F5314">
            <v>39616256</v>
          </cell>
          <cell r="G5314">
            <v>59796092</v>
          </cell>
          <cell r="H5314">
            <v>68820028</v>
          </cell>
          <cell r="I5314">
            <v>62272327</v>
          </cell>
          <cell r="J5314">
            <v>12289741</v>
          </cell>
          <cell r="K5314">
            <v>27716665</v>
          </cell>
          <cell r="L5314">
            <v>15910405</v>
          </cell>
          <cell r="M5314">
            <v>32431911</v>
          </cell>
          <cell r="N5314">
            <v>111506566</v>
          </cell>
          <cell r="O5314">
            <v>37478127</v>
          </cell>
          <cell r="P5314">
            <v>39850996</v>
          </cell>
          <cell r="Q5314">
            <v>30042903</v>
          </cell>
          <cell r="R5314">
            <v>19768651</v>
          </cell>
          <cell r="S5314">
            <v>1529093</v>
          </cell>
          <cell r="T5314">
            <v>37570631</v>
          </cell>
          <cell r="U5314">
            <v>212909</v>
          </cell>
          <cell r="V5314">
            <v>117501824</v>
          </cell>
          <cell r="W5314">
            <v>36354660</v>
          </cell>
          <cell r="X5314">
            <v>17099606</v>
          </cell>
          <cell r="Y5314">
            <v>18730681</v>
          </cell>
          <cell r="Z5314">
            <v>33879058</v>
          </cell>
          <cell r="AA5314">
            <v>3412359</v>
          </cell>
          <cell r="AB5314">
            <v>49862025</v>
          </cell>
          <cell r="AC5314">
            <v>7954994</v>
          </cell>
          <cell r="AD5314">
            <v>29702531</v>
          </cell>
          <cell r="AE5314">
            <v>132626516</v>
          </cell>
          <cell r="AF5314">
            <v>81064295</v>
          </cell>
          <cell r="AG5314">
            <v>37949576</v>
          </cell>
          <cell r="AH5314">
            <v>14988646</v>
          </cell>
          <cell r="AI5314">
            <v>8721426</v>
          </cell>
        </row>
        <row r="5315">
          <cell r="A5315">
            <v>525011108</v>
          </cell>
          <cell r="C5315">
            <v>8830621</v>
          </cell>
          <cell r="D5315">
            <v>14098846</v>
          </cell>
          <cell r="E5315">
            <v>2245624</v>
          </cell>
          <cell r="F5315">
            <v>22912199</v>
          </cell>
          <cell r="G5315">
            <v>46314673</v>
          </cell>
          <cell r="H5315">
            <v>123212359</v>
          </cell>
          <cell r="I5315">
            <v>9048162</v>
          </cell>
          <cell r="J5315">
            <v>16304701</v>
          </cell>
          <cell r="K5315">
            <v>5867954</v>
          </cell>
          <cell r="L5315">
            <v>552394</v>
          </cell>
          <cell r="M5315">
            <v>10712671</v>
          </cell>
          <cell r="N5315">
            <v>17698734</v>
          </cell>
          <cell r="O5315">
            <v>12586725</v>
          </cell>
          <cell r="P5315">
            <v>10668449</v>
          </cell>
          <cell r="Q5315">
            <v>5366715</v>
          </cell>
          <cell r="R5315">
            <v>18534086</v>
          </cell>
          <cell r="S5315">
            <v>0</v>
          </cell>
          <cell r="T5315">
            <v>37244048</v>
          </cell>
          <cell r="U5315">
            <v>261916</v>
          </cell>
          <cell r="V5315">
            <v>34764036</v>
          </cell>
          <cell r="W5315">
            <v>19290029</v>
          </cell>
          <cell r="X5315">
            <v>18120572</v>
          </cell>
          <cell r="Y5315">
            <v>4037727</v>
          </cell>
          <cell r="Z5315">
            <v>12523317</v>
          </cell>
          <cell r="AA5315">
            <v>7624423</v>
          </cell>
          <cell r="AB5315">
            <v>43277255</v>
          </cell>
          <cell r="AC5315">
            <v>11465262</v>
          </cell>
          <cell r="AD5315">
            <v>17451268</v>
          </cell>
          <cell r="AE5315">
            <v>41468264</v>
          </cell>
          <cell r="AF5315">
            <v>19879186</v>
          </cell>
          <cell r="AG5315">
            <v>31783812</v>
          </cell>
          <cell r="AH5315">
            <v>15045946</v>
          </cell>
          <cell r="AI5315">
            <v>16313902</v>
          </cell>
        </row>
        <row r="5316">
          <cell r="A5316">
            <v>525011109</v>
          </cell>
          <cell r="C5316">
            <v>0</v>
          </cell>
          <cell r="D5316">
            <v>9600000</v>
          </cell>
          <cell r="E5316">
            <v>15632021</v>
          </cell>
          <cell r="F5316">
            <v>15420000</v>
          </cell>
          <cell r="G5316">
            <v>15088600</v>
          </cell>
          <cell r="H5316">
            <v>0</v>
          </cell>
          <cell r="I5316">
            <v>10877400</v>
          </cell>
          <cell r="J5316">
            <v>0</v>
          </cell>
          <cell r="K5316">
            <v>9600000</v>
          </cell>
          <cell r="L5316">
            <v>200000</v>
          </cell>
          <cell r="M5316">
            <v>11177400</v>
          </cell>
          <cell r="N5316">
            <v>16581890</v>
          </cell>
          <cell r="O5316">
            <v>17808000</v>
          </cell>
          <cell r="P5316">
            <v>10877400</v>
          </cell>
          <cell r="Q5316">
            <v>15225000</v>
          </cell>
          <cell r="R5316">
            <v>9600000</v>
          </cell>
          <cell r="S5316">
            <v>10877400</v>
          </cell>
          <cell r="T5316">
            <v>23235264</v>
          </cell>
          <cell r="U5316">
            <v>0</v>
          </cell>
          <cell r="V5316">
            <v>10877400</v>
          </cell>
          <cell r="W5316">
            <v>11932600</v>
          </cell>
          <cell r="X5316">
            <v>10025800</v>
          </cell>
          <cell r="Y5316">
            <v>9600000</v>
          </cell>
          <cell r="Z5316">
            <v>8894700</v>
          </cell>
          <cell r="AA5316">
            <v>9600000</v>
          </cell>
          <cell r="AB5316">
            <v>11820000</v>
          </cell>
          <cell r="AC5316">
            <v>8800000</v>
          </cell>
          <cell r="AD5316">
            <v>10877400</v>
          </cell>
          <cell r="AE5316">
            <v>10105637</v>
          </cell>
          <cell r="AF5316">
            <v>33409949</v>
          </cell>
          <cell r="AG5316">
            <v>11677400</v>
          </cell>
          <cell r="AH5316">
            <v>0</v>
          </cell>
          <cell r="AI5316">
            <v>0</v>
          </cell>
        </row>
        <row r="5317">
          <cell r="A5317">
            <v>525011110</v>
          </cell>
          <cell r="C5317">
            <v>3819000</v>
          </cell>
          <cell r="D5317">
            <v>18854791</v>
          </cell>
          <cell r="E5317">
            <v>17432517</v>
          </cell>
          <cell r="F5317">
            <v>0</v>
          </cell>
          <cell r="G5317">
            <v>45529560</v>
          </cell>
          <cell r="H5317">
            <v>0</v>
          </cell>
          <cell r="I5317">
            <v>1905000</v>
          </cell>
          <cell r="J5317">
            <v>17915301</v>
          </cell>
          <cell r="K5317">
            <v>400000</v>
          </cell>
          <cell r="L5317">
            <v>2759478</v>
          </cell>
          <cell r="M5317">
            <v>8473942</v>
          </cell>
          <cell r="N5317">
            <v>64702830</v>
          </cell>
          <cell r="O5317">
            <v>88290400</v>
          </cell>
          <cell r="P5317">
            <v>13736363</v>
          </cell>
          <cell r="Q5317">
            <v>0</v>
          </cell>
          <cell r="R5317">
            <v>0</v>
          </cell>
          <cell r="S5317">
            <v>0</v>
          </cell>
          <cell r="T5317">
            <v>79271243</v>
          </cell>
          <cell r="U5317">
            <v>1127000</v>
          </cell>
          <cell r="V5317">
            <v>38255337</v>
          </cell>
          <cell r="W5317">
            <v>0</v>
          </cell>
          <cell r="X5317">
            <v>42128057</v>
          </cell>
          <cell r="Y5317">
            <v>0</v>
          </cell>
          <cell r="Z5317">
            <v>7289995</v>
          </cell>
          <cell r="AA5317">
            <v>6640000</v>
          </cell>
          <cell r="AB5317">
            <v>137714727</v>
          </cell>
          <cell r="AC5317">
            <v>9600000</v>
          </cell>
          <cell r="AD5317">
            <v>70987813</v>
          </cell>
          <cell r="AE5317">
            <v>312169224</v>
          </cell>
          <cell r="AF5317">
            <v>58340702</v>
          </cell>
          <cell r="AG5317">
            <v>1113045</v>
          </cell>
          <cell r="AH5317">
            <v>45905596</v>
          </cell>
          <cell r="AI5317">
            <v>66075263</v>
          </cell>
        </row>
        <row r="5318">
          <cell r="A5318">
            <v>525011111</v>
          </cell>
          <cell r="C5318">
            <v>15394045</v>
          </cell>
          <cell r="D5318">
            <v>19719043</v>
          </cell>
          <cell r="E5318">
            <v>2580633</v>
          </cell>
          <cell r="F5318">
            <v>0</v>
          </cell>
          <cell r="G5318">
            <v>9505377</v>
          </cell>
          <cell r="H5318">
            <v>160238226</v>
          </cell>
          <cell r="I5318">
            <v>2276364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108286026</v>
          </cell>
          <cell r="O5318">
            <v>53414066</v>
          </cell>
          <cell r="P5318">
            <v>1080000</v>
          </cell>
          <cell r="Q5318">
            <v>0</v>
          </cell>
          <cell r="R5318">
            <v>0</v>
          </cell>
          <cell r="S5318">
            <v>0</v>
          </cell>
          <cell r="T5318">
            <v>169234001</v>
          </cell>
          <cell r="U5318">
            <v>0</v>
          </cell>
          <cell r="V5318">
            <v>81215366</v>
          </cell>
          <cell r="W5318">
            <v>14323144</v>
          </cell>
          <cell r="X5318">
            <v>66480000</v>
          </cell>
          <cell r="Y5318">
            <v>3000000</v>
          </cell>
          <cell r="Z5318">
            <v>11560000</v>
          </cell>
          <cell r="AA5318">
            <v>4585000</v>
          </cell>
          <cell r="AB5318">
            <v>124123708</v>
          </cell>
          <cell r="AC5318">
            <v>4343000</v>
          </cell>
          <cell r="AD5318">
            <v>37725002</v>
          </cell>
          <cell r="AE5318">
            <v>571732180</v>
          </cell>
          <cell r="AF5318">
            <v>44220296</v>
          </cell>
          <cell r="AG5318">
            <v>45443815</v>
          </cell>
          <cell r="AH5318">
            <v>69300000</v>
          </cell>
          <cell r="AI5318">
            <v>150221370</v>
          </cell>
        </row>
        <row r="5319">
          <cell r="A5319">
            <v>525011112</v>
          </cell>
          <cell r="C5319">
            <v>1361818</v>
          </cell>
          <cell r="D5319">
            <v>857273</v>
          </cell>
          <cell r="E5319">
            <v>1555540</v>
          </cell>
          <cell r="F5319">
            <v>0</v>
          </cell>
          <cell r="G5319">
            <v>0</v>
          </cell>
          <cell r="H5319">
            <v>55395969</v>
          </cell>
          <cell r="I5319">
            <v>0</v>
          </cell>
          <cell r="J5319">
            <v>15873000</v>
          </cell>
          <cell r="K5319">
            <v>0</v>
          </cell>
          <cell r="L5319">
            <v>12277400</v>
          </cell>
          <cell r="M5319">
            <v>2325000</v>
          </cell>
          <cell r="N5319">
            <v>0</v>
          </cell>
          <cell r="O5319">
            <v>367046996</v>
          </cell>
          <cell r="P5319">
            <v>0</v>
          </cell>
          <cell r="Q5319">
            <v>3789200</v>
          </cell>
          <cell r="R5319">
            <v>1246404</v>
          </cell>
          <cell r="S5319">
            <v>0</v>
          </cell>
          <cell r="T5319">
            <v>12004889</v>
          </cell>
          <cell r="U5319">
            <v>0</v>
          </cell>
          <cell r="V5319">
            <v>500000</v>
          </cell>
          <cell r="W5319">
            <v>800000</v>
          </cell>
          <cell r="X5319">
            <v>430000</v>
          </cell>
          <cell r="Y5319">
            <v>500000</v>
          </cell>
          <cell r="Z5319">
            <v>4235600</v>
          </cell>
          <cell r="AA5319">
            <v>2918000</v>
          </cell>
          <cell r="AB5319">
            <v>0</v>
          </cell>
          <cell r="AC5319">
            <v>0</v>
          </cell>
          <cell r="AD5319">
            <v>0</v>
          </cell>
          <cell r="AE5319">
            <v>20643770</v>
          </cell>
          <cell r="AF5319">
            <v>0</v>
          </cell>
          <cell r="AG5319">
            <v>450000</v>
          </cell>
          <cell r="AH5319">
            <v>27898500</v>
          </cell>
          <cell r="AI5319">
            <v>42237191</v>
          </cell>
        </row>
        <row r="5320">
          <cell r="A5320">
            <v>525011113</v>
          </cell>
          <cell r="C5320">
            <v>0</v>
          </cell>
          <cell r="D5320">
            <v>0</v>
          </cell>
          <cell r="E5320">
            <v>0</v>
          </cell>
          <cell r="F5320">
            <v>4555454</v>
          </cell>
          <cell r="G5320">
            <v>14372084</v>
          </cell>
          <cell r="H5320">
            <v>12394531</v>
          </cell>
          <cell r="I5320">
            <v>11639591</v>
          </cell>
          <cell r="J5320">
            <v>0</v>
          </cell>
          <cell r="K5320">
            <v>1000000</v>
          </cell>
          <cell r="L5320">
            <v>0</v>
          </cell>
          <cell r="M5320">
            <v>0</v>
          </cell>
          <cell r="N5320">
            <v>109258025</v>
          </cell>
          <cell r="O5320">
            <v>0</v>
          </cell>
          <cell r="P5320">
            <v>897273</v>
          </cell>
          <cell r="Q5320">
            <v>0</v>
          </cell>
          <cell r="R5320">
            <v>1000000</v>
          </cell>
          <cell r="S5320">
            <v>0</v>
          </cell>
          <cell r="T5320">
            <v>681818</v>
          </cell>
          <cell r="U5320">
            <v>0</v>
          </cell>
          <cell r="V5320">
            <v>0</v>
          </cell>
          <cell r="W5320">
            <v>0</v>
          </cell>
          <cell r="X5320">
            <v>14762485</v>
          </cell>
          <cell r="Y5320">
            <v>0</v>
          </cell>
          <cell r="Z5320">
            <v>0</v>
          </cell>
          <cell r="AA5320">
            <v>0</v>
          </cell>
          <cell r="AB5320">
            <v>22555571</v>
          </cell>
          <cell r="AC5320">
            <v>0</v>
          </cell>
          <cell r="AD5320">
            <v>0</v>
          </cell>
          <cell r="AE5320">
            <v>0</v>
          </cell>
          <cell r="AF5320">
            <v>0</v>
          </cell>
          <cell r="AG5320">
            <v>1643299</v>
          </cell>
          <cell r="AH5320">
            <v>1000000</v>
          </cell>
          <cell r="AI5320">
            <v>1000000</v>
          </cell>
        </row>
        <row r="5321">
          <cell r="A5321">
            <v>525011114</v>
          </cell>
          <cell r="C5321">
            <v>4047197</v>
          </cell>
          <cell r="D5321">
            <v>1300000</v>
          </cell>
          <cell r="E5321">
            <v>800000</v>
          </cell>
          <cell r="F5321">
            <v>1139457</v>
          </cell>
          <cell r="G5321">
            <v>1500000</v>
          </cell>
          <cell r="H5321">
            <v>20434139</v>
          </cell>
          <cell r="I5321">
            <v>0</v>
          </cell>
          <cell r="J5321">
            <v>0</v>
          </cell>
          <cell r="K5321">
            <v>1400000</v>
          </cell>
          <cell r="L5321">
            <v>50000</v>
          </cell>
          <cell r="M5321">
            <v>403894</v>
          </cell>
          <cell r="N5321">
            <v>24800000</v>
          </cell>
          <cell r="O5321">
            <v>1643986</v>
          </cell>
          <cell r="P5321">
            <v>2220000</v>
          </cell>
          <cell r="Q5321">
            <v>2500000</v>
          </cell>
          <cell r="R5321">
            <v>1396000</v>
          </cell>
          <cell r="S5321">
            <v>0</v>
          </cell>
          <cell r="T5321">
            <v>27421141</v>
          </cell>
          <cell r="U5321">
            <v>0</v>
          </cell>
          <cell r="V5321">
            <v>510000</v>
          </cell>
          <cell r="W5321">
            <v>360040</v>
          </cell>
          <cell r="X5321">
            <v>2995459</v>
          </cell>
          <cell r="Y5321">
            <v>140000</v>
          </cell>
          <cell r="Z5321">
            <v>40329</v>
          </cell>
          <cell r="AA5321">
            <v>900000</v>
          </cell>
          <cell r="AB5321">
            <v>118308668</v>
          </cell>
          <cell r="AC5321">
            <v>2451895</v>
          </cell>
          <cell r="AD5321">
            <v>16705000</v>
          </cell>
          <cell r="AE5321">
            <v>19462455</v>
          </cell>
          <cell r="AF5321">
            <v>31820127</v>
          </cell>
          <cell r="AG5321">
            <v>3329545</v>
          </cell>
          <cell r="AH5321">
            <v>1432500</v>
          </cell>
          <cell r="AI5321">
            <v>6043500</v>
          </cell>
        </row>
        <row r="5322">
          <cell r="A5322">
            <v>525011115</v>
          </cell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G5322">
            <v>0</v>
          </cell>
          <cell r="H5322">
            <v>307500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7196234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  <cell r="AE5322">
            <v>309259776</v>
          </cell>
          <cell r="AF5322">
            <v>1818182</v>
          </cell>
          <cell r="AG5322">
            <v>0</v>
          </cell>
          <cell r="AH5322">
            <v>0</v>
          </cell>
          <cell r="AI5322">
            <v>27901818</v>
          </cell>
        </row>
        <row r="5323">
          <cell r="A5323">
            <v>525011116</v>
          </cell>
          <cell r="C5323">
            <v>30468616</v>
          </cell>
          <cell r="D5323">
            <v>69208483</v>
          </cell>
          <cell r="E5323">
            <v>0</v>
          </cell>
          <cell r="F5323">
            <v>46185424</v>
          </cell>
          <cell r="G5323">
            <v>66392064</v>
          </cell>
          <cell r="H5323">
            <v>560850458</v>
          </cell>
          <cell r="I5323">
            <v>17136261</v>
          </cell>
          <cell r="J5323">
            <v>7685146</v>
          </cell>
          <cell r="K5323">
            <v>23924894</v>
          </cell>
          <cell r="L5323">
            <v>215000</v>
          </cell>
          <cell r="M5323">
            <v>5931401</v>
          </cell>
          <cell r="N5323">
            <v>21400458</v>
          </cell>
          <cell r="O5323">
            <v>130932338</v>
          </cell>
          <cell r="P5323">
            <v>76491363</v>
          </cell>
          <cell r="Q5323">
            <v>44563369</v>
          </cell>
          <cell r="R5323">
            <v>34892127</v>
          </cell>
          <cell r="S5323">
            <v>0</v>
          </cell>
          <cell r="T5323">
            <v>114375547</v>
          </cell>
          <cell r="U5323">
            <v>0</v>
          </cell>
          <cell r="V5323">
            <v>19118686</v>
          </cell>
          <cell r="W5323">
            <v>11195033</v>
          </cell>
          <cell r="X5323">
            <v>41907593</v>
          </cell>
          <cell r="Y5323">
            <v>5307506</v>
          </cell>
          <cell r="Z5323">
            <v>44338617</v>
          </cell>
          <cell r="AA5323">
            <v>0</v>
          </cell>
          <cell r="AB5323">
            <v>220098374</v>
          </cell>
          <cell r="AC5323">
            <v>14475454</v>
          </cell>
          <cell r="AD5323">
            <v>53727702</v>
          </cell>
          <cell r="AE5323">
            <v>393123380</v>
          </cell>
          <cell r="AF5323">
            <v>127677667</v>
          </cell>
          <cell r="AG5323">
            <v>3083813</v>
          </cell>
          <cell r="AH5323">
            <v>118012545</v>
          </cell>
          <cell r="AI5323">
            <v>70986320</v>
          </cell>
        </row>
        <row r="5324">
          <cell r="A5324">
            <v>525011117</v>
          </cell>
          <cell r="C5324">
            <v>2171547</v>
          </cell>
          <cell r="D5324">
            <v>0</v>
          </cell>
          <cell r="E5324">
            <v>0</v>
          </cell>
          <cell r="F5324">
            <v>2323000</v>
          </cell>
          <cell r="G5324">
            <v>12060457</v>
          </cell>
          <cell r="H5324">
            <v>5456788</v>
          </cell>
          <cell r="I5324">
            <v>0</v>
          </cell>
          <cell r="J5324">
            <v>3381820</v>
          </cell>
          <cell r="K5324">
            <v>7000</v>
          </cell>
          <cell r="L5324">
            <v>0</v>
          </cell>
          <cell r="M5324">
            <v>2143182</v>
          </cell>
          <cell r="N5324">
            <v>0</v>
          </cell>
          <cell r="O5324">
            <v>0</v>
          </cell>
          <cell r="P5324">
            <v>9699091</v>
          </cell>
          <cell r="Q5324">
            <v>0</v>
          </cell>
          <cell r="R5324">
            <v>0</v>
          </cell>
          <cell r="S5324">
            <v>0</v>
          </cell>
          <cell r="T5324">
            <v>16500</v>
          </cell>
          <cell r="U5324">
            <v>0</v>
          </cell>
          <cell r="V5324">
            <v>0</v>
          </cell>
          <cell r="W5324">
            <v>11991</v>
          </cell>
          <cell r="X5324">
            <v>2000</v>
          </cell>
          <cell r="Y5324">
            <v>0</v>
          </cell>
          <cell r="Z5324">
            <v>109091</v>
          </cell>
          <cell r="AA5324">
            <v>0</v>
          </cell>
          <cell r="AB5324">
            <v>33418</v>
          </cell>
          <cell r="AC5324">
            <v>0</v>
          </cell>
          <cell r="AD5324">
            <v>1545368</v>
          </cell>
          <cell r="AE5324">
            <v>0</v>
          </cell>
          <cell r="AF5324">
            <v>53678</v>
          </cell>
          <cell r="AG5324">
            <v>7622272</v>
          </cell>
          <cell r="AH5324">
            <v>14673000</v>
          </cell>
          <cell r="AI5324">
            <v>0</v>
          </cell>
        </row>
        <row r="5325">
          <cell r="A5325">
            <v>525011118</v>
          </cell>
          <cell r="C5325">
            <v>828800</v>
          </cell>
          <cell r="D5325">
            <v>2004500</v>
          </cell>
          <cell r="E5325">
            <v>0</v>
          </cell>
          <cell r="F5325">
            <v>6122500</v>
          </cell>
          <cell r="G5325">
            <v>25289557</v>
          </cell>
          <cell r="H5325">
            <v>140153870</v>
          </cell>
          <cell r="I5325">
            <v>16673569</v>
          </cell>
          <cell r="J5325">
            <v>4075350</v>
          </cell>
          <cell r="K5325">
            <v>1168021</v>
          </cell>
          <cell r="L5325">
            <v>820892</v>
          </cell>
          <cell r="M5325">
            <v>400000</v>
          </cell>
          <cell r="N5325">
            <v>10276088</v>
          </cell>
          <cell r="O5325">
            <v>32043500</v>
          </cell>
          <cell r="P5325">
            <v>45031446</v>
          </cell>
          <cell r="Q5325">
            <v>13852326</v>
          </cell>
          <cell r="R5325">
            <v>6600827</v>
          </cell>
          <cell r="S5325">
            <v>0</v>
          </cell>
          <cell r="T5325">
            <v>3379082</v>
          </cell>
          <cell r="U5325">
            <v>27471</v>
          </cell>
          <cell r="V5325">
            <v>1364187</v>
          </cell>
          <cell r="W5325">
            <v>1248460</v>
          </cell>
          <cell r="X5325">
            <v>2563200</v>
          </cell>
          <cell r="Y5325">
            <v>227455</v>
          </cell>
          <cell r="Z5325">
            <v>0</v>
          </cell>
          <cell r="AA5325">
            <v>3193000</v>
          </cell>
          <cell r="AB5325">
            <v>22538700</v>
          </cell>
          <cell r="AC5325">
            <v>0</v>
          </cell>
          <cell r="AD5325">
            <v>0</v>
          </cell>
          <cell r="AE5325">
            <v>2353928</v>
          </cell>
          <cell r="AF5325">
            <v>55422311</v>
          </cell>
          <cell r="AG5325">
            <v>5446691</v>
          </cell>
          <cell r="AH5325">
            <v>0</v>
          </cell>
          <cell r="AI5325">
            <v>267921869</v>
          </cell>
        </row>
        <row r="5326">
          <cell r="A5326">
            <v>525011119</v>
          </cell>
          <cell r="C5326">
            <v>1218686713</v>
          </cell>
          <cell r="D5326">
            <v>626129103</v>
          </cell>
          <cell r="E5326">
            <v>35081971</v>
          </cell>
          <cell r="F5326">
            <v>195237495</v>
          </cell>
          <cell r="G5326">
            <v>1748817877</v>
          </cell>
          <cell r="H5326">
            <v>3228710095</v>
          </cell>
          <cell r="I5326">
            <v>565587809</v>
          </cell>
          <cell r="J5326">
            <v>219993855</v>
          </cell>
          <cell r="K5326">
            <v>112953272</v>
          </cell>
          <cell r="L5326">
            <v>30914674</v>
          </cell>
          <cell r="M5326">
            <v>103526146</v>
          </cell>
          <cell r="N5326">
            <v>1699149028</v>
          </cell>
          <cell r="O5326">
            <v>438434985</v>
          </cell>
          <cell r="P5326">
            <v>188891137</v>
          </cell>
          <cell r="Q5326">
            <v>378040852</v>
          </cell>
          <cell r="R5326">
            <v>437954888</v>
          </cell>
          <cell r="S5326">
            <v>94173361</v>
          </cell>
          <cell r="T5326">
            <v>871590821</v>
          </cell>
          <cell r="U5326">
            <v>0</v>
          </cell>
          <cell r="V5326">
            <v>1603673181</v>
          </cell>
          <cell r="W5326">
            <v>96111939</v>
          </cell>
          <cell r="X5326">
            <v>663845368</v>
          </cell>
          <cell r="Y5326">
            <v>74425639</v>
          </cell>
          <cell r="Z5326">
            <v>478814698</v>
          </cell>
          <cell r="AA5326">
            <v>184375924</v>
          </cell>
          <cell r="AB5326">
            <v>1743815148</v>
          </cell>
          <cell r="AC5326">
            <v>232838489</v>
          </cell>
          <cell r="AD5326">
            <v>881647324</v>
          </cell>
          <cell r="AE5326">
            <v>9261137996</v>
          </cell>
          <cell r="AF5326">
            <v>220692483</v>
          </cell>
          <cell r="AG5326">
            <v>451870220</v>
          </cell>
          <cell r="AH5326">
            <v>107886715</v>
          </cell>
          <cell r="AI5326">
            <v>431696</v>
          </cell>
        </row>
        <row r="5327">
          <cell r="A5327">
            <v>525011120</v>
          </cell>
          <cell r="C5327">
            <v>8727915</v>
          </cell>
          <cell r="D5327">
            <v>42201336</v>
          </cell>
          <cell r="E5327">
            <v>5115644</v>
          </cell>
          <cell r="F5327">
            <v>13528371</v>
          </cell>
          <cell r="G5327">
            <v>15367806</v>
          </cell>
          <cell r="H5327">
            <v>85435563</v>
          </cell>
          <cell r="I5327">
            <v>17570906</v>
          </cell>
          <cell r="J5327">
            <v>24484544</v>
          </cell>
          <cell r="K5327">
            <v>7723224</v>
          </cell>
          <cell r="L5327">
            <v>386756</v>
          </cell>
          <cell r="M5327">
            <v>0</v>
          </cell>
          <cell r="N5327">
            <v>59828808</v>
          </cell>
          <cell r="O5327">
            <v>24570986</v>
          </cell>
          <cell r="P5327">
            <v>14566500</v>
          </cell>
          <cell r="Q5327">
            <v>87956170</v>
          </cell>
          <cell r="R5327">
            <v>103091177</v>
          </cell>
          <cell r="S5327">
            <v>21831870</v>
          </cell>
          <cell r="T5327">
            <v>34047204</v>
          </cell>
          <cell r="U5327">
            <v>0</v>
          </cell>
          <cell r="V5327">
            <v>48041062</v>
          </cell>
          <cell r="W5327">
            <v>9504104</v>
          </cell>
          <cell r="X5327">
            <v>46381624</v>
          </cell>
          <cell r="Y5327">
            <v>0</v>
          </cell>
          <cell r="Z5327">
            <v>3312170</v>
          </cell>
          <cell r="AA5327">
            <v>4030028</v>
          </cell>
          <cell r="AB5327">
            <v>33940728</v>
          </cell>
          <cell r="AC5327">
            <v>1645455</v>
          </cell>
          <cell r="AD5327">
            <v>45607069</v>
          </cell>
          <cell r="AE5327">
            <v>172840972</v>
          </cell>
          <cell r="AF5327">
            <v>161320613</v>
          </cell>
          <cell r="AG5327">
            <v>25667031</v>
          </cell>
          <cell r="AH5327">
            <v>73411559</v>
          </cell>
          <cell r="AI5327">
            <v>62162785</v>
          </cell>
        </row>
        <row r="5328">
          <cell r="A5328">
            <v>525011121</v>
          </cell>
          <cell r="C5328">
            <v>0</v>
          </cell>
          <cell r="D5328">
            <v>465000</v>
          </cell>
          <cell r="E5328">
            <v>0</v>
          </cell>
          <cell r="F5328">
            <v>59259456</v>
          </cell>
          <cell r="G5328">
            <v>0</v>
          </cell>
          <cell r="H5328">
            <v>0</v>
          </cell>
          <cell r="I5328">
            <v>17504034</v>
          </cell>
          <cell r="J5328">
            <v>12159327</v>
          </cell>
          <cell r="K5328">
            <v>20677516</v>
          </cell>
          <cell r="L5328">
            <v>0</v>
          </cell>
          <cell r="M5328">
            <v>18242500</v>
          </cell>
          <cell r="N5328">
            <v>0</v>
          </cell>
          <cell r="O5328">
            <v>0</v>
          </cell>
          <cell r="P5328">
            <v>20567827</v>
          </cell>
          <cell r="Q5328">
            <v>0</v>
          </cell>
          <cell r="R5328">
            <v>0</v>
          </cell>
          <cell r="S5328">
            <v>0</v>
          </cell>
          <cell r="T5328">
            <v>5071698</v>
          </cell>
          <cell r="U5328">
            <v>37774799</v>
          </cell>
          <cell r="V5328">
            <v>296000</v>
          </cell>
          <cell r="W5328">
            <v>0</v>
          </cell>
          <cell r="X5328">
            <v>0</v>
          </cell>
          <cell r="Y5328">
            <v>882625</v>
          </cell>
          <cell r="Z5328">
            <v>0</v>
          </cell>
          <cell r="AA5328">
            <v>0</v>
          </cell>
          <cell r="AB5328">
            <v>3811500</v>
          </cell>
          <cell r="AC5328">
            <v>0</v>
          </cell>
          <cell r="AD5328">
            <v>0</v>
          </cell>
          <cell r="AE5328">
            <v>5405321</v>
          </cell>
          <cell r="AF5328">
            <v>2240000</v>
          </cell>
          <cell r="AG5328">
            <v>58905</v>
          </cell>
          <cell r="AH5328">
            <v>0</v>
          </cell>
          <cell r="AI5328">
            <v>0</v>
          </cell>
        </row>
        <row r="5329">
          <cell r="A5329">
            <v>525011122</v>
          </cell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450000</v>
          </cell>
          <cell r="O5329">
            <v>0</v>
          </cell>
          <cell r="P5329">
            <v>0</v>
          </cell>
          <cell r="Q5329">
            <v>0</v>
          </cell>
          <cell r="R5329">
            <v>0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  <cell r="AE5329">
            <v>0</v>
          </cell>
          <cell r="AF5329">
            <v>0</v>
          </cell>
          <cell r="AG5329">
            <v>0</v>
          </cell>
          <cell r="AH5329">
            <v>70000</v>
          </cell>
          <cell r="AI5329">
            <v>0</v>
          </cell>
        </row>
        <row r="5330">
          <cell r="A5330">
            <v>525011123</v>
          </cell>
          <cell r="C5330">
            <v>11347974</v>
          </cell>
          <cell r="D5330">
            <v>59502120</v>
          </cell>
          <cell r="E5330">
            <v>0</v>
          </cell>
          <cell r="F5330">
            <v>5745194</v>
          </cell>
          <cell r="G5330">
            <v>27991594</v>
          </cell>
          <cell r="H5330">
            <v>238510586</v>
          </cell>
          <cell r="I5330">
            <v>9455270</v>
          </cell>
          <cell r="J5330">
            <v>0</v>
          </cell>
          <cell r="K5330">
            <v>0</v>
          </cell>
          <cell r="L5330">
            <v>850819</v>
          </cell>
          <cell r="M5330">
            <v>62593277</v>
          </cell>
          <cell r="N5330">
            <v>0</v>
          </cell>
          <cell r="O5330">
            <v>50323074</v>
          </cell>
          <cell r="P5330">
            <v>12745345</v>
          </cell>
          <cell r="Q5330">
            <v>1087782</v>
          </cell>
          <cell r="R5330">
            <v>54008101</v>
          </cell>
          <cell r="S5330">
            <v>0</v>
          </cell>
          <cell r="T5330">
            <v>41543852</v>
          </cell>
          <cell r="U5330">
            <v>0</v>
          </cell>
          <cell r="V5330">
            <v>86032767</v>
          </cell>
          <cell r="W5330">
            <v>4413212</v>
          </cell>
          <cell r="X5330">
            <v>19391290</v>
          </cell>
          <cell r="Y5330">
            <v>793363</v>
          </cell>
          <cell r="Z5330">
            <v>394545</v>
          </cell>
          <cell r="AA5330">
            <v>0</v>
          </cell>
          <cell r="AB5330">
            <v>13010680</v>
          </cell>
          <cell r="AC5330">
            <v>0</v>
          </cell>
          <cell r="AD5330">
            <v>42479580</v>
          </cell>
          <cell r="AE5330">
            <v>245040804</v>
          </cell>
          <cell r="AF5330">
            <v>188387394</v>
          </cell>
          <cell r="AG5330">
            <v>64696584</v>
          </cell>
          <cell r="AH5330">
            <v>94629603</v>
          </cell>
          <cell r="AI5330">
            <v>232858134</v>
          </cell>
        </row>
        <row r="5331">
          <cell r="A5331">
            <v>525011124</v>
          </cell>
          <cell r="C5331">
            <v>3522724</v>
          </cell>
          <cell r="D5331">
            <v>0</v>
          </cell>
          <cell r="E5331">
            <v>2991909</v>
          </cell>
          <cell r="F5331">
            <v>0</v>
          </cell>
          <cell r="G5331">
            <v>6116364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70000</v>
          </cell>
          <cell r="M5331">
            <v>0</v>
          </cell>
          <cell r="N5331">
            <v>0</v>
          </cell>
          <cell r="O5331">
            <v>760000</v>
          </cell>
          <cell r="P5331">
            <v>2300845</v>
          </cell>
          <cell r="Q5331">
            <v>0</v>
          </cell>
          <cell r="R5331">
            <v>0</v>
          </cell>
          <cell r="S5331">
            <v>0</v>
          </cell>
          <cell r="T5331">
            <v>118182</v>
          </cell>
          <cell r="U5331">
            <v>0</v>
          </cell>
          <cell r="V5331">
            <v>0</v>
          </cell>
          <cell r="W5331">
            <v>696183</v>
          </cell>
          <cell r="X5331">
            <v>7160908</v>
          </cell>
          <cell r="Y5331">
            <v>0</v>
          </cell>
          <cell r="Z5331">
            <v>1275455</v>
          </cell>
          <cell r="AA5331">
            <v>0</v>
          </cell>
          <cell r="AB5331">
            <v>8200004</v>
          </cell>
          <cell r="AC5331">
            <v>0</v>
          </cell>
          <cell r="AD5331">
            <v>0</v>
          </cell>
          <cell r="AE5331">
            <v>0</v>
          </cell>
          <cell r="AF5331">
            <v>693500</v>
          </cell>
          <cell r="AG5331">
            <v>0</v>
          </cell>
          <cell r="AH5331">
            <v>0</v>
          </cell>
          <cell r="AI5331">
            <v>4318644</v>
          </cell>
        </row>
        <row r="5332">
          <cell r="A5332">
            <v>525011125</v>
          </cell>
          <cell r="C5332">
            <v>4545164</v>
          </cell>
          <cell r="D5332">
            <v>12369631</v>
          </cell>
          <cell r="E5332">
            <v>2413828</v>
          </cell>
          <cell r="F5332">
            <v>6213531</v>
          </cell>
          <cell r="G5332">
            <v>46683704</v>
          </cell>
          <cell r="H5332">
            <v>125128371</v>
          </cell>
          <cell r="I5332">
            <v>18517934</v>
          </cell>
          <cell r="J5332">
            <v>0</v>
          </cell>
          <cell r="K5332">
            <v>16706461</v>
          </cell>
          <cell r="L5332">
            <v>0</v>
          </cell>
          <cell r="M5332">
            <v>5981152</v>
          </cell>
          <cell r="N5332">
            <v>0</v>
          </cell>
          <cell r="O5332">
            <v>21557339</v>
          </cell>
          <cell r="P5332">
            <v>61555203</v>
          </cell>
          <cell r="Q5332">
            <v>58343577</v>
          </cell>
          <cell r="R5332">
            <v>11883905</v>
          </cell>
          <cell r="S5332">
            <v>3250000</v>
          </cell>
          <cell r="T5332">
            <v>5616931</v>
          </cell>
          <cell r="U5332">
            <v>6285851</v>
          </cell>
          <cell r="V5332">
            <v>0</v>
          </cell>
          <cell r="W5332">
            <v>123600825</v>
          </cell>
          <cell r="X5332">
            <v>5993773</v>
          </cell>
          <cell r="Y5332">
            <v>38199148</v>
          </cell>
          <cell r="Z5332">
            <v>62549463</v>
          </cell>
          <cell r="AA5332">
            <v>0</v>
          </cell>
          <cell r="AB5332">
            <v>68148516</v>
          </cell>
          <cell r="AC5332">
            <v>17125980</v>
          </cell>
          <cell r="AD5332">
            <v>0</v>
          </cell>
          <cell r="AE5332">
            <v>132605080</v>
          </cell>
          <cell r="AF5332">
            <v>20751706</v>
          </cell>
          <cell r="AG5332">
            <v>25851977</v>
          </cell>
          <cell r="AH5332">
            <v>105954205</v>
          </cell>
          <cell r="AI5332">
            <v>34597</v>
          </cell>
        </row>
        <row r="5333">
          <cell r="A5333">
            <v>525011126</v>
          </cell>
          <cell r="C5333">
            <v>54545</v>
          </cell>
          <cell r="D5333">
            <v>1218209</v>
          </cell>
          <cell r="E5333">
            <v>1708000</v>
          </cell>
          <cell r="F5333">
            <v>4379730</v>
          </cell>
          <cell r="G5333">
            <v>11749300</v>
          </cell>
          <cell r="H5333">
            <v>5923181</v>
          </cell>
          <cell r="I5333">
            <v>0</v>
          </cell>
          <cell r="J5333">
            <v>0</v>
          </cell>
          <cell r="K5333">
            <v>2987000</v>
          </cell>
          <cell r="L5333">
            <v>2724000</v>
          </cell>
          <cell r="M5333">
            <v>31000</v>
          </cell>
          <cell r="N5333">
            <v>0</v>
          </cell>
          <cell r="O5333">
            <v>4462818</v>
          </cell>
          <cell r="P5333">
            <v>5528318</v>
          </cell>
          <cell r="Q5333">
            <v>3495227</v>
          </cell>
          <cell r="R5333">
            <v>451820</v>
          </cell>
          <cell r="S5333">
            <v>0</v>
          </cell>
          <cell r="T5333">
            <v>4492363</v>
          </cell>
          <cell r="U5333">
            <v>500000</v>
          </cell>
          <cell r="V5333">
            <v>5498991</v>
          </cell>
          <cell r="W5333">
            <v>3011363</v>
          </cell>
          <cell r="X5333">
            <v>6222392</v>
          </cell>
          <cell r="Y5333">
            <v>2105818</v>
          </cell>
          <cell r="Z5333">
            <v>120000</v>
          </cell>
          <cell r="AA5333">
            <v>771819</v>
          </cell>
          <cell r="AB5333">
            <v>2880182</v>
          </cell>
          <cell r="AC5333">
            <v>110000</v>
          </cell>
          <cell r="AD5333">
            <v>10080346</v>
          </cell>
          <cell r="AE5333">
            <v>12170818</v>
          </cell>
          <cell r="AF5333">
            <v>2137000</v>
          </cell>
          <cell r="AG5333">
            <v>616200</v>
          </cell>
          <cell r="AH5333">
            <v>6823818</v>
          </cell>
          <cell r="AI5333">
            <v>3846000</v>
          </cell>
        </row>
        <row r="5334">
          <cell r="A5334">
            <v>525011127</v>
          </cell>
          <cell r="C5334">
            <v>9505045</v>
          </cell>
          <cell r="D5334">
            <v>29121574</v>
          </cell>
          <cell r="E5334">
            <v>19997070</v>
          </cell>
          <cell r="F5334">
            <v>2143376</v>
          </cell>
          <cell r="G5334">
            <v>110034097</v>
          </cell>
          <cell r="H5334">
            <v>0</v>
          </cell>
          <cell r="I5334">
            <v>366513</v>
          </cell>
          <cell r="J5334">
            <v>0</v>
          </cell>
          <cell r="K5334">
            <v>0</v>
          </cell>
          <cell r="L5334">
            <v>38421809</v>
          </cell>
          <cell r="M5334">
            <v>2052977</v>
          </cell>
          <cell r="N5334">
            <v>0</v>
          </cell>
          <cell r="O5334">
            <v>578061</v>
          </cell>
          <cell r="P5334">
            <v>538180</v>
          </cell>
          <cell r="Q5334">
            <v>0</v>
          </cell>
          <cell r="R5334">
            <v>4409481</v>
          </cell>
          <cell r="S5334">
            <v>0</v>
          </cell>
          <cell r="T5334">
            <v>63479620</v>
          </cell>
          <cell r="U5334">
            <v>19301065</v>
          </cell>
          <cell r="V5334">
            <v>528730903</v>
          </cell>
          <cell r="W5334">
            <v>524485</v>
          </cell>
          <cell r="X5334">
            <v>2670276</v>
          </cell>
          <cell r="Y5334">
            <v>83072</v>
          </cell>
          <cell r="Z5334">
            <v>109423</v>
          </cell>
          <cell r="AA5334">
            <v>319358</v>
          </cell>
          <cell r="AB5334">
            <v>183920929</v>
          </cell>
          <cell r="AC5334">
            <v>2725913</v>
          </cell>
          <cell r="AD5334">
            <v>8556315</v>
          </cell>
          <cell r="AE5334">
            <v>0</v>
          </cell>
          <cell r="AF5334">
            <v>0</v>
          </cell>
          <cell r="AG5334">
            <v>0</v>
          </cell>
          <cell r="AH5334">
            <v>22675451</v>
          </cell>
          <cell r="AI5334">
            <v>4751323</v>
          </cell>
        </row>
        <row r="5335">
          <cell r="A5335">
            <v>525011128</v>
          </cell>
          <cell r="C5335">
            <v>0</v>
          </cell>
          <cell r="D5335">
            <v>30273725</v>
          </cell>
          <cell r="E5335">
            <v>14934121</v>
          </cell>
          <cell r="F5335">
            <v>2205868</v>
          </cell>
          <cell r="G5335">
            <v>43530270</v>
          </cell>
          <cell r="H5335">
            <v>0</v>
          </cell>
          <cell r="I5335">
            <v>24151005</v>
          </cell>
          <cell r="J5335">
            <v>0</v>
          </cell>
          <cell r="K5335">
            <v>9081188</v>
          </cell>
          <cell r="L5335">
            <v>5805266</v>
          </cell>
          <cell r="M5335">
            <v>12066455</v>
          </cell>
          <cell r="N5335">
            <v>0</v>
          </cell>
          <cell r="O5335">
            <v>69868706</v>
          </cell>
          <cell r="P5335">
            <v>15762929</v>
          </cell>
          <cell r="Q5335">
            <v>0</v>
          </cell>
          <cell r="R5335">
            <v>0</v>
          </cell>
          <cell r="S5335">
            <v>0</v>
          </cell>
          <cell r="T5335">
            <v>82007356</v>
          </cell>
          <cell r="U5335">
            <v>1055000</v>
          </cell>
          <cell r="V5335">
            <v>32021176</v>
          </cell>
          <cell r="W5335">
            <v>29774997</v>
          </cell>
          <cell r="X5335">
            <v>0</v>
          </cell>
          <cell r="Y5335">
            <v>10277407</v>
          </cell>
          <cell r="Z5335">
            <v>11981894</v>
          </cell>
          <cell r="AA5335">
            <v>0</v>
          </cell>
          <cell r="AB5335">
            <v>45583370</v>
          </cell>
          <cell r="AC5335">
            <v>5432865</v>
          </cell>
          <cell r="AD5335">
            <v>47967973</v>
          </cell>
          <cell r="AE5335">
            <v>0</v>
          </cell>
          <cell r="AF5335">
            <v>0</v>
          </cell>
          <cell r="AG5335">
            <v>0</v>
          </cell>
          <cell r="AH5335">
            <v>15040504</v>
          </cell>
          <cell r="AI5335">
            <v>20262845</v>
          </cell>
        </row>
        <row r="5336">
          <cell r="A5336">
            <v>525011129</v>
          </cell>
          <cell r="C5336">
            <v>10736052</v>
          </cell>
          <cell r="D5336">
            <v>0</v>
          </cell>
          <cell r="E5336">
            <v>0</v>
          </cell>
          <cell r="F5336">
            <v>0</v>
          </cell>
          <cell r="G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949512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R5336">
            <v>88665600</v>
          </cell>
          <cell r="S5336">
            <v>0</v>
          </cell>
          <cell r="T5336">
            <v>0</v>
          </cell>
          <cell r="U5336">
            <v>95000</v>
          </cell>
          <cell r="V5336">
            <v>235674</v>
          </cell>
          <cell r="W5336">
            <v>0</v>
          </cell>
          <cell r="X5336">
            <v>590886</v>
          </cell>
          <cell r="Y5336">
            <v>0</v>
          </cell>
          <cell r="Z5336">
            <v>3255195</v>
          </cell>
          <cell r="AA5336">
            <v>0</v>
          </cell>
          <cell r="AB5336">
            <v>469476</v>
          </cell>
          <cell r="AC5336">
            <v>3235795</v>
          </cell>
          <cell r="AD5336">
            <v>0</v>
          </cell>
          <cell r="AE5336">
            <v>0</v>
          </cell>
          <cell r="AF5336">
            <v>172547</v>
          </cell>
          <cell r="AG5336">
            <v>0</v>
          </cell>
          <cell r="AH5336">
            <v>21144222</v>
          </cell>
          <cell r="AI5336">
            <v>0</v>
          </cell>
        </row>
        <row r="5337">
          <cell r="A5337">
            <v>525011198</v>
          </cell>
          <cell r="C5337">
            <v>0</v>
          </cell>
          <cell r="D5337">
            <v>105426100</v>
          </cell>
          <cell r="E5337">
            <v>148800494</v>
          </cell>
          <cell r="F5337">
            <v>144714506</v>
          </cell>
          <cell r="G5337">
            <v>732617897</v>
          </cell>
          <cell r="H5337">
            <v>166116094</v>
          </cell>
          <cell r="I5337">
            <v>166116077</v>
          </cell>
          <cell r="J5337">
            <v>0</v>
          </cell>
          <cell r="K5337">
            <v>168076746</v>
          </cell>
          <cell r="L5337">
            <v>166371982</v>
          </cell>
          <cell r="M5337">
            <v>172878582</v>
          </cell>
          <cell r="N5337">
            <v>0</v>
          </cell>
          <cell r="O5337">
            <v>109273734</v>
          </cell>
          <cell r="P5337">
            <v>166116306</v>
          </cell>
          <cell r="Q5337">
            <v>0</v>
          </cell>
          <cell r="R5337">
            <v>137674222</v>
          </cell>
          <cell r="S5337">
            <v>0</v>
          </cell>
          <cell r="T5337">
            <v>144642662</v>
          </cell>
          <cell r="U5337">
            <v>0</v>
          </cell>
          <cell r="V5337">
            <v>0</v>
          </cell>
          <cell r="W5337">
            <v>166729701</v>
          </cell>
          <cell r="X5337">
            <v>166116077</v>
          </cell>
          <cell r="Y5337">
            <v>686772773</v>
          </cell>
          <cell r="Z5337">
            <v>167196077</v>
          </cell>
          <cell r="AA5337">
            <v>137674130</v>
          </cell>
          <cell r="AB5337">
            <v>199595210</v>
          </cell>
          <cell r="AC5337">
            <v>0</v>
          </cell>
          <cell r="AD5337">
            <v>0</v>
          </cell>
          <cell r="AE5337">
            <v>0</v>
          </cell>
          <cell r="AF5337">
            <v>57313987</v>
          </cell>
          <cell r="AG5337">
            <v>0</v>
          </cell>
          <cell r="AH5337">
            <v>0</v>
          </cell>
          <cell r="AI5337">
            <v>0</v>
          </cell>
        </row>
        <row r="5338">
          <cell r="A5338">
            <v>525011199</v>
          </cell>
          <cell r="C5338">
            <v>176297456</v>
          </cell>
          <cell r="D5338">
            <v>7460722</v>
          </cell>
          <cell r="E5338">
            <v>24348850</v>
          </cell>
          <cell r="F5338">
            <v>204617762</v>
          </cell>
          <cell r="G5338">
            <v>81387779</v>
          </cell>
          <cell r="H5338">
            <v>2994541123</v>
          </cell>
          <cell r="I5338">
            <v>75000000</v>
          </cell>
          <cell r="J5338">
            <v>242186403</v>
          </cell>
          <cell r="K5338">
            <v>5991262</v>
          </cell>
          <cell r="L5338">
            <v>4294360</v>
          </cell>
          <cell r="M5338">
            <v>9856811</v>
          </cell>
          <cell r="N5338">
            <v>72239520</v>
          </cell>
          <cell r="O5338">
            <v>235793999</v>
          </cell>
          <cell r="P5338">
            <v>0</v>
          </cell>
          <cell r="Q5338">
            <v>202195806</v>
          </cell>
          <cell r="R5338">
            <v>88242019</v>
          </cell>
          <cell r="S5338">
            <v>276136261</v>
          </cell>
          <cell r="T5338">
            <v>554086759</v>
          </cell>
          <cell r="U5338">
            <v>1971548</v>
          </cell>
          <cell r="V5338">
            <v>82111751</v>
          </cell>
          <cell r="W5338">
            <v>17408478</v>
          </cell>
          <cell r="X5338">
            <v>58107252</v>
          </cell>
          <cell r="Y5338">
            <v>9672021</v>
          </cell>
          <cell r="Z5338">
            <v>49555561</v>
          </cell>
          <cell r="AA5338">
            <v>133078079</v>
          </cell>
          <cell r="AB5338">
            <v>82058725</v>
          </cell>
          <cell r="AC5338">
            <v>175778908</v>
          </cell>
          <cell r="AD5338">
            <v>195812560</v>
          </cell>
          <cell r="AE5338">
            <v>2657584133</v>
          </cell>
          <cell r="AF5338">
            <v>84951407</v>
          </cell>
          <cell r="AG5338">
            <v>179416664</v>
          </cell>
          <cell r="AH5338">
            <v>165240580</v>
          </cell>
          <cell r="AI5338">
            <v>128784327</v>
          </cell>
        </row>
        <row r="5339">
          <cell r="A5339">
            <v>526000000</v>
          </cell>
          <cell r="C5339">
            <v>2336357347</v>
          </cell>
          <cell r="D5339">
            <v>2249582218</v>
          </cell>
          <cell r="E5339">
            <v>1656733604</v>
          </cell>
          <cell r="F5339">
            <v>390706260</v>
          </cell>
          <cell r="G5339">
            <v>1306999595</v>
          </cell>
          <cell r="H5339">
            <v>3033410942</v>
          </cell>
          <cell r="I5339">
            <v>624524952</v>
          </cell>
          <cell r="J5339">
            <v>417395844</v>
          </cell>
          <cell r="K5339">
            <v>45308101</v>
          </cell>
          <cell r="L5339">
            <v>183045603</v>
          </cell>
          <cell r="M5339">
            <v>466426091</v>
          </cell>
          <cell r="N5339">
            <v>2134604254</v>
          </cell>
          <cell r="O5339">
            <v>1082018410</v>
          </cell>
          <cell r="P5339">
            <v>470416473</v>
          </cell>
          <cell r="Q5339">
            <v>307502385</v>
          </cell>
          <cell r="R5339">
            <v>337198429</v>
          </cell>
          <cell r="S5339">
            <v>258593719</v>
          </cell>
          <cell r="T5339">
            <v>1344394043</v>
          </cell>
          <cell r="U5339">
            <v>24747300</v>
          </cell>
          <cell r="V5339">
            <v>30837675</v>
          </cell>
          <cell r="W5339">
            <v>365936910</v>
          </cell>
          <cell r="X5339">
            <v>1117273455</v>
          </cell>
          <cell r="Y5339">
            <v>315347323</v>
          </cell>
          <cell r="Z5339">
            <v>338987399</v>
          </cell>
          <cell r="AA5339">
            <v>261779256</v>
          </cell>
          <cell r="AB5339">
            <v>920446228</v>
          </cell>
          <cell r="AC5339">
            <v>226695732</v>
          </cell>
          <cell r="AD5339">
            <v>1135789256</v>
          </cell>
          <cell r="AE5339">
            <v>4308504251</v>
          </cell>
          <cell r="AF5339">
            <v>916782317</v>
          </cell>
          <cell r="AG5339">
            <v>256662055</v>
          </cell>
          <cell r="AH5339">
            <v>276877415</v>
          </cell>
          <cell r="AI5339">
            <v>2166271149</v>
          </cell>
        </row>
        <row r="5340">
          <cell r="A5340">
            <v>526010000</v>
          </cell>
          <cell r="C5340">
            <v>0</v>
          </cell>
          <cell r="D5340">
            <v>0</v>
          </cell>
          <cell r="E5340">
            <v>0</v>
          </cell>
          <cell r="F5340">
            <v>21611301</v>
          </cell>
          <cell r="G5340">
            <v>0</v>
          </cell>
          <cell r="H5340">
            <v>0</v>
          </cell>
          <cell r="I5340">
            <v>21240751</v>
          </cell>
          <cell r="J5340">
            <v>0</v>
          </cell>
          <cell r="K5340">
            <v>0</v>
          </cell>
          <cell r="L5340">
            <v>4951804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R5340">
            <v>20477060</v>
          </cell>
          <cell r="S5340">
            <v>0</v>
          </cell>
          <cell r="T5340">
            <v>0</v>
          </cell>
          <cell r="U5340">
            <v>0</v>
          </cell>
          <cell r="V5340">
            <v>21063475</v>
          </cell>
          <cell r="W5340">
            <v>82472790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  <cell r="AE5340">
            <v>0</v>
          </cell>
          <cell r="AF5340">
            <v>0</v>
          </cell>
          <cell r="AG5340">
            <v>0</v>
          </cell>
          <cell r="AH5340">
            <v>0</v>
          </cell>
          <cell r="AI5340">
            <v>0</v>
          </cell>
        </row>
        <row r="5341">
          <cell r="A5341">
            <v>526010100</v>
          </cell>
          <cell r="C5341">
            <v>0</v>
          </cell>
          <cell r="D5341">
            <v>0</v>
          </cell>
          <cell r="E5341">
            <v>0</v>
          </cell>
          <cell r="F5341">
            <v>21611301</v>
          </cell>
          <cell r="G5341">
            <v>0</v>
          </cell>
          <cell r="H5341">
            <v>0</v>
          </cell>
          <cell r="I5341">
            <v>21240751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66000000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0</v>
          </cell>
          <cell r="AC5341">
            <v>0</v>
          </cell>
          <cell r="AD5341">
            <v>0</v>
          </cell>
          <cell r="AE5341">
            <v>0</v>
          </cell>
          <cell r="AF5341">
            <v>0</v>
          </cell>
          <cell r="AG5341">
            <v>0</v>
          </cell>
          <cell r="AH5341">
            <v>0</v>
          </cell>
          <cell r="AI5341">
            <v>0</v>
          </cell>
        </row>
        <row r="5342">
          <cell r="A5342">
            <v>526010101</v>
          </cell>
          <cell r="C5342">
            <v>0</v>
          </cell>
          <cell r="D5342">
            <v>0</v>
          </cell>
          <cell r="E5342">
            <v>0</v>
          </cell>
          <cell r="F5342">
            <v>21611301</v>
          </cell>
          <cell r="G5342">
            <v>0</v>
          </cell>
          <cell r="H5342">
            <v>0</v>
          </cell>
          <cell r="I5342">
            <v>21240751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66000000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0</v>
          </cell>
          <cell r="AE5342">
            <v>0</v>
          </cell>
          <cell r="AF5342">
            <v>0</v>
          </cell>
          <cell r="AG5342">
            <v>0</v>
          </cell>
          <cell r="AH5342">
            <v>0</v>
          </cell>
          <cell r="AI5342">
            <v>0</v>
          </cell>
        </row>
        <row r="5343">
          <cell r="A5343">
            <v>526010200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4951804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346</v>
          </cell>
          <cell r="S5343">
            <v>0</v>
          </cell>
          <cell r="T5343">
            <v>0</v>
          </cell>
          <cell r="U5343">
            <v>0</v>
          </cell>
          <cell r="V5343">
            <v>21063475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  <cell r="AC5343">
            <v>0</v>
          </cell>
          <cell r="AD5343">
            <v>0</v>
          </cell>
          <cell r="AE5343">
            <v>0</v>
          </cell>
          <cell r="AF5343">
            <v>0</v>
          </cell>
          <cell r="AG5343">
            <v>0</v>
          </cell>
          <cell r="AH5343">
            <v>0</v>
          </cell>
          <cell r="AI5343">
            <v>0</v>
          </cell>
        </row>
        <row r="5344">
          <cell r="A5344">
            <v>526010201</v>
          </cell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346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  <cell r="AE5344">
            <v>0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</row>
        <row r="5345">
          <cell r="A5345">
            <v>526010202</v>
          </cell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0</v>
          </cell>
          <cell r="V5345">
            <v>21063475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  <cell r="AE5345">
            <v>0</v>
          </cell>
          <cell r="AF5345">
            <v>0</v>
          </cell>
          <cell r="AG5345">
            <v>0</v>
          </cell>
          <cell r="AH5345">
            <v>0</v>
          </cell>
          <cell r="AI5345">
            <v>0</v>
          </cell>
        </row>
        <row r="5346">
          <cell r="A5346">
            <v>526010203</v>
          </cell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0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  <cell r="AE5346">
            <v>0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</row>
        <row r="5347">
          <cell r="A5347">
            <v>526010204</v>
          </cell>
          <cell r="C5347">
            <v>0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4951804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R5347">
            <v>0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  <cell r="AE5347">
            <v>0</v>
          </cell>
          <cell r="AF5347">
            <v>0</v>
          </cell>
          <cell r="AG5347">
            <v>0</v>
          </cell>
          <cell r="AH5347">
            <v>0</v>
          </cell>
          <cell r="AI5347">
            <v>0</v>
          </cell>
        </row>
        <row r="5348">
          <cell r="A5348">
            <v>526013000</v>
          </cell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20476714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16472790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  <cell r="AE5348">
            <v>0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</row>
        <row r="5349">
          <cell r="A5349">
            <v>526013001</v>
          </cell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R5349">
            <v>20476714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16472790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0</v>
          </cell>
          <cell r="AE5349">
            <v>0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</row>
        <row r="5350">
          <cell r="A5350">
            <v>526020000</v>
          </cell>
          <cell r="C5350">
            <v>0</v>
          </cell>
          <cell r="D5350">
            <v>22596</v>
          </cell>
          <cell r="E5350">
            <v>22596</v>
          </cell>
          <cell r="F5350">
            <v>22596</v>
          </cell>
          <cell r="G5350">
            <v>12272727</v>
          </cell>
          <cell r="H5350">
            <v>0</v>
          </cell>
          <cell r="I5350">
            <v>0</v>
          </cell>
          <cell r="J5350">
            <v>22596</v>
          </cell>
          <cell r="K5350">
            <v>0</v>
          </cell>
          <cell r="L5350">
            <v>1158960</v>
          </cell>
          <cell r="M5350">
            <v>0</v>
          </cell>
          <cell r="N5350">
            <v>0</v>
          </cell>
          <cell r="O5350">
            <v>22596</v>
          </cell>
          <cell r="P5350">
            <v>22600</v>
          </cell>
          <cell r="Q5350">
            <v>22596</v>
          </cell>
          <cell r="R5350">
            <v>547596</v>
          </cell>
          <cell r="S5350">
            <v>22596</v>
          </cell>
          <cell r="T5350">
            <v>22596</v>
          </cell>
          <cell r="U5350">
            <v>0</v>
          </cell>
          <cell r="V5350">
            <v>48700</v>
          </cell>
          <cell r="W5350">
            <v>1125000</v>
          </cell>
          <cell r="X5350">
            <v>22596</v>
          </cell>
          <cell r="Y5350">
            <v>22596</v>
          </cell>
          <cell r="Z5350">
            <v>22596</v>
          </cell>
          <cell r="AA5350">
            <v>22596</v>
          </cell>
          <cell r="AB5350">
            <v>0</v>
          </cell>
          <cell r="AC5350">
            <v>22596</v>
          </cell>
          <cell r="AD5350">
            <v>22596</v>
          </cell>
          <cell r="AE5350">
            <v>0</v>
          </cell>
          <cell r="AF5350">
            <v>997596</v>
          </cell>
          <cell r="AG5350">
            <v>22596</v>
          </cell>
          <cell r="AH5350">
            <v>0</v>
          </cell>
          <cell r="AI5350">
            <v>0</v>
          </cell>
        </row>
        <row r="5351">
          <cell r="A5351">
            <v>526020100</v>
          </cell>
          <cell r="C5351">
            <v>0</v>
          </cell>
          <cell r="D5351">
            <v>22596</v>
          </cell>
          <cell r="E5351">
            <v>22596</v>
          </cell>
          <cell r="F5351">
            <v>22596</v>
          </cell>
          <cell r="G5351">
            <v>12272727</v>
          </cell>
          <cell r="H5351">
            <v>0</v>
          </cell>
          <cell r="I5351">
            <v>0</v>
          </cell>
          <cell r="J5351">
            <v>22596</v>
          </cell>
          <cell r="K5351">
            <v>0</v>
          </cell>
          <cell r="L5351">
            <v>1158960</v>
          </cell>
          <cell r="M5351">
            <v>0</v>
          </cell>
          <cell r="N5351">
            <v>0</v>
          </cell>
          <cell r="O5351">
            <v>22596</v>
          </cell>
          <cell r="P5351">
            <v>22600</v>
          </cell>
          <cell r="Q5351">
            <v>22596</v>
          </cell>
          <cell r="R5351">
            <v>547596</v>
          </cell>
          <cell r="S5351">
            <v>22596</v>
          </cell>
          <cell r="T5351">
            <v>22596</v>
          </cell>
          <cell r="U5351">
            <v>0</v>
          </cell>
          <cell r="V5351">
            <v>48700</v>
          </cell>
          <cell r="W5351">
            <v>1125000</v>
          </cell>
          <cell r="X5351">
            <v>22596</v>
          </cell>
          <cell r="Y5351">
            <v>22596</v>
          </cell>
          <cell r="Z5351">
            <v>22596</v>
          </cell>
          <cell r="AA5351">
            <v>22596</v>
          </cell>
          <cell r="AB5351">
            <v>0</v>
          </cell>
          <cell r="AC5351">
            <v>22596</v>
          </cell>
          <cell r="AD5351">
            <v>22596</v>
          </cell>
          <cell r="AE5351">
            <v>0</v>
          </cell>
          <cell r="AF5351">
            <v>997596</v>
          </cell>
          <cell r="AG5351">
            <v>22596</v>
          </cell>
          <cell r="AH5351">
            <v>0</v>
          </cell>
          <cell r="AI5351">
            <v>0</v>
          </cell>
        </row>
        <row r="5352">
          <cell r="A5352">
            <v>526020101</v>
          </cell>
          <cell r="C5352">
            <v>0</v>
          </cell>
          <cell r="D5352">
            <v>22596</v>
          </cell>
          <cell r="E5352">
            <v>22596</v>
          </cell>
          <cell r="F5352">
            <v>22596</v>
          </cell>
          <cell r="G5352">
            <v>12272727</v>
          </cell>
          <cell r="H5352">
            <v>0</v>
          </cell>
          <cell r="I5352">
            <v>0</v>
          </cell>
          <cell r="J5352">
            <v>22596</v>
          </cell>
          <cell r="K5352">
            <v>0</v>
          </cell>
          <cell r="L5352">
            <v>1158960</v>
          </cell>
          <cell r="M5352">
            <v>0</v>
          </cell>
          <cell r="N5352">
            <v>0</v>
          </cell>
          <cell r="O5352">
            <v>22596</v>
          </cell>
          <cell r="P5352">
            <v>22600</v>
          </cell>
          <cell r="Q5352">
            <v>22596</v>
          </cell>
          <cell r="R5352">
            <v>547596</v>
          </cell>
          <cell r="S5352">
            <v>22596</v>
          </cell>
          <cell r="T5352">
            <v>22596</v>
          </cell>
          <cell r="U5352">
            <v>0</v>
          </cell>
          <cell r="V5352">
            <v>48700</v>
          </cell>
          <cell r="W5352">
            <v>1125000</v>
          </cell>
          <cell r="X5352">
            <v>22596</v>
          </cell>
          <cell r="Y5352">
            <v>22596</v>
          </cell>
          <cell r="Z5352">
            <v>22596</v>
          </cell>
          <cell r="AA5352">
            <v>22596</v>
          </cell>
          <cell r="AB5352">
            <v>0</v>
          </cell>
          <cell r="AC5352">
            <v>22596</v>
          </cell>
          <cell r="AD5352">
            <v>22596</v>
          </cell>
          <cell r="AE5352">
            <v>0</v>
          </cell>
          <cell r="AF5352">
            <v>997596</v>
          </cell>
          <cell r="AG5352">
            <v>22596</v>
          </cell>
          <cell r="AH5352">
            <v>0</v>
          </cell>
          <cell r="AI5352">
            <v>0</v>
          </cell>
        </row>
        <row r="5353">
          <cell r="A5353">
            <v>526020200</v>
          </cell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R5353">
            <v>0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  <cell r="AE5353">
            <v>0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</row>
        <row r="5354">
          <cell r="A5354">
            <v>526020201</v>
          </cell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0</v>
          </cell>
          <cell r="AE5354">
            <v>0</v>
          </cell>
          <cell r="AF5354">
            <v>0</v>
          </cell>
          <cell r="AG5354">
            <v>0</v>
          </cell>
          <cell r="AH5354">
            <v>0</v>
          </cell>
          <cell r="AI5354">
            <v>0</v>
          </cell>
        </row>
        <row r="5355">
          <cell r="A5355">
            <v>526020202</v>
          </cell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0</v>
          </cell>
          <cell r="AE5355">
            <v>0</v>
          </cell>
          <cell r="AF5355">
            <v>0</v>
          </cell>
          <cell r="AG5355">
            <v>0</v>
          </cell>
          <cell r="AH5355">
            <v>0</v>
          </cell>
          <cell r="AI5355">
            <v>0</v>
          </cell>
        </row>
        <row r="5356">
          <cell r="A5356">
            <v>526020203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  <cell r="AE5356">
            <v>0</v>
          </cell>
          <cell r="AF5356">
            <v>0</v>
          </cell>
          <cell r="AG5356">
            <v>0</v>
          </cell>
          <cell r="AH5356">
            <v>0</v>
          </cell>
          <cell r="AI5356">
            <v>0</v>
          </cell>
        </row>
        <row r="5357">
          <cell r="A5357">
            <v>526020204</v>
          </cell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G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  <cell r="AE5357">
            <v>0</v>
          </cell>
          <cell r="AF5357">
            <v>0</v>
          </cell>
          <cell r="AG5357">
            <v>0</v>
          </cell>
          <cell r="AH5357">
            <v>0</v>
          </cell>
          <cell r="AI5357">
            <v>0</v>
          </cell>
        </row>
        <row r="5358">
          <cell r="A5358">
            <v>526020205</v>
          </cell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  <cell r="AE5358">
            <v>0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</row>
        <row r="5359">
          <cell r="A5359">
            <v>526023000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0</v>
          </cell>
          <cell r="AE5359">
            <v>0</v>
          </cell>
          <cell r="AF5359">
            <v>0</v>
          </cell>
          <cell r="AG5359">
            <v>0</v>
          </cell>
          <cell r="AH5359">
            <v>0</v>
          </cell>
          <cell r="AI5359">
            <v>0</v>
          </cell>
        </row>
        <row r="5360">
          <cell r="A5360">
            <v>526023001</v>
          </cell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R5360">
            <v>0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0</v>
          </cell>
          <cell r="AE5360">
            <v>0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</row>
        <row r="5361">
          <cell r="A5361">
            <v>526030000</v>
          </cell>
          <cell r="C5361">
            <v>0</v>
          </cell>
          <cell r="D5361">
            <v>0</v>
          </cell>
          <cell r="E5361">
            <v>0</v>
          </cell>
          <cell r="F5361">
            <v>2503012</v>
          </cell>
          <cell r="G5361">
            <v>11298116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115747200</v>
          </cell>
          <cell r="AD5361">
            <v>0</v>
          </cell>
          <cell r="AE5361">
            <v>0</v>
          </cell>
          <cell r="AF5361">
            <v>0</v>
          </cell>
          <cell r="AG5361">
            <v>0</v>
          </cell>
          <cell r="AH5361">
            <v>0</v>
          </cell>
          <cell r="AI5361">
            <v>0</v>
          </cell>
        </row>
        <row r="5362">
          <cell r="A5362">
            <v>526033000</v>
          </cell>
          <cell r="C5362">
            <v>0</v>
          </cell>
          <cell r="D5362">
            <v>0</v>
          </cell>
          <cell r="E5362">
            <v>0</v>
          </cell>
          <cell r="F5362">
            <v>2503012</v>
          </cell>
          <cell r="G5362">
            <v>11298116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115747200</v>
          </cell>
          <cell r="AD5362">
            <v>0</v>
          </cell>
          <cell r="AE5362">
            <v>0</v>
          </cell>
          <cell r="AF5362">
            <v>0</v>
          </cell>
          <cell r="AG5362">
            <v>0</v>
          </cell>
          <cell r="AH5362">
            <v>0</v>
          </cell>
          <cell r="AI5362">
            <v>0</v>
          </cell>
        </row>
        <row r="5363">
          <cell r="A5363">
            <v>526033001</v>
          </cell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R5363">
            <v>0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115747200</v>
          </cell>
          <cell r="AD5363">
            <v>0</v>
          </cell>
          <cell r="AE5363">
            <v>0</v>
          </cell>
          <cell r="AF5363">
            <v>0</v>
          </cell>
          <cell r="AG5363">
            <v>0</v>
          </cell>
          <cell r="AH5363">
            <v>0</v>
          </cell>
          <cell r="AI5363">
            <v>0</v>
          </cell>
        </row>
        <row r="5364">
          <cell r="A5364">
            <v>526033002</v>
          </cell>
          <cell r="C5364">
            <v>0</v>
          </cell>
          <cell r="D5364">
            <v>0</v>
          </cell>
          <cell r="E5364">
            <v>0</v>
          </cell>
          <cell r="F5364">
            <v>2503012</v>
          </cell>
          <cell r="G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R5364">
            <v>0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</row>
        <row r="5365">
          <cell r="A5365">
            <v>526033003</v>
          </cell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G5365">
            <v>11298116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R5365">
            <v>0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</row>
        <row r="5366">
          <cell r="A5366">
            <v>526040000</v>
          </cell>
          <cell r="C5366">
            <v>185420683</v>
          </cell>
          <cell r="D5366">
            <v>0</v>
          </cell>
          <cell r="E5366">
            <v>408501566</v>
          </cell>
          <cell r="F5366">
            <v>108166925</v>
          </cell>
          <cell r="G5366">
            <v>0</v>
          </cell>
          <cell r="H5366">
            <v>836236573</v>
          </cell>
          <cell r="I5366">
            <v>0</v>
          </cell>
          <cell r="J5366">
            <v>0</v>
          </cell>
          <cell r="K5366">
            <v>0</v>
          </cell>
          <cell r="L5366">
            <v>103135523</v>
          </cell>
          <cell r="M5366">
            <v>2960469</v>
          </cell>
          <cell r="N5366">
            <v>22809070</v>
          </cell>
          <cell r="O5366">
            <v>8040436</v>
          </cell>
          <cell r="P5366">
            <v>0</v>
          </cell>
          <cell r="Q5366">
            <v>0</v>
          </cell>
          <cell r="R5366">
            <v>51158383</v>
          </cell>
          <cell r="S5366">
            <v>0</v>
          </cell>
          <cell r="T5366">
            <v>29860110</v>
          </cell>
          <cell r="U5366">
            <v>21589200</v>
          </cell>
          <cell r="V5366">
            <v>9725500</v>
          </cell>
          <cell r="W5366">
            <v>129237</v>
          </cell>
          <cell r="X5366">
            <v>206454102</v>
          </cell>
          <cell r="Y5366">
            <v>3105648</v>
          </cell>
          <cell r="Z5366">
            <v>26807378</v>
          </cell>
          <cell r="AA5366">
            <v>0</v>
          </cell>
          <cell r="AB5366">
            <v>89203128</v>
          </cell>
          <cell r="AC5366">
            <v>0</v>
          </cell>
          <cell r="AD5366">
            <v>0</v>
          </cell>
          <cell r="AE5366">
            <v>0</v>
          </cell>
          <cell r="AF5366">
            <v>379657821</v>
          </cell>
          <cell r="AG5366">
            <v>507272</v>
          </cell>
          <cell r="AH5366">
            <v>0</v>
          </cell>
          <cell r="AI5366">
            <v>0</v>
          </cell>
        </row>
        <row r="5367">
          <cell r="A5367">
            <v>526040100</v>
          </cell>
          <cell r="C5367">
            <v>4427273</v>
          </cell>
          <cell r="D5367">
            <v>0</v>
          </cell>
          <cell r="E5367">
            <v>88800500</v>
          </cell>
          <cell r="F5367">
            <v>1879024</v>
          </cell>
          <cell r="G5367">
            <v>0</v>
          </cell>
          <cell r="H5367">
            <v>25187231</v>
          </cell>
          <cell r="I5367">
            <v>0</v>
          </cell>
          <cell r="J5367">
            <v>0</v>
          </cell>
          <cell r="K5367">
            <v>0</v>
          </cell>
          <cell r="L5367">
            <v>33757233</v>
          </cell>
          <cell r="M5367">
            <v>0</v>
          </cell>
          <cell r="N5367">
            <v>20209070</v>
          </cell>
          <cell r="O5367">
            <v>3727273</v>
          </cell>
          <cell r="P5367">
            <v>0</v>
          </cell>
          <cell r="Q5367">
            <v>0</v>
          </cell>
          <cell r="R5367">
            <v>27733159</v>
          </cell>
          <cell r="S5367">
            <v>0</v>
          </cell>
          <cell r="T5367">
            <v>27798593</v>
          </cell>
          <cell r="U5367">
            <v>0</v>
          </cell>
          <cell r="V5367">
            <v>9725500</v>
          </cell>
          <cell r="W5367">
            <v>0</v>
          </cell>
          <cell r="X5367">
            <v>0</v>
          </cell>
          <cell r="Y5367">
            <v>3105648</v>
          </cell>
          <cell r="Z5367">
            <v>14993922</v>
          </cell>
          <cell r="AA5367">
            <v>0</v>
          </cell>
          <cell r="AB5367">
            <v>14291935</v>
          </cell>
          <cell r="AC5367">
            <v>0</v>
          </cell>
          <cell r="AD5367">
            <v>0</v>
          </cell>
          <cell r="AE5367">
            <v>0</v>
          </cell>
          <cell r="AF5367">
            <v>5917000</v>
          </cell>
          <cell r="AG5367">
            <v>507272</v>
          </cell>
          <cell r="AH5367">
            <v>0</v>
          </cell>
          <cell r="AI5367">
            <v>0</v>
          </cell>
        </row>
        <row r="5368">
          <cell r="A5368">
            <v>526040101</v>
          </cell>
          <cell r="C5368">
            <v>4427273</v>
          </cell>
          <cell r="D5368">
            <v>0</v>
          </cell>
          <cell r="E5368">
            <v>76389612</v>
          </cell>
          <cell r="F5368">
            <v>1879024</v>
          </cell>
          <cell r="G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1039456</v>
          </cell>
          <cell r="M5368">
            <v>0</v>
          </cell>
          <cell r="N5368">
            <v>20209070</v>
          </cell>
          <cell r="O5368">
            <v>3727273</v>
          </cell>
          <cell r="P5368">
            <v>0</v>
          </cell>
          <cell r="Q5368">
            <v>0</v>
          </cell>
          <cell r="R5368">
            <v>27733159</v>
          </cell>
          <cell r="S5368">
            <v>0</v>
          </cell>
          <cell r="T5368">
            <v>27798593</v>
          </cell>
          <cell r="U5368">
            <v>0</v>
          </cell>
          <cell r="V5368">
            <v>9725500</v>
          </cell>
          <cell r="W5368">
            <v>0</v>
          </cell>
          <cell r="X5368">
            <v>0</v>
          </cell>
          <cell r="Y5368">
            <v>3105648</v>
          </cell>
          <cell r="Z5368">
            <v>14993922</v>
          </cell>
          <cell r="AA5368">
            <v>0</v>
          </cell>
          <cell r="AB5368">
            <v>14291935</v>
          </cell>
          <cell r="AC5368">
            <v>0</v>
          </cell>
          <cell r="AD5368">
            <v>0</v>
          </cell>
          <cell r="AE5368">
            <v>0</v>
          </cell>
          <cell r="AF5368">
            <v>5917000</v>
          </cell>
          <cell r="AG5368">
            <v>507272</v>
          </cell>
          <cell r="AH5368">
            <v>0</v>
          </cell>
          <cell r="AI5368">
            <v>0</v>
          </cell>
        </row>
        <row r="5369">
          <cell r="A5369">
            <v>526040102</v>
          </cell>
          <cell r="C5369">
            <v>0</v>
          </cell>
          <cell r="D5369">
            <v>0</v>
          </cell>
          <cell r="E5369">
            <v>12410888</v>
          </cell>
          <cell r="F5369">
            <v>0</v>
          </cell>
          <cell r="G5369">
            <v>0</v>
          </cell>
          <cell r="H5369">
            <v>25187231</v>
          </cell>
          <cell r="I5369">
            <v>0</v>
          </cell>
          <cell r="J5369">
            <v>0</v>
          </cell>
          <cell r="K5369">
            <v>0</v>
          </cell>
          <cell r="L5369">
            <v>32717777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  <cell r="AE5369">
            <v>0</v>
          </cell>
          <cell r="AF5369">
            <v>0</v>
          </cell>
          <cell r="AG5369">
            <v>0</v>
          </cell>
          <cell r="AH5369">
            <v>0</v>
          </cell>
          <cell r="AI5369">
            <v>0</v>
          </cell>
        </row>
        <row r="5370">
          <cell r="A5370">
            <v>526040200</v>
          </cell>
          <cell r="C5370">
            <v>0</v>
          </cell>
          <cell r="D5370">
            <v>0</v>
          </cell>
          <cell r="E5370">
            <v>5173723</v>
          </cell>
          <cell r="F5370">
            <v>0</v>
          </cell>
          <cell r="G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2960469</v>
          </cell>
          <cell r="N5370">
            <v>2600000</v>
          </cell>
          <cell r="O5370">
            <v>0</v>
          </cell>
          <cell r="P5370">
            <v>0</v>
          </cell>
          <cell r="Q5370">
            <v>0</v>
          </cell>
          <cell r="R5370">
            <v>592284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129237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104598037</v>
          </cell>
          <cell r="AG5370">
            <v>0</v>
          </cell>
          <cell r="AH5370">
            <v>0</v>
          </cell>
          <cell r="AI5370">
            <v>0</v>
          </cell>
        </row>
        <row r="5371">
          <cell r="A5371">
            <v>526040201</v>
          </cell>
          <cell r="C5371">
            <v>0</v>
          </cell>
          <cell r="D5371">
            <v>0</v>
          </cell>
          <cell r="E5371">
            <v>5173723</v>
          </cell>
          <cell r="F5371">
            <v>0</v>
          </cell>
          <cell r="G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2960469</v>
          </cell>
          <cell r="N5371">
            <v>2600000</v>
          </cell>
          <cell r="O5371">
            <v>0</v>
          </cell>
          <cell r="P5371">
            <v>0</v>
          </cell>
          <cell r="Q5371">
            <v>0</v>
          </cell>
          <cell r="R5371">
            <v>592284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129237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104598037</v>
          </cell>
          <cell r="AG5371">
            <v>0</v>
          </cell>
          <cell r="AH5371">
            <v>0</v>
          </cell>
          <cell r="AI5371">
            <v>0</v>
          </cell>
        </row>
        <row r="5372">
          <cell r="A5372">
            <v>526040300</v>
          </cell>
          <cell r="C5372">
            <v>0</v>
          </cell>
          <cell r="D5372">
            <v>0</v>
          </cell>
          <cell r="E5372">
            <v>55480900</v>
          </cell>
          <cell r="F5372">
            <v>0</v>
          </cell>
          <cell r="G5372">
            <v>0</v>
          </cell>
          <cell r="H5372">
            <v>71061277</v>
          </cell>
          <cell r="I5372">
            <v>0</v>
          </cell>
          <cell r="J5372">
            <v>0</v>
          </cell>
          <cell r="K5372">
            <v>0</v>
          </cell>
          <cell r="L5372">
            <v>9386312</v>
          </cell>
          <cell r="M5372">
            <v>0</v>
          </cell>
          <cell r="N5372">
            <v>0</v>
          </cell>
          <cell r="O5372">
            <v>4313163</v>
          </cell>
          <cell r="P5372">
            <v>0</v>
          </cell>
          <cell r="Q5372">
            <v>0</v>
          </cell>
          <cell r="R5372">
            <v>0</v>
          </cell>
          <cell r="S5372">
            <v>0</v>
          </cell>
          <cell r="T5372">
            <v>2061517</v>
          </cell>
          <cell r="U5372">
            <v>21589200</v>
          </cell>
          <cell r="V5372">
            <v>0</v>
          </cell>
          <cell r="W5372">
            <v>0</v>
          </cell>
          <cell r="X5372">
            <v>25942079</v>
          </cell>
          <cell r="Y5372">
            <v>0</v>
          </cell>
          <cell r="Z5372">
            <v>11813456</v>
          </cell>
          <cell r="AA5372">
            <v>0</v>
          </cell>
          <cell r="AB5372">
            <v>35464450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</row>
        <row r="5373">
          <cell r="A5373">
            <v>526040301</v>
          </cell>
          <cell r="C5373">
            <v>0</v>
          </cell>
          <cell r="D5373">
            <v>0</v>
          </cell>
          <cell r="E5373">
            <v>55480900</v>
          </cell>
          <cell r="F5373">
            <v>0</v>
          </cell>
          <cell r="G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9386312</v>
          </cell>
          <cell r="M5373">
            <v>0</v>
          </cell>
          <cell r="N5373">
            <v>0</v>
          </cell>
          <cell r="O5373">
            <v>4313163</v>
          </cell>
          <cell r="P5373">
            <v>0</v>
          </cell>
          <cell r="Q5373">
            <v>0</v>
          </cell>
          <cell r="R5373">
            <v>0</v>
          </cell>
          <cell r="S5373">
            <v>0</v>
          </cell>
          <cell r="T5373">
            <v>2061517</v>
          </cell>
          <cell r="U5373">
            <v>21589200</v>
          </cell>
          <cell r="V5373">
            <v>0</v>
          </cell>
          <cell r="W5373">
            <v>0</v>
          </cell>
          <cell r="X5373">
            <v>25942079</v>
          </cell>
          <cell r="Y5373">
            <v>0</v>
          </cell>
          <cell r="Z5373">
            <v>11813456</v>
          </cell>
          <cell r="AA5373">
            <v>0</v>
          </cell>
          <cell r="AB5373">
            <v>35464450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  <cell r="AG5373">
            <v>0</v>
          </cell>
          <cell r="AH5373">
            <v>0</v>
          </cell>
          <cell r="AI5373">
            <v>0</v>
          </cell>
        </row>
        <row r="5374">
          <cell r="A5374">
            <v>526040302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0</v>
          </cell>
          <cell r="H5374">
            <v>71061277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R5374">
            <v>0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  <cell r="AG5374">
            <v>0</v>
          </cell>
          <cell r="AH5374">
            <v>0</v>
          </cell>
          <cell r="AI5374">
            <v>0</v>
          </cell>
        </row>
        <row r="5375">
          <cell r="A5375">
            <v>526040400</v>
          </cell>
          <cell r="C5375">
            <v>180993410</v>
          </cell>
          <cell r="D5375">
            <v>0</v>
          </cell>
          <cell r="E5375">
            <v>259046443</v>
          </cell>
          <cell r="F5375">
            <v>106287901</v>
          </cell>
          <cell r="G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25826550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22832940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180512023</v>
          </cell>
          <cell r="Y5375">
            <v>0</v>
          </cell>
          <cell r="Z5375">
            <v>0</v>
          </cell>
          <cell r="AA5375">
            <v>0</v>
          </cell>
          <cell r="AB5375">
            <v>39446743</v>
          </cell>
          <cell r="AC5375">
            <v>0</v>
          </cell>
          <cell r="AD5375">
            <v>0</v>
          </cell>
          <cell r="AE5375">
            <v>0</v>
          </cell>
          <cell r="AF5375">
            <v>15917970</v>
          </cell>
          <cell r="AG5375">
            <v>0</v>
          </cell>
          <cell r="AH5375">
            <v>0</v>
          </cell>
          <cell r="AI5375">
            <v>0</v>
          </cell>
        </row>
        <row r="5376">
          <cell r="A5376">
            <v>526040401</v>
          </cell>
          <cell r="C5376">
            <v>180993410</v>
          </cell>
          <cell r="D5376">
            <v>0</v>
          </cell>
          <cell r="E5376">
            <v>259046443</v>
          </cell>
          <cell r="F5376">
            <v>106287901</v>
          </cell>
          <cell r="G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25826550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R5376">
            <v>22832940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180512023</v>
          </cell>
          <cell r="Y5376">
            <v>0</v>
          </cell>
          <cell r="Z5376">
            <v>0</v>
          </cell>
          <cell r="AA5376">
            <v>0</v>
          </cell>
          <cell r="AB5376">
            <v>39446743</v>
          </cell>
          <cell r="AC5376">
            <v>0</v>
          </cell>
          <cell r="AD5376">
            <v>0</v>
          </cell>
          <cell r="AE5376">
            <v>0</v>
          </cell>
          <cell r="AF5376">
            <v>15917970</v>
          </cell>
          <cell r="AG5376">
            <v>0</v>
          </cell>
          <cell r="AH5376">
            <v>0</v>
          </cell>
          <cell r="AI5376">
            <v>0</v>
          </cell>
        </row>
        <row r="5377">
          <cell r="A5377">
            <v>526040500</v>
          </cell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34165428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R5377">
            <v>0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  <cell r="AE5377">
            <v>0</v>
          </cell>
          <cell r="AF5377">
            <v>253224814</v>
          </cell>
          <cell r="AG5377">
            <v>0</v>
          </cell>
          <cell r="AH5377">
            <v>0</v>
          </cell>
          <cell r="AI5377">
            <v>0</v>
          </cell>
        </row>
        <row r="5378">
          <cell r="A5378">
            <v>526040501</v>
          </cell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34165428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253224814</v>
          </cell>
          <cell r="AG5378">
            <v>0</v>
          </cell>
          <cell r="AH5378">
            <v>0</v>
          </cell>
          <cell r="AI5378">
            <v>0</v>
          </cell>
        </row>
        <row r="5379">
          <cell r="A5379">
            <v>526043000</v>
          </cell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739988065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</row>
        <row r="5380">
          <cell r="A5380">
            <v>526043001</v>
          </cell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G5380">
            <v>0</v>
          </cell>
          <cell r="H5380">
            <v>739988065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</row>
        <row r="5381">
          <cell r="A5381">
            <v>526050000</v>
          </cell>
          <cell r="C5381">
            <v>60119465</v>
          </cell>
          <cell r="D5381">
            <v>506611</v>
          </cell>
          <cell r="E5381">
            <v>0</v>
          </cell>
          <cell r="F5381">
            <v>27545708</v>
          </cell>
          <cell r="G5381">
            <v>0</v>
          </cell>
          <cell r="H5381">
            <v>89197394</v>
          </cell>
          <cell r="I5381">
            <v>0</v>
          </cell>
          <cell r="J5381">
            <v>10007151</v>
          </cell>
          <cell r="K5381">
            <v>0</v>
          </cell>
          <cell r="L5381">
            <v>958904</v>
          </cell>
          <cell r="M5381">
            <v>1364483</v>
          </cell>
          <cell r="N5381">
            <v>39631876</v>
          </cell>
          <cell r="O5381">
            <v>506611</v>
          </cell>
          <cell r="P5381">
            <v>306426</v>
          </cell>
          <cell r="Q5381">
            <v>5567449</v>
          </cell>
          <cell r="R5381">
            <v>30739952</v>
          </cell>
          <cell r="S5381">
            <v>3156651</v>
          </cell>
          <cell r="T5381">
            <v>446780</v>
          </cell>
          <cell r="U5381">
            <v>0</v>
          </cell>
          <cell r="V5381">
            <v>0</v>
          </cell>
          <cell r="W5381">
            <v>49425</v>
          </cell>
          <cell r="X5381">
            <v>40799581</v>
          </cell>
          <cell r="Y5381">
            <v>528611</v>
          </cell>
          <cell r="Z5381">
            <v>640911</v>
          </cell>
          <cell r="AA5381">
            <v>16684150</v>
          </cell>
          <cell r="AB5381">
            <v>0</v>
          </cell>
          <cell r="AC5381">
            <v>640911</v>
          </cell>
          <cell r="AD5381">
            <v>891409</v>
          </cell>
          <cell r="AE5381">
            <v>384983342</v>
          </cell>
          <cell r="AF5381">
            <v>24594786</v>
          </cell>
          <cell r="AG5381">
            <v>31536188</v>
          </cell>
          <cell r="AH5381">
            <v>0</v>
          </cell>
          <cell r="AI5381">
            <v>0</v>
          </cell>
        </row>
        <row r="5382">
          <cell r="A5382">
            <v>526050100</v>
          </cell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958904</v>
          </cell>
          <cell r="M5382">
            <v>0</v>
          </cell>
          <cell r="N5382">
            <v>0</v>
          </cell>
          <cell r="O5382">
            <v>0</v>
          </cell>
          <cell r="P5382">
            <v>306426</v>
          </cell>
          <cell r="Q5382">
            <v>0</v>
          </cell>
          <cell r="R5382">
            <v>1237336</v>
          </cell>
          <cell r="S5382">
            <v>0</v>
          </cell>
          <cell r="T5382">
            <v>421150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384798</v>
          </cell>
          <cell r="AE5382">
            <v>11307032</v>
          </cell>
          <cell r="AF5382">
            <v>0</v>
          </cell>
          <cell r="AG5382">
            <v>19870302</v>
          </cell>
          <cell r="AH5382">
            <v>0</v>
          </cell>
          <cell r="AI5382">
            <v>0</v>
          </cell>
        </row>
        <row r="5383">
          <cell r="A5383">
            <v>526050101</v>
          </cell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958904</v>
          </cell>
          <cell r="M5383">
            <v>0</v>
          </cell>
          <cell r="N5383">
            <v>0</v>
          </cell>
          <cell r="O5383">
            <v>0</v>
          </cell>
          <cell r="P5383">
            <v>306426</v>
          </cell>
          <cell r="Q5383">
            <v>0</v>
          </cell>
          <cell r="R5383">
            <v>1237336</v>
          </cell>
          <cell r="S5383">
            <v>0</v>
          </cell>
          <cell r="T5383">
            <v>421150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384798</v>
          </cell>
          <cell r="AE5383">
            <v>11307032</v>
          </cell>
          <cell r="AF5383">
            <v>0</v>
          </cell>
          <cell r="AG5383">
            <v>19870302</v>
          </cell>
          <cell r="AH5383">
            <v>0</v>
          </cell>
          <cell r="AI5383">
            <v>0</v>
          </cell>
        </row>
        <row r="5384">
          <cell r="A5384">
            <v>526050200</v>
          </cell>
          <cell r="C5384">
            <v>60119465</v>
          </cell>
          <cell r="D5384">
            <v>506611</v>
          </cell>
          <cell r="E5384">
            <v>0</v>
          </cell>
          <cell r="F5384">
            <v>27545708</v>
          </cell>
          <cell r="G5384">
            <v>0</v>
          </cell>
          <cell r="H5384">
            <v>89197394</v>
          </cell>
          <cell r="I5384">
            <v>0</v>
          </cell>
          <cell r="J5384">
            <v>10007151</v>
          </cell>
          <cell r="K5384">
            <v>0</v>
          </cell>
          <cell r="L5384">
            <v>0</v>
          </cell>
          <cell r="M5384">
            <v>1364483</v>
          </cell>
          <cell r="N5384">
            <v>39631876</v>
          </cell>
          <cell r="O5384">
            <v>506611</v>
          </cell>
          <cell r="P5384">
            <v>0</v>
          </cell>
          <cell r="Q5384">
            <v>5567449</v>
          </cell>
          <cell r="R5384">
            <v>29502616</v>
          </cell>
          <cell r="S5384">
            <v>3156651</v>
          </cell>
          <cell r="T5384">
            <v>25630</v>
          </cell>
          <cell r="U5384">
            <v>0</v>
          </cell>
          <cell r="V5384">
            <v>0</v>
          </cell>
          <cell r="W5384">
            <v>49425</v>
          </cell>
          <cell r="X5384">
            <v>40799581</v>
          </cell>
          <cell r="Y5384">
            <v>528611</v>
          </cell>
          <cell r="Z5384">
            <v>640911</v>
          </cell>
          <cell r="AA5384">
            <v>16684150</v>
          </cell>
          <cell r="AB5384">
            <v>0</v>
          </cell>
          <cell r="AC5384">
            <v>640911</v>
          </cell>
          <cell r="AD5384">
            <v>506611</v>
          </cell>
          <cell r="AE5384">
            <v>373676310</v>
          </cell>
          <cell r="AF5384">
            <v>24594786</v>
          </cell>
          <cell r="AG5384">
            <v>11665886</v>
          </cell>
          <cell r="AH5384">
            <v>0</v>
          </cell>
          <cell r="AI5384">
            <v>0</v>
          </cell>
        </row>
        <row r="5385">
          <cell r="A5385">
            <v>526050201</v>
          </cell>
          <cell r="C5385">
            <v>60119465</v>
          </cell>
          <cell r="D5385">
            <v>506611</v>
          </cell>
          <cell r="E5385">
            <v>0</v>
          </cell>
          <cell r="F5385">
            <v>27545708</v>
          </cell>
          <cell r="G5385">
            <v>0</v>
          </cell>
          <cell r="H5385">
            <v>89197394</v>
          </cell>
          <cell r="I5385">
            <v>0</v>
          </cell>
          <cell r="J5385">
            <v>10007151</v>
          </cell>
          <cell r="K5385">
            <v>0</v>
          </cell>
          <cell r="L5385">
            <v>0</v>
          </cell>
          <cell r="M5385">
            <v>1364483</v>
          </cell>
          <cell r="N5385">
            <v>39631876</v>
          </cell>
          <cell r="O5385">
            <v>506611</v>
          </cell>
          <cell r="P5385">
            <v>0</v>
          </cell>
          <cell r="Q5385">
            <v>5567449</v>
          </cell>
          <cell r="R5385">
            <v>29502616</v>
          </cell>
          <cell r="S5385">
            <v>3156651</v>
          </cell>
          <cell r="T5385">
            <v>25630</v>
          </cell>
          <cell r="U5385">
            <v>0</v>
          </cell>
          <cell r="V5385">
            <v>0</v>
          </cell>
          <cell r="W5385">
            <v>49425</v>
          </cell>
          <cell r="X5385">
            <v>40799581</v>
          </cell>
          <cell r="Y5385">
            <v>528611</v>
          </cell>
          <cell r="Z5385">
            <v>640911</v>
          </cell>
          <cell r="AA5385">
            <v>16684150</v>
          </cell>
          <cell r="AB5385">
            <v>0</v>
          </cell>
          <cell r="AC5385">
            <v>640911</v>
          </cell>
          <cell r="AD5385">
            <v>506611</v>
          </cell>
          <cell r="AE5385">
            <v>373676310</v>
          </cell>
          <cell r="AF5385">
            <v>24594786</v>
          </cell>
          <cell r="AG5385">
            <v>11665886</v>
          </cell>
          <cell r="AH5385">
            <v>0</v>
          </cell>
          <cell r="AI5385">
            <v>0</v>
          </cell>
        </row>
        <row r="5386">
          <cell r="A5386">
            <v>526200000</v>
          </cell>
          <cell r="C5386">
            <v>2090817199</v>
          </cell>
          <cell r="D5386">
            <v>2249053011</v>
          </cell>
          <cell r="E5386">
            <v>1248209442</v>
          </cell>
          <cell r="F5386">
            <v>230856718</v>
          </cell>
          <cell r="G5386">
            <v>1283428752</v>
          </cell>
          <cell r="H5386">
            <v>2107976975</v>
          </cell>
          <cell r="I5386">
            <v>603284201</v>
          </cell>
          <cell r="J5386">
            <v>407366097</v>
          </cell>
          <cell r="K5386">
            <v>45308101</v>
          </cell>
          <cell r="L5386">
            <v>72840412</v>
          </cell>
          <cell r="M5386">
            <v>462101139</v>
          </cell>
          <cell r="N5386">
            <v>2072163308</v>
          </cell>
          <cell r="O5386">
            <v>1073448767</v>
          </cell>
          <cell r="P5386">
            <v>470087447</v>
          </cell>
          <cell r="Q5386">
            <v>301912340</v>
          </cell>
          <cell r="R5386">
            <v>234275438</v>
          </cell>
          <cell r="S5386">
            <v>255414472</v>
          </cell>
          <cell r="T5386">
            <v>1314064557</v>
          </cell>
          <cell r="U5386">
            <v>3158100</v>
          </cell>
          <cell r="V5386">
            <v>0</v>
          </cell>
          <cell r="W5386">
            <v>282160458</v>
          </cell>
          <cell r="X5386">
            <v>869997176</v>
          </cell>
          <cell r="Y5386">
            <v>311690468</v>
          </cell>
          <cell r="Z5386">
            <v>311516514</v>
          </cell>
          <cell r="AA5386">
            <v>245072510</v>
          </cell>
          <cell r="AB5386">
            <v>831243100</v>
          </cell>
          <cell r="AC5386">
            <v>110285025</v>
          </cell>
          <cell r="AD5386">
            <v>1134875251</v>
          </cell>
          <cell r="AE5386">
            <v>3923520909</v>
          </cell>
          <cell r="AF5386">
            <v>511532114</v>
          </cell>
          <cell r="AG5386">
            <v>224595999</v>
          </cell>
          <cell r="AH5386">
            <v>276877415</v>
          </cell>
          <cell r="AI5386">
            <v>2166271149</v>
          </cell>
        </row>
        <row r="5387">
          <cell r="A5387">
            <v>526200100</v>
          </cell>
          <cell r="C5387">
            <v>2090817199</v>
          </cell>
          <cell r="D5387">
            <v>2249053011</v>
          </cell>
          <cell r="E5387">
            <v>1248209442</v>
          </cell>
          <cell r="F5387">
            <v>230856718</v>
          </cell>
          <cell r="G5387">
            <v>1283428752</v>
          </cell>
          <cell r="H5387">
            <v>2107976975</v>
          </cell>
          <cell r="I5387">
            <v>603284201</v>
          </cell>
          <cell r="J5387">
            <v>407366097</v>
          </cell>
          <cell r="K5387">
            <v>45308101</v>
          </cell>
          <cell r="L5387">
            <v>72840412</v>
          </cell>
          <cell r="M5387">
            <v>462101139</v>
          </cell>
          <cell r="N5387">
            <v>2072163308</v>
          </cell>
          <cell r="O5387">
            <v>1073448767</v>
          </cell>
          <cell r="P5387">
            <v>470087447</v>
          </cell>
          <cell r="Q5387">
            <v>301912340</v>
          </cell>
          <cell r="R5387">
            <v>234275438</v>
          </cell>
          <cell r="S5387">
            <v>255414472</v>
          </cell>
          <cell r="T5387">
            <v>1314064557</v>
          </cell>
          <cell r="U5387">
            <v>3158100</v>
          </cell>
          <cell r="V5387">
            <v>0</v>
          </cell>
          <cell r="W5387">
            <v>282160458</v>
          </cell>
          <cell r="X5387">
            <v>869997176</v>
          </cell>
          <cell r="Y5387">
            <v>311690468</v>
          </cell>
          <cell r="Z5387">
            <v>311516514</v>
          </cell>
          <cell r="AA5387">
            <v>245072510</v>
          </cell>
          <cell r="AB5387">
            <v>831243100</v>
          </cell>
          <cell r="AC5387">
            <v>110285025</v>
          </cell>
          <cell r="AD5387">
            <v>1134875251</v>
          </cell>
          <cell r="AE5387">
            <v>3923520909</v>
          </cell>
          <cell r="AF5387">
            <v>511532114</v>
          </cell>
          <cell r="AG5387">
            <v>224595999</v>
          </cell>
          <cell r="AH5387">
            <v>276877415</v>
          </cell>
          <cell r="AI5387">
            <v>2166271149</v>
          </cell>
        </row>
        <row r="5388">
          <cell r="A5388">
            <v>526200101</v>
          </cell>
          <cell r="C5388">
            <v>2090817199</v>
          </cell>
          <cell r="D5388">
            <v>2249053011</v>
          </cell>
          <cell r="E5388">
            <v>1248209442</v>
          </cell>
          <cell r="F5388">
            <v>230856718</v>
          </cell>
          <cell r="G5388">
            <v>1283428752</v>
          </cell>
          <cell r="H5388">
            <v>2107976975</v>
          </cell>
          <cell r="I5388">
            <v>603284201</v>
          </cell>
          <cell r="J5388">
            <v>407366097</v>
          </cell>
          <cell r="K5388">
            <v>45308101</v>
          </cell>
          <cell r="L5388">
            <v>72840412</v>
          </cell>
          <cell r="M5388">
            <v>462101139</v>
          </cell>
          <cell r="N5388">
            <v>2072163308</v>
          </cell>
          <cell r="O5388">
            <v>1073448767</v>
          </cell>
          <cell r="P5388">
            <v>470087447</v>
          </cell>
          <cell r="Q5388">
            <v>301912340</v>
          </cell>
          <cell r="R5388">
            <v>234275438</v>
          </cell>
          <cell r="S5388">
            <v>255414472</v>
          </cell>
          <cell r="T5388">
            <v>1314064557</v>
          </cell>
          <cell r="U5388">
            <v>3158100</v>
          </cell>
          <cell r="V5388">
            <v>0</v>
          </cell>
          <cell r="W5388">
            <v>282160458</v>
          </cell>
          <cell r="X5388">
            <v>869997176</v>
          </cell>
          <cell r="Y5388">
            <v>311690468</v>
          </cell>
          <cell r="Z5388">
            <v>311516514</v>
          </cell>
          <cell r="AA5388">
            <v>245072510</v>
          </cell>
          <cell r="AB5388">
            <v>831243100</v>
          </cell>
          <cell r="AC5388">
            <v>110285025</v>
          </cell>
          <cell r="AD5388">
            <v>1134875251</v>
          </cell>
          <cell r="AE5388">
            <v>3923520909</v>
          </cell>
          <cell r="AF5388">
            <v>511532114</v>
          </cell>
          <cell r="AG5388">
            <v>224595999</v>
          </cell>
          <cell r="AH5388">
            <v>276877415</v>
          </cell>
          <cell r="AI5388">
            <v>2166271149</v>
          </cell>
        </row>
        <row r="5389">
          <cell r="A5389">
            <v>527000000</v>
          </cell>
          <cell r="C5389">
            <v>1366134008</v>
          </cell>
          <cell r="D5389">
            <v>731262078</v>
          </cell>
          <cell r="E5389">
            <v>384773791</v>
          </cell>
          <cell r="F5389">
            <v>224370710</v>
          </cell>
          <cell r="G5389">
            <v>966962873</v>
          </cell>
          <cell r="H5389">
            <v>1568483093</v>
          </cell>
          <cell r="I5389">
            <v>745800998</v>
          </cell>
          <cell r="J5389">
            <v>365250571</v>
          </cell>
          <cell r="K5389">
            <v>352096356</v>
          </cell>
          <cell r="L5389">
            <v>58274898</v>
          </cell>
          <cell r="M5389">
            <v>329579938</v>
          </cell>
          <cell r="N5389">
            <v>821793204</v>
          </cell>
          <cell r="O5389">
            <v>854745184</v>
          </cell>
          <cell r="P5389">
            <v>835364917</v>
          </cell>
          <cell r="Q5389">
            <v>233502007</v>
          </cell>
          <cell r="R5389">
            <v>773421935</v>
          </cell>
          <cell r="S5389">
            <v>517210444</v>
          </cell>
          <cell r="T5389">
            <v>1484099027</v>
          </cell>
          <cell r="U5389">
            <v>0</v>
          </cell>
          <cell r="V5389">
            <v>581299098</v>
          </cell>
          <cell r="W5389">
            <v>277694223</v>
          </cell>
          <cell r="X5389">
            <v>1102248252</v>
          </cell>
          <cell r="Y5389">
            <v>379968442</v>
          </cell>
          <cell r="Z5389">
            <v>254228980</v>
          </cell>
          <cell r="AA5389">
            <v>354188099</v>
          </cell>
          <cell r="AB5389">
            <v>1249797720</v>
          </cell>
          <cell r="AC5389">
            <v>408687951</v>
          </cell>
          <cell r="AD5389">
            <v>545256219</v>
          </cell>
          <cell r="AE5389">
            <v>1261099719</v>
          </cell>
          <cell r="AF5389">
            <v>443066585</v>
          </cell>
          <cell r="AG5389">
            <v>621775438</v>
          </cell>
          <cell r="AH5389">
            <v>267161227</v>
          </cell>
          <cell r="AI5389">
            <v>2347649099</v>
          </cell>
        </row>
        <row r="5390">
          <cell r="A5390">
            <v>527010000</v>
          </cell>
          <cell r="C5390">
            <v>1047058384</v>
          </cell>
          <cell r="D5390">
            <v>696664969</v>
          </cell>
          <cell r="E5390">
            <v>379347859</v>
          </cell>
          <cell r="F5390">
            <v>187026093</v>
          </cell>
          <cell r="G5390">
            <v>894803747</v>
          </cell>
          <cell r="H5390">
            <v>1073606609</v>
          </cell>
          <cell r="I5390">
            <v>86414243</v>
          </cell>
          <cell r="J5390">
            <v>270853433</v>
          </cell>
          <cell r="K5390">
            <v>323230821</v>
          </cell>
          <cell r="L5390">
            <v>39253848</v>
          </cell>
          <cell r="M5390">
            <v>298188384</v>
          </cell>
          <cell r="N5390">
            <v>821793204</v>
          </cell>
          <cell r="O5390">
            <v>541994078</v>
          </cell>
          <cell r="P5390">
            <v>829549520</v>
          </cell>
          <cell r="Q5390">
            <v>232470247</v>
          </cell>
          <cell r="R5390">
            <v>753266921</v>
          </cell>
          <cell r="S5390">
            <v>459562830</v>
          </cell>
          <cell r="T5390">
            <v>904478886</v>
          </cell>
          <cell r="U5390">
            <v>0</v>
          </cell>
          <cell r="V5390">
            <v>508340831</v>
          </cell>
          <cell r="W5390">
            <v>214691158</v>
          </cell>
          <cell r="X5390">
            <v>973154570</v>
          </cell>
          <cell r="Y5390">
            <v>322939828</v>
          </cell>
          <cell r="Z5390">
            <v>177395497</v>
          </cell>
          <cell r="AA5390">
            <v>319534081</v>
          </cell>
          <cell r="AB5390">
            <v>681557955</v>
          </cell>
          <cell r="AC5390">
            <v>403904836</v>
          </cell>
          <cell r="AD5390">
            <v>321065806</v>
          </cell>
          <cell r="AE5390">
            <v>555970744</v>
          </cell>
          <cell r="AF5390">
            <v>348674695</v>
          </cell>
          <cell r="AG5390">
            <v>595919177</v>
          </cell>
          <cell r="AH5390">
            <v>92101039</v>
          </cell>
          <cell r="AI5390">
            <v>2347649099</v>
          </cell>
        </row>
        <row r="5391">
          <cell r="A5391">
            <v>527010100</v>
          </cell>
          <cell r="C5391">
            <v>48792545</v>
          </cell>
          <cell r="D5391">
            <v>78426999</v>
          </cell>
          <cell r="E5391">
            <v>314342709</v>
          </cell>
          <cell r="F5391">
            <v>40203286</v>
          </cell>
          <cell r="G5391">
            <v>21612241</v>
          </cell>
          <cell r="H5391">
            <v>15262990</v>
          </cell>
          <cell r="I5391">
            <v>1471950</v>
          </cell>
          <cell r="J5391">
            <v>124217441</v>
          </cell>
          <cell r="K5391">
            <v>5936475</v>
          </cell>
          <cell r="L5391">
            <v>5989619</v>
          </cell>
          <cell r="M5391">
            <v>1391017</v>
          </cell>
          <cell r="N5391">
            <v>93706903</v>
          </cell>
          <cell r="O5391">
            <v>202657328</v>
          </cell>
          <cell r="P5391">
            <v>64192668</v>
          </cell>
          <cell r="Q5391">
            <v>33886764</v>
          </cell>
          <cell r="R5391">
            <v>83747931</v>
          </cell>
          <cell r="S5391">
            <v>12616129</v>
          </cell>
          <cell r="T5391">
            <v>21847462</v>
          </cell>
          <cell r="U5391">
            <v>0</v>
          </cell>
          <cell r="V5391">
            <v>122236212</v>
          </cell>
          <cell r="W5391">
            <v>24324649</v>
          </cell>
          <cell r="X5391">
            <v>57885665</v>
          </cell>
          <cell r="Y5391">
            <v>99814970</v>
          </cell>
          <cell r="Z5391">
            <v>12995867</v>
          </cell>
          <cell r="AA5391">
            <v>139005559</v>
          </cell>
          <cell r="AB5391">
            <v>65050367</v>
          </cell>
          <cell r="AC5391">
            <v>23365969</v>
          </cell>
          <cell r="AD5391">
            <v>21743025</v>
          </cell>
          <cell r="AE5391">
            <v>154237159</v>
          </cell>
          <cell r="AF5391">
            <v>5848041</v>
          </cell>
          <cell r="AG5391">
            <v>44206606</v>
          </cell>
          <cell r="AH5391">
            <v>13581614</v>
          </cell>
          <cell r="AI5391">
            <v>0</v>
          </cell>
        </row>
        <row r="5392">
          <cell r="A5392">
            <v>527010101</v>
          </cell>
          <cell r="C5392">
            <v>48792545</v>
          </cell>
          <cell r="D5392">
            <v>78426999</v>
          </cell>
          <cell r="E5392">
            <v>314342709</v>
          </cell>
          <cell r="F5392">
            <v>40203286</v>
          </cell>
          <cell r="G5392">
            <v>21612241</v>
          </cell>
          <cell r="H5392">
            <v>15262990</v>
          </cell>
          <cell r="I5392">
            <v>1471950</v>
          </cell>
          <cell r="J5392">
            <v>124217441</v>
          </cell>
          <cell r="K5392">
            <v>5936475</v>
          </cell>
          <cell r="L5392">
            <v>5989619</v>
          </cell>
          <cell r="M5392">
            <v>1391017</v>
          </cell>
          <cell r="N5392">
            <v>93706903</v>
          </cell>
          <cell r="O5392">
            <v>202657328</v>
          </cell>
          <cell r="P5392">
            <v>64192668</v>
          </cell>
          <cell r="Q5392">
            <v>33886764</v>
          </cell>
          <cell r="R5392">
            <v>83747931</v>
          </cell>
          <cell r="S5392">
            <v>12616129</v>
          </cell>
          <cell r="T5392">
            <v>21847462</v>
          </cell>
          <cell r="U5392">
            <v>0</v>
          </cell>
          <cell r="V5392">
            <v>122236212</v>
          </cell>
          <cell r="W5392">
            <v>24324649</v>
          </cell>
          <cell r="X5392">
            <v>57885665</v>
          </cell>
          <cell r="Y5392">
            <v>99814970</v>
          </cell>
          <cell r="Z5392">
            <v>12995867</v>
          </cell>
          <cell r="AA5392">
            <v>139005559</v>
          </cell>
          <cell r="AB5392">
            <v>65050367</v>
          </cell>
          <cell r="AC5392">
            <v>23365969</v>
          </cell>
          <cell r="AD5392">
            <v>21743025</v>
          </cell>
          <cell r="AE5392">
            <v>154237159</v>
          </cell>
          <cell r="AF5392">
            <v>5848041</v>
          </cell>
          <cell r="AG5392">
            <v>44206606</v>
          </cell>
          <cell r="AH5392">
            <v>13581614</v>
          </cell>
          <cell r="AI5392">
            <v>0</v>
          </cell>
        </row>
        <row r="5393">
          <cell r="A5393">
            <v>527010200</v>
          </cell>
          <cell r="C5393">
            <v>31260587</v>
          </cell>
          <cell r="D5393">
            <v>138172690</v>
          </cell>
          <cell r="E5393">
            <v>17640649</v>
          </cell>
          <cell r="F5393">
            <v>11441594</v>
          </cell>
          <cell r="G5393">
            <v>9069140</v>
          </cell>
          <cell r="H5393">
            <v>33379071</v>
          </cell>
          <cell r="I5393">
            <v>6079823</v>
          </cell>
          <cell r="J5393">
            <v>5730941</v>
          </cell>
          <cell r="K5393">
            <v>0</v>
          </cell>
          <cell r="L5393">
            <v>34272</v>
          </cell>
          <cell r="M5393">
            <v>5105599</v>
          </cell>
          <cell r="N5393">
            <v>77914774</v>
          </cell>
          <cell r="O5393">
            <v>28545482</v>
          </cell>
          <cell r="P5393">
            <v>59356037</v>
          </cell>
          <cell r="Q5393">
            <v>29082481</v>
          </cell>
          <cell r="R5393">
            <v>4469721</v>
          </cell>
          <cell r="S5393">
            <v>654000</v>
          </cell>
          <cell r="T5393">
            <v>13449339</v>
          </cell>
          <cell r="U5393">
            <v>0</v>
          </cell>
          <cell r="V5393">
            <v>126873500</v>
          </cell>
          <cell r="W5393">
            <v>8152239</v>
          </cell>
          <cell r="X5393">
            <v>528942109</v>
          </cell>
          <cell r="Y5393">
            <v>19594819</v>
          </cell>
          <cell r="Z5393">
            <v>3825245</v>
          </cell>
          <cell r="AA5393">
            <v>63338527</v>
          </cell>
          <cell r="AB5393">
            <v>34995648</v>
          </cell>
          <cell r="AC5393">
            <v>1674235</v>
          </cell>
          <cell r="AD5393">
            <v>22195202</v>
          </cell>
          <cell r="AE5393">
            <v>0</v>
          </cell>
          <cell r="AF5393">
            <v>999491</v>
          </cell>
          <cell r="AG5393">
            <v>43539325</v>
          </cell>
          <cell r="AH5393">
            <v>5798144</v>
          </cell>
          <cell r="AI5393">
            <v>1752129</v>
          </cell>
        </row>
        <row r="5394">
          <cell r="A5394">
            <v>527010201</v>
          </cell>
          <cell r="C5394">
            <v>31260587</v>
          </cell>
          <cell r="D5394">
            <v>138172690</v>
          </cell>
          <cell r="E5394">
            <v>17640649</v>
          </cell>
          <cell r="F5394">
            <v>11441594</v>
          </cell>
          <cell r="G5394">
            <v>9069140</v>
          </cell>
          <cell r="H5394">
            <v>33379071</v>
          </cell>
          <cell r="I5394">
            <v>6079823</v>
          </cell>
          <cell r="J5394">
            <v>5730941</v>
          </cell>
          <cell r="K5394">
            <v>0</v>
          </cell>
          <cell r="L5394">
            <v>34272</v>
          </cell>
          <cell r="M5394">
            <v>5105599</v>
          </cell>
          <cell r="N5394">
            <v>77914774</v>
          </cell>
          <cell r="O5394">
            <v>28545482</v>
          </cell>
          <cell r="P5394">
            <v>59356037</v>
          </cell>
          <cell r="Q5394">
            <v>29082481</v>
          </cell>
          <cell r="R5394">
            <v>4469721</v>
          </cell>
          <cell r="S5394">
            <v>654000</v>
          </cell>
          <cell r="T5394">
            <v>13449339</v>
          </cell>
          <cell r="U5394">
            <v>0</v>
          </cell>
          <cell r="V5394">
            <v>126873500</v>
          </cell>
          <cell r="W5394">
            <v>8152239</v>
          </cell>
          <cell r="X5394">
            <v>528942109</v>
          </cell>
          <cell r="Y5394">
            <v>19594819</v>
          </cell>
          <cell r="Z5394">
            <v>3825245</v>
          </cell>
          <cell r="AA5394">
            <v>63338527</v>
          </cell>
          <cell r="AB5394">
            <v>34995648</v>
          </cell>
          <cell r="AC5394">
            <v>1674235</v>
          </cell>
          <cell r="AD5394">
            <v>22195202</v>
          </cell>
          <cell r="AE5394">
            <v>0</v>
          </cell>
          <cell r="AF5394">
            <v>999491</v>
          </cell>
          <cell r="AG5394">
            <v>43539325</v>
          </cell>
          <cell r="AH5394">
            <v>5798144</v>
          </cell>
          <cell r="AI5394">
            <v>1752129</v>
          </cell>
        </row>
        <row r="5395">
          <cell r="A5395">
            <v>527010300</v>
          </cell>
          <cell r="C5395">
            <v>22236541</v>
          </cell>
          <cell r="D5395">
            <v>9162115</v>
          </cell>
          <cell r="E5395">
            <v>2936881</v>
          </cell>
          <cell r="F5395">
            <v>168200</v>
          </cell>
          <cell r="G5395">
            <v>371008</v>
          </cell>
          <cell r="H5395">
            <v>5939634</v>
          </cell>
          <cell r="I5395">
            <v>0</v>
          </cell>
          <cell r="J5395">
            <v>2925182</v>
          </cell>
          <cell r="K5395">
            <v>273404</v>
          </cell>
          <cell r="L5395">
            <v>455327</v>
          </cell>
          <cell r="M5395">
            <v>209422</v>
          </cell>
          <cell r="N5395">
            <v>6602989</v>
          </cell>
          <cell r="O5395">
            <v>9248953</v>
          </cell>
          <cell r="P5395">
            <v>1180231</v>
          </cell>
          <cell r="Q5395">
            <v>4979170</v>
          </cell>
          <cell r="R5395">
            <v>24516565</v>
          </cell>
          <cell r="S5395">
            <v>5327754</v>
          </cell>
          <cell r="T5395">
            <v>7373162</v>
          </cell>
          <cell r="U5395">
            <v>0</v>
          </cell>
          <cell r="V5395">
            <v>13302316</v>
          </cell>
          <cell r="W5395">
            <v>1028714</v>
          </cell>
          <cell r="X5395">
            <v>10149890</v>
          </cell>
          <cell r="Y5395">
            <v>987717</v>
          </cell>
          <cell r="Z5395">
            <v>1280597</v>
          </cell>
          <cell r="AA5395">
            <v>6416828</v>
          </cell>
          <cell r="AB5395">
            <v>54753543</v>
          </cell>
          <cell r="AC5395">
            <v>1090605</v>
          </cell>
          <cell r="AD5395">
            <v>1522280</v>
          </cell>
          <cell r="AE5395">
            <v>8191978</v>
          </cell>
          <cell r="AF5395">
            <v>3331766</v>
          </cell>
          <cell r="AG5395">
            <v>6306994</v>
          </cell>
          <cell r="AH5395">
            <v>158097</v>
          </cell>
          <cell r="AI5395">
            <v>285514</v>
          </cell>
        </row>
        <row r="5396">
          <cell r="A5396">
            <v>527010301</v>
          </cell>
          <cell r="C5396">
            <v>22236541</v>
          </cell>
          <cell r="D5396">
            <v>9162115</v>
          </cell>
          <cell r="E5396">
            <v>2936881</v>
          </cell>
          <cell r="F5396">
            <v>168200</v>
          </cell>
          <cell r="G5396">
            <v>371008</v>
          </cell>
          <cell r="H5396">
            <v>5939634</v>
          </cell>
          <cell r="I5396">
            <v>0</v>
          </cell>
          <cell r="J5396">
            <v>2925182</v>
          </cell>
          <cell r="K5396">
            <v>273404</v>
          </cell>
          <cell r="L5396">
            <v>455327</v>
          </cell>
          <cell r="M5396">
            <v>209422</v>
          </cell>
          <cell r="N5396">
            <v>6602989</v>
          </cell>
          <cell r="O5396">
            <v>9248953</v>
          </cell>
          <cell r="P5396">
            <v>1180231</v>
          </cell>
          <cell r="Q5396">
            <v>4979170</v>
          </cell>
          <cell r="R5396">
            <v>24516565</v>
          </cell>
          <cell r="S5396">
            <v>5327754</v>
          </cell>
          <cell r="T5396">
            <v>7373162</v>
          </cell>
          <cell r="U5396">
            <v>0</v>
          </cell>
          <cell r="V5396">
            <v>13302316</v>
          </cell>
          <cell r="W5396">
            <v>1028714</v>
          </cell>
          <cell r="X5396">
            <v>10149890</v>
          </cell>
          <cell r="Y5396">
            <v>987717</v>
          </cell>
          <cell r="Z5396">
            <v>1280597</v>
          </cell>
          <cell r="AA5396">
            <v>6416828</v>
          </cell>
          <cell r="AB5396">
            <v>54753543</v>
          </cell>
          <cell r="AC5396">
            <v>1090605</v>
          </cell>
          <cell r="AD5396">
            <v>1522280</v>
          </cell>
          <cell r="AE5396">
            <v>8191978</v>
          </cell>
          <cell r="AF5396">
            <v>3331766</v>
          </cell>
          <cell r="AG5396">
            <v>6306994</v>
          </cell>
          <cell r="AH5396">
            <v>158097</v>
          </cell>
          <cell r="AI5396">
            <v>285514</v>
          </cell>
        </row>
        <row r="5397">
          <cell r="A5397">
            <v>527010400</v>
          </cell>
          <cell r="C5397">
            <v>320198995</v>
          </cell>
          <cell r="D5397">
            <v>357551237</v>
          </cell>
          <cell r="E5397">
            <v>31295480</v>
          </cell>
          <cell r="F5397">
            <v>115587667</v>
          </cell>
          <cell r="G5397">
            <v>721482544</v>
          </cell>
          <cell r="H5397">
            <v>525412227</v>
          </cell>
          <cell r="I5397">
            <v>56626829</v>
          </cell>
          <cell r="J5397">
            <v>108664303</v>
          </cell>
          <cell r="K5397">
            <v>59031135</v>
          </cell>
          <cell r="L5397">
            <v>5481837</v>
          </cell>
          <cell r="M5397">
            <v>152675348</v>
          </cell>
          <cell r="N5397">
            <v>335097172</v>
          </cell>
          <cell r="O5397">
            <v>192997362</v>
          </cell>
          <cell r="P5397">
            <v>626700664</v>
          </cell>
          <cell r="Q5397">
            <v>120851628</v>
          </cell>
          <cell r="R5397">
            <v>122288066</v>
          </cell>
          <cell r="S5397">
            <v>385537483</v>
          </cell>
          <cell r="T5397">
            <v>341740471</v>
          </cell>
          <cell r="U5397">
            <v>0</v>
          </cell>
          <cell r="V5397">
            <v>154063115</v>
          </cell>
          <cell r="W5397">
            <v>122986635</v>
          </cell>
          <cell r="X5397">
            <v>251821403</v>
          </cell>
          <cell r="Y5397">
            <v>97536271</v>
          </cell>
          <cell r="Z5397">
            <v>134524034</v>
          </cell>
          <cell r="AA5397">
            <v>68243454</v>
          </cell>
          <cell r="AB5397">
            <v>197851214</v>
          </cell>
          <cell r="AC5397">
            <v>321238448</v>
          </cell>
          <cell r="AD5397">
            <v>191317094</v>
          </cell>
          <cell r="AE5397">
            <v>70721213</v>
          </cell>
          <cell r="AF5397">
            <v>58235049</v>
          </cell>
          <cell r="AG5397">
            <v>447112904</v>
          </cell>
          <cell r="AH5397">
            <v>64407803</v>
          </cell>
          <cell r="AI5397">
            <v>666984</v>
          </cell>
        </row>
        <row r="5398">
          <cell r="A5398">
            <v>527010401</v>
          </cell>
          <cell r="C5398">
            <v>320198995</v>
          </cell>
          <cell r="D5398">
            <v>357551237</v>
          </cell>
          <cell r="E5398">
            <v>31295480</v>
          </cell>
          <cell r="F5398">
            <v>115587667</v>
          </cell>
          <cell r="G5398">
            <v>721482544</v>
          </cell>
          <cell r="H5398">
            <v>525412227</v>
          </cell>
          <cell r="I5398">
            <v>56626829</v>
          </cell>
          <cell r="J5398">
            <v>108664303</v>
          </cell>
          <cell r="K5398">
            <v>59031135</v>
          </cell>
          <cell r="L5398">
            <v>5481837</v>
          </cell>
          <cell r="M5398">
            <v>152675348</v>
          </cell>
          <cell r="N5398">
            <v>335097172</v>
          </cell>
          <cell r="O5398">
            <v>192997362</v>
          </cell>
          <cell r="P5398">
            <v>626700664</v>
          </cell>
          <cell r="Q5398">
            <v>120851628</v>
          </cell>
          <cell r="R5398">
            <v>122288066</v>
          </cell>
          <cell r="S5398">
            <v>385537483</v>
          </cell>
          <cell r="T5398">
            <v>341740471</v>
          </cell>
          <cell r="U5398">
            <v>0</v>
          </cell>
          <cell r="V5398">
            <v>154063115</v>
          </cell>
          <cell r="W5398">
            <v>122986635</v>
          </cell>
          <cell r="X5398">
            <v>251821403</v>
          </cell>
          <cell r="Y5398">
            <v>97536271</v>
          </cell>
          <cell r="Z5398">
            <v>134524034</v>
          </cell>
          <cell r="AA5398">
            <v>68243454</v>
          </cell>
          <cell r="AB5398">
            <v>197851214</v>
          </cell>
          <cell r="AC5398">
            <v>321238448</v>
          </cell>
          <cell r="AD5398">
            <v>191317094</v>
          </cell>
          <cell r="AE5398">
            <v>70721213</v>
          </cell>
          <cell r="AF5398">
            <v>58235049</v>
          </cell>
          <cell r="AG5398">
            <v>447112904</v>
          </cell>
          <cell r="AH5398">
            <v>64407803</v>
          </cell>
          <cell r="AI5398">
            <v>666984</v>
          </cell>
        </row>
        <row r="5399">
          <cell r="A5399">
            <v>527010500</v>
          </cell>
          <cell r="C5399">
            <v>9240297</v>
          </cell>
          <cell r="D5399">
            <v>0</v>
          </cell>
          <cell r="E5399">
            <v>0</v>
          </cell>
          <cell r="F5399">
            <v>9240297</v>
          </cell>
          <cell r="G5399">
            <v>89480184</v>
          </cell>
          <cell r="H5399">
            <v>9240297</v>
          </cell>
          <cell r="I5399">
            <v>0</v>
          </cell>
          <cell r="J5399">
            <v>2500638</v>
          </cell>
          <cell r="K5399">
            <v>9240297</v>
          </cell>
          <cell r="L5399">
            <v>9240297</v>
          </cell>
          <cell r="M5399">
            <v>9240297</v>
          </cell>
          <cell r="N5399">
            <v>0</v>
          </cell>
          <cell r="O5399">
            <v>0</v>
          </cell>
          <cell r="P5399">
            <v>9240297</v>
          </cell>
          <cell r="Q5399">
            <v>0</v>
          </cell>
          <cell r="R5399">
            <v>8059160</v>
          </cell>
          <cell r="S5399">
            <v>9240297</v>
          </cell>
          <cell r="T5399">
            <v>0</v>
          </cell>
          <cell r="U5399">
            <v>0</v>
          </cell>
          <cell r="V5399">
            <v>0</v>
          </cell>
          <cell r="W5399">
            <v>9240297</v>
          </cell>
          <cell r="X5399">
            <v>0</v>
          </cell>
          <cell r="Y5399">
            <v>73366154</v>
          </cell>
          <cell r="Z5399">
            <v>9240297</v>
          </cell>
          <cell r="AA5399">
            <v>8729941</v>
          </cell>
          <cell r="AB5399">
            <v>9240297</v>
          </cell>
          <cell r="AC5399">
            <v>9240297</v>
          </cell>
          <cell r="AD5399">
            <v>0</v>
          </cell>
          <cell r="AE5399">
            <v>0</v>
          </cell>
          <cell r="AF5399">
            <v>0</v>
          </cell>
          <cell r="AG5399">
            <v>9240297</v>
          </cell>
          <cell r="AH5399">
            <v>0</v>
          </cell>
          <cell r="AI5399">
            <v>0</v>
          </cell>
        </row>
        <row r="5400">
          <cell r="A5400">
            <v>527010501</v>
          </cell>
          <cell r="C5400">
            <v>9240297</v>
          </cell>
          <cell r="D5400">
            <v>0</v>
          </cell>
          <cell r="E5400">
            <v>0</v>
          </cell>
          <cell r="F5400">
            <v>9240297</v>
          </cell>
          <cell r="G5400">
            <v>89480184</v>
          </cell>
          <cell r="H5400">
            <v>9240297</v>
          </cell>
          <cell r="I5400">
            <v>0</v>
          </cell>
          <cell r="J5400">
            <v>2500638</v>
          </cell>
          <cell r="K5400">
            <v>9240297</v>
          </cell>
          <cell r="L5400">
            <v>9240297</v>
          </cell>
          <cell r="M5400">
            <v>9240297</v>
          </cell>
          <cell r="N5400">
            <v>0</v>
          </cell>
          <cell r="O5400">
            <v>0</v>
          </cell>
          <cell r="P5400">
            <v>9240297</v>
          </cell>
          <cell r="Q5400">
            <v>0</v>
          </cell>
          <cell r="R5400">
            <v>8059160</v>
          </cell>
          <cell r="S5400">
            <v>9240297</v>
          </cell>
          <cell r="T5400">
            <v>0</v>
          </cell>
          <cell r="U5400">
            <v>0</v>
          </cell>
          <cell r="V5400">
            <v>0</v>
          </cell>
          <cell r="W5400">
            <v>9240297</v>
          </cell>
          <cell r="X5400">
            <v>0</v>
          </cell>
          <cell r="Y5400">
            <v>73366154</v>
          </cell>
          <cell r="Z5400">
            <v>9240297</v>
          </cell>
          <cell r="AA5400">
            <v>8729941</v>
          </cell>
          <cell r="AB5400">
            <v>9240297</v>
          </cell>
          <cell r="AC5400">
            <v>9240297</v>
          </cell>
          <cell r="AD5400">
            <v>0</v>
          </cell>
          <cell r="AE5400">
            <v>0</v>
          </cell>
          <cell r="AF5400">
            <v>0</v>
          </cell>
          <cell r="AG5400">
            <v>9240297</v>
          </cell>
          <cell r="AH5400">
            <v>0</v>
          </cell>
          <cell r="AI5400">
            <v>0</v>
          </cell>
        </row>
        <row r="5401">
          <cell r="A5401">
            <v>527010600</v>
          </cell>
          <cell r="C5401">
            <v>35275210</v>
          </cell>
          <cell r="D5401">
            <v>14327952</v>
          </cell>
          <cell r="E5401">
            <v>3484795</v>
          </cell>
          <cell r="F5401">
            <v>3333369</v>
          </cell>
          <cell r="G5401">
            <v>14885773</v>
          </cell>
          <cell r="H5401">
            <v>11737909</v>
          </cell>
          <cell r="I5401">
            <v>17000378</v>
          </cell>
          <cell r="J5401">
            <v>22844520</v>
          </cell>
          <cell r="K5401">
            <v>3166119</v>
          </cell>
          <cell r="L5401">
            <v>732165</v>
          </cell>
          <cell r="M5401">
            <v>460196</v>
          </cell>
          <cell r="N5401">
            <v>45937962</v>
          </cell>
          <cell r="O5401">
            <v>20393336</v>
          </cell>
          <cell r="P5401">
            <v>22504874</v>
          </cell>
          <cell r="Q5401">
            <v>3072045</v>
          </cell>
          <cell r="R5401">
            <v>13663792</v>
          </cell>
          <cell r="S5401">
            <v>5188688</v>
          </cell>
          <cell r="T5401">
            <v>6285542</v>
          </cell>
          <cell r="U5401">
            <v>0</v>
          </cell>
          <cell r="V5401">
            <v>8575336</v>
          </cell>
          <cell r="W5401">
            <v>24892837</v>
          </cell>
          <cell r="X5401">
            <v>11241137</v>
          </cell>
          <cell r="Y5401">
            <v>3370109</v>
          </cell>
          <cell r="Z5401">
            <v>2272114</v>
          </cell>
          <cell r="AA5401">
            <v>8914950</v>
          </cell>
          <cell r="AB5401">
            <v>32046350</v>
          </cell>
          <cell r="AC5401">
            <v>5304106</v>
          </cell>
          <cell r="AD5401">
            <v>7270412</v>
          </cell>
          <cell r="AE5401">
            <v>59952261</v>
          </cell>
          <cell r="AF5401">
            <v>9942555</v>
          </cell>
          <cell r="AG5401">
            <v>9720219</v>
          </cell>
          <cell r="AH5401">
            <v>908395</v>
          </cell>
          <cell r="AI5401">
            <v>0</v>
          </cell>
        </row>
        <row r="5402">
          <cell r="A5402">
            <v>527010601</v>
          </cell>
          <cell r="C5402">
            <v>35275210</v>
          </cell>
          <cell r="D5402">
            <v>14327952</v>
          </cell>
          <cell r="E5402">
            <v>3484795</v>
          </cell>
          <cell r="F5402">
            <v>3333369</v>
          </cell>
          <cell r="G5402">
            <v>14885773</v>
          </cell>
          <cell r="H5402">
            <v>11737909</v>
          </cell>
          <cell r="I5402">
            <v>17000378</v>
          </cell>
          <cell r="J5402">
            <v>22844520</v>
          </cell>
          <cell r="K5402">
            <v>3166119</v>
          </cell>
          <cell r="L5402">
            <v>732165</v>
          </cell>
          <cell r="M5402">
            <v>460196</v>
          </cell>
          <cell r="N5402">
            <v>45937962</v>
          </cell>
          <cell r="O5402">
            <v>20393336</v>
          </cell>
          <cell r="P5402">
            <v>22504874</v>
          </cell>
          <cell r="Q5402">
            <v>3072045</v>
          </cell>
          <cell r="R5402">
            <v>13663792</v>
          </cell>
          <cell r="S5402">
            <v>5188688</v>
          </cell>
          <cell r="T5402">
            <v>6285542</v>
          </cell>
          <cell r="U5402">
            <v>0</v>
          </cell>
          <cell r="V5402">
            <v>8575336</v>
          </cell>
          <cell r="W5402">
            <v>24892837</v>
          </cell>
          <cell r="X5402">
            <v>11241137</v>
          </cell>
          <cell r="Y5402">
            <v>3370109</v>
          </cell>
          <cell r="Z5402">
            <v>2272114</v>
          </cell>
          <cell r="AA5402">
            <v>8914950</v>
          </cell>
          <cell r="AB5402">
            <v>32046350</v>
          </cell>
          <cell r="AC5402">
            <v>5304106</v>
          </cell>
          <cell r="AD5402">
            <v>7270412</v>
          </cell>
          <cell r="AE5402">
            <v>59952261</v>
          </cell>
          <cell r="AF5402">
            <v>9942555</v>
          </cell>
          <cell r="AG5402">
            <v>9720219</v>
          </cell>
          <cell r="AH5402">
            <v>908395</v>
          </cell>
          <cell r="AI5402">
            <v>0</v>
          </cell>
        </row>
        <row r="5403">
          <cell r="A5403">
            <v>527010700</v>
          </cell>
          <cell r="C5403">
            <v>607903</v>
          </cell>
          <cell r="D5403">
            <v>777494</v>
          </cell>
          <cell r="E5403">
            <v>0</v>
          </cell>
          <cell r="F5403">
            <v>71716</v>
          </cell>
          <cell r="G5403">
            <v>989582</v>
          </cell>
          <cell r="H5403">
            <v>3896929</v>
          </cell>
          <cell r="I5403">
            <v>57750</v>
          </cell>
          <cell r="J5403">
            <v>408367</v>
          </cell>
          <cell r="K5403">
            <v>251481</v>
          </cell>
          <cell r="L5403">
            <v>0</v>
          </cell>
          <cell r="M5403">
            <v>954985</v>
          </cell>
          <cell r="N5403">
            <v>4011975</v>
          </cell>
          <cell r="O5403">
            <v>264456</v>
          </cell>
          <cell r="P5403">
            <v>972024</v>
          </cell>
          <cell r="Q5403">
            <v>479028</v>
          </cell>
          <cell r="R5403">
            <v>294211</v>
          </cell>
          <cell r="S5403">
            <v>60000</v>
          </cell>
          <cell r="T5403">
            <v>0</v>
          </cell>
          <cell r="U5403">
            <v>0</v>
          </cell>
          <cell r="V5403">
            <v>415880</v>
          </cell>
          <cell r="W5403">
            <v>200434</v>
          </cell>
          <cell r="X5403">
            <v>835749</v>
          </cell>
          <cell r="Y5403">
            <v>0</v>
          </cell>
          <cell r="Z5403">
            <v>476308</v>
          </cell>
          <cell r="AA5403">
            <v>4891618</v>
          </cell>
          <cell r="AB5403">
            <v>445282</v>
          </cell>
          <cell r="AC5403">
            <v>3454212</v>
          </cell>
          <cell r="AD5403">
            <v>337435</v>
          </cell>
          <cell r="AE5403">
            <v>302275</v>
          </cell>
          <cell r="AF5403">
            <v>309487</v>
          </cell>
          <cell r="AG5403">
            <v>953933</v>
          </cell>
          <cell r="AH5403">
            <v>27273</v>
          </cell>
          <cell r="AI5403">
            <v>0</v>
          </cell>
        </row>
        <row r="5404">
          <cell r="A5404">
            <v>527010701</v>
          </cell>
          <cell r="C5404">
            <v>607903</v>
          </cell>
          <cell r="D5404">
            <v>777494</v>
          </cell>
          <cell r="E5404">
            <v>0</v>
          </cell>
          <cell r="F5404">
            <v>71716</v>
          </cell>
          <cell r="G5404">
            <v>989582</v>
          </cell>
          <cell r="H5404">
            <v>3896929</v>
          </cell>
          <cell r="I5404">
            <v>57750</v>
          </cell>
          <cell r="J5404">
            <v>408367</v>
          </cell>
          <cell r="K5404">
            <v>251481</v>
          </cell>
          <cell r="L5404">
            <v>0</v>
          </cell>
          <cell r="M5404">
            <v>954985</v>
          </cell>
          <cell r="N5404">
            <v>4011975</v>
          </cell>
          <cell r="O5404">
            <v>264456</v>
          </cell>
          <cell r="P5404">
            <v>972024</v>
          </cell>
          <cell r="Q5404">
            <v>479028</v>
          </cell>
          <cell r="R5404">
            <v>294211</v>
          </cell>
          <cell r="S5404">
            <v>60000</v>
          </cell>
          <cell r="T5404">
            <v>0</v>
          </cell>
          <cell r="U5404">
            <v>0</v>
          </cell>
          <cell r="V5404">
            <v>415880</v>
          </cell>
          <cell r="W5404">
            <v>200434</v>
          </cell>
          <cell r="X5404">
            <v>835749</v>
          </cell>
          <cell r="Y5404">
            <v>0</v>
          </cell>
          <cell r="Z5404">
            <v>476308</v>
          </cell>
          <cell r="AA5404">
            <v>4891618</v>
          </cell>
          <cell r="AB5404">
            <v>445282</v>
          </cell>
          <cell r="AC5404">
            <v>3454212</v>
          </cell>
          <cell r="AD5404">
            <v>337435</v>
          </cell>
          <cell r="AE5404">
            <v>302275</v>
          </cell>
          <cell r="AF5404">
            <v>309487</v>
          </cell>
          <cell r="AG5404">
            <v>953933</v>
          </cell>
          <cell r="AH5404">
            <v>27273</v>
          </cell>
          <cell r="AI5404">
            <v>0</v>
          </cell>
        </row>
        <row r="5405">
          <cell r="A5405">
            <v>527010800</v>
          </cell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G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121599831</v>
          </cell>
          <cell r="N5405">
            <v>86399731</v>
          </cell>
          <cell r="O5405">
            <v>0</v>
          </cell>
          <cell r="P5405">
            <v>0</v>
          </cell>
          <cell r="Q5405">
            <v>0</v>
          </cell>
          <cell r="R5405">
            <v>0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  <cell r="AE5405">
            <v>0</v>
          </cell>
          <cell r="AF5405">
            <v>231942616</v>
          </cell>
          <cell r="AG5405">
            <v>0</v>
          </cell>
          <cell r="AH5405">
            <v>0</v>
          </cell>
          <cell r="AI5405">
            <v>2265538651</v>
          </cell>
        </row>
        <row r="5406">
          <cell r="A5406">
            <v>527010801</v>
          </cell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121599831</v>
          </cell>
          <cell r="N5406">
            <v>86399731</v>
          </cell>
          <cell r="O5406">
            <v>0</v>
          </cell>
          <cell r="P5406">
            <v>0</v>
          </cell>
          <cell r="Q5406">
            <v>0</v>
          </cell>
          <cell r="R5406">
            <v>0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231942616</v>
          </cell>
          <cell r="AG5406">
            <v>0</v>
          </cell>
          <cell r="AH5406">
            <v>0</v>
          </cell>
          <cell r="AI5406">
            <v>2265538651</v>
          </cell>
        </row>
        <row r="5407">
          <cell r="A5407">
            <v>527010900</v>
          </cell>
          <cell r="C5407">
            <v>5876891</v>
          </cell>
          <cell r="D5407">
            <v>11716033</v>
          </cell>
          <cell r="E5407">
            <v>126975</v>
          </cell>
          <cell r="F5407">
            <v>0</v>
          </cell>
          <cell r="G5407">
            <v>179810</v>
          </cell>
          <cell r="H5407">
            <v>1183205</v>
          </cell>
          <cell r="I5407">
            <v>3729428</v>
          </cell>
          <cell r="J5407">
            <v>25934</v>
          </cell>
          <cell r="K5407">
            <v>775299</v>
          </cell>
          <cell r="L5407">
            <v>0</v>
          </cell>
          <cell r="M5407">
            <v>0</v>
          </cell>
          <cell r="N5407">
            <v>42337370</v>
          </cell>
          <cell r="O5407">
            <v>19382691</v>
          </cell>
          <cell r="P5407">
            <v>0</v>
          </cell>
          <cell r="Q5407">
            <v>409255</v>
          </cell>
          <cell r="R5407">
            <v>97825160</v>
          </cell>
          <cell r="S5407">
            <v>1</v>
          </cell>
          <cell r="T5407">
            <v>2319663</v>
          </cell>
          <cell r="U5407">
            <v>0</v>
          </cell>
          <cell r="V5407">
            <v>30009483</v>
          </cell>
          <cell r="W5407">
            <v>3772406</v>
          </cell>
          <cell r="X5407">
            <v>15681769</v>
          </cell>
          <cell r="Y5407">
            <v>871726</v>
          </cell>
          <cell r="Z5407">
            <v>2227733</v>
          </cell>
          <cell r="AA5407">
            <v>908312</v>
          </cell>
          <cell r="AB5407">
            <v>1854880</v>
          </cell>
          <cell r="AC5407">
            <v>1111397</v>
          </cell>
          <cell r="AD5407">
            <v>40006668</v>
          </cell>
          <cell r="AE5407">
            <v>2088977</v>
          </cell>
          <cell r="AF5407">
            <v>667721</v>
          </cell>
          <cell r="AG5407">
            <v>2276744</v>
          </cell>
          <cell r="AH5407">
            <v>72862</v>
          </cell>
          <cell r="AI5407">
            <v>1882236</v>
          </cell>
        </row>
        <row r="5408">
          <cell r="A5408">
            <v>527010901</v>
          </cell>
          <cell r="C5408">
            <v>5876891</v>
          </cell>
          <cell r="D5408">
            <v>11716033</v>
          </cell>
          <cell r="E5408">
            <v>126975</v>
          </cell>
          <cell r="F5408">
            <v>0</v>
          </cell>
          <cell r="G5408">
            <v>179810</v>
          </cell>
          <cell r="H5408">
            <v>1183205</v>
          </cell>
          <cell r="I5408">
            <v>3729428</v>
          </cell>
          <cell r="J5408">
            <v>25934</v>
          </cell>
          <cell r="K5408">
            <v>775299</v>
          </cell>
          <cell r="L5408">
            <v>0</v>
          </cell>
          <cell r="M5408">
            <v>0</v>
          </cell>
          <cell r="N5408">
            <v>42337370</v>
          </cell>
          <cell r="O5408">
            <v>19382691</v>
          </cell>
          <cell r="P5408">
            <v>0</v>
          </cell>
          <cell r="Q5408">
            <v>409255</v>
          </cell>
          <cell r="R5408">
            <v>97825160</v>
          </cell>
          <cell r="S5408">
            <v>1</v>
          </cell>
          <cell r="T5408">
            <v>2319663</v>
          </cell>
          <cell r="U5408">
            <v>0</v>
          </cell>
          <cell r="V5408">
            <v>30009483</v>
          </cell>
          <cell r="W5408">
            <v>3772406</v>
          </cell>
          <cell r="X5408">
            <v>15681769</v>
          </cell>
          <cell r="Y5408">
            <v>871726</v>
          </cell>
          <cell r="Z5408">
            <v>2227733</v>
          </cell>
          <cell r="AA5408">
            <v>908312</v>
          </cell>
          <cell r="AB5408">
            <v>1854880</v>
          </cell>
          <cell r="AC5408">
            <v>1111397</v>
          </cell>
          <cell r="AD5408">
            <v>40006668</v>
          </cell>
          <cell r="AE5408">
            <v>2088977</v>
          </cell>
          <cell r="AF5408">
            <v>667721</v>
          </cell>
          <cell r="AG5408">
            <v>2276744</v>
          </cell>
          <cell r="AH5408">
            <v>72862</v>
          </cell>
          <cell r="AI5408">
            <v>1882236</v>
          </cell>
        </row>
        <row r="5409">
          <cell r="A5409">
            <v>527011000</v>
          </cell>
          <cell r="C5409">
            <v>224414170</v>
          </cell>
          <cell r="D5409">
            <v>12928521</v>
          </cell>
          <cell r="E5409">
            <v>5709040</v>
          </cell>
          <cell r="F5409">
            <v>4581620</v>
          </cell>
          <cell r="G5409">
            <v>17581727</v>
          </cell>
          <cell r="H5409">
            <v>24133297</v>
          </cell>
          <cell r="I5409">
            <v>1228085</v>
          </cell>
          <cell r="J5409">
            <v>1633421</v>
          </cell>
          <cell r="K5409">
            <v>4486471</v>
          </cell>
          <cell r="L5409">
            <v>4500767</v>
          </cell>
          <cell r="M5409">
            <v>5694704</v>
          </cell>
          <cell r="N5409">
            <v>13202630</v>
          </cell>
          <cell r="O5409">
            <v>9760842</v>
          </cell>
          <cell r="P5409">
            <v>9586771</v>
          </cell>
          <cell r="Q5409">
            <v>13036630</v>
          </cell>
          <cell r="R5409">
            <v>11348598</v>
          </cell>
          <cell r="S5409">
            <v>5898821</v>
          </cell>
          <cell r="T5409">
            <v>7239768</v>
          </cell>
          <cell r="U5409">
            <v>0</v>
          </cell>
          <cell r="V5409">
            <v>23636537</v>
          </cell>
          <cell r="W5409">
            <v>7223901</v>
          </cell>
          <cell r="X5409">
            <v>7786976</v>
          </cell>
          <cell r="Y5409">
            <v>15670772</v>
          </cell>
          <cell r="Z5409">
            <v>7475509</v>
          </cell>
          <cell r="AA5409">
            <v>16894611</v>
          </cell>
          <cell r="AB5409">
            <v>102859526</v>
          </cell>
          <cell r="AC5409">
            <v>13235452</v>
          </cell>
          <cell r="AD5409">
            <v>7876482</v>
          </cell>
          <cell r="AE5409">
            <v>3763031</v>
          </cell>
          <cell r="AF5409">
            <v>7366587</v>
          </cell>
          <cell r="AG5409">
            <v>8060978</v>
          </cell>
          <cell r="AH5409">
            <v>121924</v>
          </cell>
          <cell r="AI5409">
            <v>0</v>
          </cell>
        </row>
        <row r="5410">
          <cell r="A5410">
            <v>527011001</v>
          </cell>
          <cell r="C5410">
            <v>224414170</v>
          </cell>
          <cell r="D5410">
            <v>12928521</v>
          </cell>
          <cell r="E5410">
            <v>5709040</v>
          </cell>
          <cell r="F5410">
            <v>4581620</v>
          </cell>
          <cell r="G5410">
            <v>17581727</v>
          </cell>
          <cell r="H5410">
            <v>24133297</v>
          </cell>
          <cell r="I5410">
            <v>1228085</v>
          </cell>
          <cell r="J5410">
            <v>1633421</v>
          </cell>
          <cell r="K5410">
            <v>4486471</v>
          </cell>
          <cell r="L5410">
            <v>4500767</v>
          </cell>
          <cell r="M5410">
            <v>5694704</v>
          </cell>
          <cell r="N5410">
            <v>13202630</v>
          </cell>
          <cell r="O5410">
            <v>9760842</v>
          </cell>
          <cell r="P5410">
            <v>9586771</v>
          </cell>
          <cell r="Q5410">
            <v>13036630</v>
          </cell>
          <cell r="R5410">
            <v>11348598</v>
          </cell>
          <cell r="S5410">
            <v>5898821</v>
          </cell>
          <cell r="T5410">
            <v>7239768</v>
          </cell>
          <cell r="U5410">
            <v>0</v>
          </cell>
          <cell r="V5410">
            <v>23636537</v>
          </cell>
          <cell r="W5410">
            <v>7223901</v>
          </cell>
          <cell r="X5410">
            <v>7786976</v>
          </cell>
          <cell r="Y5410">
            <v>15670772</v>
          </cell>
          <cell r="Z5410">
            <v>7475509</v>
          </cell>
          <cell r="AA5410">
            <v>16894611</v>
          </cell>
          <cell r="AB5410">
            <v>102859526</v>
          </cell>
          <cell r="AC5410">
            <v>13235452</v>
          </cell>
          <cell r="AD5410">
            <v>7876482</v>
          </cell>
          <cell r="AE5410">
            <v>3763031</v>
          </cell>
          <cell r="AF5410">
            <v>7366587</v>
          </cell>
          <cell r="AG5410">
            <v>8060978</v>
          </cell>
          <cell r="AH5410">
            <v>121924</v>
          </cell>
          <cell r="AI5410">
            <v>0</v>
          </cell>
        </row>
        <row r="5411">
          <cell r="A5411">
            <v>527011100</v>
          </cell>
          <cell r="C5411">
            <v>3058543</v>
          </cell>
          <cell r="D5411">
            <v>1420827</v>
          </cell>
          <cell r="E5411">
            <v>1205918</v>
          </cell>
          <cell r="F5411">
            <v>0</v>
          </cell>
          <cell r="G5411">
            <v>345880</v>
          </cell>
          <cell r="H5411">
            <v>774155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39878741</v>
          </cell>
          <cell r="O5411">
            <v>438347</v>
          </cell>
          <cell r="P5411">
            <v>260743</v>
          </cell>
          <cell r="Q5411">
            <v>1358243</v>
          </cell>
          <cell r="R5411">
            <v>1647562</v>
          </cell>
          <cell r="S5411">
            <v>0</v>
          </cell>
          <cell r="T5411">
            <v>408559477</v>
          </cell>
          <cell r="U5411">
            <v>0</v>
          </cell>
          <cell r="V5411">
            <v>0</v>
          </cell>
          <cell r="W5411">
            <v>3006272</v>
          </cell>
          <cell r="X5411">
            <v>74893</v>
          </cell>
          <cell r="Y5411">
            <v>0</v>
          </cell>
          <cell r="Z5411">
            <v>284397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  <cell r="AG5411">
            <v>272201</v>
          </cell>
          <cell r="AH5411">
            <v>0</v>
          </cell>
          <cell r="AI5411">
            <v>0</v>
          </cell>
        </row>
        <row r="5412">
          <cell r="A5412">
            <v>527011101</v>
          </cell>
          <cell r="C5412">
            <v>3058543</v>
          </cell>
          <cell r="D5412">
            <v>1420827</v>
          </cell>
          <cell r="E5412">
            <v>1205918</v>
          </cell>
          <cell r="F5412">
            <v>0</v>
          </cell>
          <cell r="G5412">
            <v>345880</v>
          </cell>
          <cell r="H5412">
            <v>774155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39878741</v>
          </cell>
          <cell r="O5412">
            <v>438347</v>
          </cell>
          <cell r="P5412">
            <v>260743</v>
          </cell>
          <cell r="Q5412">
            <v>1358243</v>
          </cell>
          <cell r="R5412">
            <v>1647562</v>
          </cell>
          <cell r="S5412">
            <v>0</v>
          </cell>
          <cell r="T5412">
            <v>408559477</v>
          </cell>
          <cell r="U5412">
            <v>0</v>
          </cell>
          <cell r="V5412">
            <v>0</v>
          </cell>
          <cell r="W5412">
            <v>3006272</v>
          </cell>
          <cell r="X5412">
            <v>74893</v>
          </cell>
          <cell r="Y5412">
            <v>0</v>
          </cell>
          <cell r="Z5412">
            <v>284397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  <cell r="AG5412">
            <v>272201</v>
          </cell>
          <cell r="AH5412">
            <v>0</v>
          </cell>
          <cell r="AI5412">
            <v>0</v>
          </cell>
        </row>
        <row r="5413">
          <cell r="A5413">
            <v>527011200</v>
          </cell>
          <cell r="C5413">
            <v>39819614</v>
          </cell>
          <cell r="D5413">
            <v>1797246</v>
          </cell>
          <cell r="E5413">
            <v>827737</v>
          </cell>
          <cell r="F5413">
            <v>196204</v>
          </cell>
          <cell r="G5413">
            <v>2294480</v>
          </cell>
          <cell r="H5413">
            <v>8405712</v>
          </cell>
          <cell r="I5413">
            <v>220000</v>
          </cell>
          <cell r="J5413">
            <v>530885</v>
          </cell>
          <cell r="K5413">
            <v>602461</v>
          </cell>
          <cell r="L5413">
            <v>7471</v>
          </cell>
          <cell r="M5413">
            <v>675804</v>
          </cell>
          <cell r="N5413">
            <v>6531537</v>
          </cell>
          <cell r="O5413">
            <v>24888316</v>
          </cell>
          <cell r="P5413">
            <v>19222308</v>
          </cell>
          <cell r="Q5413">
            <v>690221</v>
          </cell>
          <cell r="R5413">
            <v>36462424</v>
          </cell>
          <cell r="S5413">
            <v>3086053</v>
          </cell>
          <cell r="T5413">
            <v>14177479</v>
          </cell>
          <cell r="U5413">
            <v>0</v>
          </cell>
          <cell r="V5413">
            <v>7024848</v>
          </cell>
          <cell r="W5413">
            <v>859276</v>
          </cell>
          <cell r="X5413">
            <v>9128424</v>
          </cell>
          <cell r="Y5413">
            <v>1002847</v>
          </cell>
          <cell r="Z5413">
            <v>2019610</v>
          </cell>
          <cell r="AA5413">
            <v>47424</v>
          </cell>
          <cell r="AB5413">
            <v>17123081</v>
          </cell>
          <cell r="AC5413">
            <v>986803</v>
          </cell>
          <cell r="AD5413">
            <v>18671093</v>
          </cell>
          <cell r="AE5413">
            <v>243082461</v>
          </cell>
          <cell r="AF5413">
            <v>65904</v>
          </cell>
          <cell r="AG5413">
            <v>1721093</v>
          </cell>
          <cell r="AH5413">
            <v>0</v>
          </cell>
          <cell r="AI5413">
            <v>2972607</v>
          </cell>
        </row>
        <row r="5414">
          <cell r="A5414">
            <v>527011201</v>
          </cell>
          <cell r="C5414">
            <v>39819614</v>
          </cell>
          <cell r="D5414">
            <v>1797246</v>
          </cell>
          <cell r="E5414">
            <v>827737</v>
          </cell>
          <cell r="F5414">
            <v>196204</v>
          </cell>
          <cell r="G5414">
            <v>2294480</v>
          </cell>
          <cell r="H5414">
            <v>8405712</v>
          </cell>
          <cell r="I5414">
            <v>220000</v>
          </cell>
          <cell r="J5414">
            <v>530885</v>
          </cell>
          <cell r="K5414">
            <v>602461</v>
          </cell>
          <cell r="L5414">
            <v>7471</v>
          </cell>
          <cell r="M5414">
            <v>675804</v>
          </cell>
          <cell r="N5414">
            <v>6531537</v>
          </cell>
          <cell r="O5414">
            <v>24888316</v>
          </cell>
          <cell r="P5414">
            <v>19222308</v>
          </cell>
          <cell r="Q5414">
            <v>690221</v>
          </cell>
          <cell r="R5414">
            <v>36462424</v>
          </cell>
          <cell r="S5414">
            <v>3086053</v>
          </cell>
          <cell r="T5414">
            <v>14177479</v>
          </cell>
          <cell r="U5414">
            <v>0</v>
          </cell>
          <cell r="V5414">
            <v>7024848</v>
          </cell>
          <cell r="W5414">
            <v>859276</v>
          </cell>
          <cell r="X5414">
            <v>9128424</v>
          </cell>
          <cell r="Y5414">
            <v>1002847</v>
          </cell>
          <cell r="Z5414">
            <v>2019610</v>
          </cell>
          <cell r="AA5414">
            <v>47424</v>
          </cell>
          <cell r="AB5414">
            <v>17123081</v>
          </cell>
          <cell r="AC5414">
            <v>986803</v>
          </cell>
          <cell r="AD5414">
            <v>18671093</v>
          </cell>
          <cell r="AE5414">
            <v>243082461</v>
          </cell>
          <cell r="AF5414">
            <v>65904</v>
          </cell>
          <cell r="AG5414">
            <v>1721093</v>
          </cell>
          <cell r="AH5414">
            <v>0</v>
          </cell>
          <cell r="AI5414">
            <v>2972607</v>
          </cell>
        </row>
        <row r="5415">
          <cell r="A5415">
            <v>527011300</v>
          </cell>
          <cell r="C5415">
            <v>279290404</v>
          </cell>
          <cell r="D5415">
            <v>43520073</v>
          </cell>
          <cell r="E5415">
            <v>1671508</v>
          </cell>
          <cell r="F5415">
            <v>523653</v>
          </cell>
          <cell r="G5415">
            <v>14073152</v>
          </cell>
          <cell r="H5415">
            <v>66485261</v>
          </cell>
          <cell r="I5415">
            <v>0</v>
          </cell>
          <cell r="J5415">
            <v>1371801</v>
          </cell>
          <cell r="K5415">
            <v>0</v>
          </cell>
          <cell r="L5415">
            <v>118294</v>
          </cell>
          <cell r="M5415">
            <v>181181</v>
          </cell>
          <cell r="N5415">
            <v>52317503</v>
          </cell>
          <cell r="O5415">
            <v>31195371</v>
          </cell>
          <cell r="P5415">
            <v>15627517</v>
          </cell>
          <cell r="Q5415">
            <v>24624782</v>
          </cell>
          <cell r="R5415">
            <v>45144124</v>
          </cell>
          <cell r="S5415">
            <v>31953604</v>
          </cell>
          <cell r="T5415">
            <v>13869115</v>
          </cell>
          <cell r="U5415">
            <v>0</v>
          </cell>
          <cell r="V5415">
            <v>17431155</v>
          </cell>
          <cell r="W5415">
            <v>4291510</v>
          </cell>
          <cell r="X5415">
            <v>27028979</v>
          </cell>
          <cell r="Y5415">
            <v>10724443</v>
          </cell>
          <cell r="Z5415">
            <v>773786</v>
          </cell>
          <cell r="AA5415">
            <v>2142857</v>
          </cell>
          <cell r="AB5415">
            <v>77943928</v>
          </cell>
          <cell r="AC5415">
            <v>18360691</v>
          </cell>
          <cell r="AD5415">
            <v>6876749</v>
          </cell>
          <cell r="AE5415">
            <v>4745402</v>
          </cell>
          <cell r="AF5415">
            <v>208374</v>
          </cell>
          <cell r="AG5415">
            <v>20542759</v>
          </cell>
          <cell r="AH5415">
            <v>1900527</v>
          </cell>
          <cell r="AI5415">
            <v>70834827</v>
          </cell>
        </row>
        <row r="5416">
          <cell r="A5416">
            <v>527011301</v>
          </cell>
          <cell r="C5416">
            <v>279290404</v>
          </cell>
          <cell r="D5416">
            <v>43520073</v>
          </cell>
          <cell r="E5416">
            <v>1671508</v>
          </cell>
          <cell r="F5416">
            <v>523653</v>
          </cell>
          <cell r="G5416">
            <v>14073152</v>
          </cell>
          <cell r="H5416">
            <v>66485261</v>
          </cell>
          <cell r="I5416">
            <v>0</v>
          </cell>
          <cell r="J5416">
            <v>1371801</v>
          </cell>
          <cell r="K5416">
            <v>0</v>
          </cell>
          <cell r="L5416">
            <v>118294</v>
          </cell>
          <cell r="M5416">
            <v>181181</v>
          </cell>
          <cell r="N5416">
            <v>52317503</v>
          </cell>
          <cell r="O5416">
            <v>31195371</v>
          </cell>
          <cell r="P5416">
            <v>15627517</v>
          </cell>
          <cell r="Q5416">
            <v>24624782</v>
          </cell>
          <cell r="R5416">
            <v>45144124</v>
          </cell>
          <cell r="S5416">
            <v>31953604</v>
          </cell>
          <cell r="T5416">
            <v>13869115</v>
          </cell>
          <cell r="U5416">
            <v>0</v>
          </cell>
          <cell r="V5416">
            <v>17431155</v>
          </cell>
          <cell r="W5416">
            <v>4291510</v>
          </cell>
          <cell r="X5416">
            <v>27028979</v>
          </cell>
          <cell r="Y5416">
            <v>10724443</v>
          </cell>
          <cell r="Z5416">
            <v>773786</v>
          </cell>
          <cell r="AA5416">
            <v>2142857</v>
          </cell>
          <cell r="AB5416">
            <v>77943928</v>
          </cell>
          <cell r="AC5416">
            <v>18360691</v>
          </cell>
          <cell r="AD5416">
            <v>6876749</v>
          </cell>
          <cell r="AE5416">
            <v>4745402</v>
          </cell>
          <cell r="AF5416">
            <v>208374</v>
          </cell>
          <cell r="AG5416">
            <v>20542759</v>
          </cell>
          <cell r="AH5416">
            <v>1900527</v>
          </cell>
          <cell r="AI5416">
            <v>70834827</v>
          </cell>
        </row>
        <row r="5417">
          <cell r="A5417">
            <v>527012000</v>
          </cell>
          <cell r="C5417">
            <v>26986684</v>
          </cell>
          <cell r="D5417">
            <v>26863782</v>
          </cell>
          <cell r="E5417">
            <v>106167</v>
          </cell>
          <cell r="F5417">
            <v>1678487</v>
          </cell>
          <cell r="G5417">
            <v>2438226</v>
          </cell>
          <cell r="H5417">
            <v>367755922</v>
          </cell>
          <cell r="I5417">
            <v>0</v>
          </cell>
          <cell r="J5417">
            <v>0</v>
          </cell>
          <cell r="K5417">
            <v>239467679</v>
          </cell>
          <cell r="L5417">
            <v>12693799</v>
          </cell>
          <cell r="M5417">
            <v>0</v>
          </cell>
          <cell r="N5417">
            <v>17853917</v>
          </cell>
          <cell r="O5417">
            <v>2221594</v>
          </cell>
          <cell r="P5417">
            <v>705386</v>
          </cell>
          <cell r="Q5417">
            <v>0</v>
          </cell>
          <cell r="R5417">
            <v>303799607</v>
          </cell>
          <cell r="S5417">
            <v>0</v>
          </cell>
          <cell r="T5417">
            <v>67617408</v>
          </cell>
          <cell r="U5417">
            <v>0</v>
          </cell>
          <cell r="V5417">
            <v>4772449</v>
          </cell>
          <cell r="W5417">
            <v>4711988</v>
          </cell>
          <cell r="X5417">
            <v>52577576</v>
          </cell>
          <cell r="Y5417">
            <v>0</v>
          </cell>
          <cell r="Z5417">
            <v>0</v>
          </cell>
          <cell r="AA5417">
            <v>0</v>
          </cell>
          <cell r="AB5417">
            <v>87393839</v>
          </cell>
          <cell r="AC5417">
            <v>4842621</v>
          </cell>
          <cell r="AD5417">
            <v>3249366</v>
          </cell>
          <cell r="AE5417">
            <v>8885987</v>
          </cell>
          <cell r="AF5417">
            <v>29757104</v>
          </cell>
          <cell r="AG5417">
            <v>1965124</v>
          </cell>
          <cell r="AH5417">
            <v>5124400</v>
          </cell>
          <cell r="AI5417">
            <v>3716151</v>
          </cell>
        </row>
        <row r="5418">
          <cell r="A5418">
            <v>527012001</v>
          </cell>
          <cell r="C5418">
            <v>0</v>
          </cell>
          <cell r="D5418">
            <v>26863782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17853917</v>
          </cell>
          <cell r="O5418">
            <v>0</v>
          </cell>
          <cell r="P5418">
            <v>0</v>
          </cell>
          <cell r="Q5418">
            <v>0</v>
          </cell>
          <cell r="R5418">
            <v>79825838</v>
          </cell>
          <cell r="S5418">
            <v>0</v>
          </cell>
          <cell r="T5418">
            <v>14084615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  <cell r="AE5418">
            <v>0</v>
          </cell>
          <cell r="AF5418">
            <v>0</v>
          </cell>
          <cell r="AG5418">
            <v>0</v>
          </cell>
          <cell r="AH5418">
            <v>0</v>
          </cell>
          <cell r="AI5418">
            <v>0</v>
          </cell>
        </row>
        <row r="5419">
          <cell r="A5419">
            <v>527012002</v>
          </cell>
          <cell r="C5419">
            <v>22997519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4803736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</row>
        <row r="5420">
          <cell r="A5420">
            <v>527012003</v>
          </cell>
          <cell r="C5420">
            <v>3989165</v>
          </cell>
          <cell r="D5420">
            <v>0</v>
          </cell>
          <cell r="E5420">
            <v>106167</v>
          </cell>
          <cell r="F5420">
            <v>1678487</v>
          </cell>
          <cell r="G5420">
            <v>2438226</v>
          </cell>
          <cell r="H5420">
            <v>367755922</v>
          </cell>
          <cell r="I5420">
            <v>0</v>
          </cell>
          <cell r="J5420">
            <v>0</v>
          </cell>
          <cell r="K5420">
            <v>239467679</v>
          </cell>
          <cell r="L5420">
            <v>12693799</v>
          </cell>
          <cell r="M5420">
            <v>0</v>
          </cell>
          <cell r="N5420">
            <v>0</v>
          </cell>
          <cell r="O5420">
            <v>2221594</v>
          </cell>
          <cell r="P5420">
            <v>705386</v>
          </cell>
          <cell r="Q5420">
            <v>0</v>
          </cell>
          <cell r="R5420">
            <v>223973769</v>
          </cell>
          <cell r="S5420">
            <v>0</v>
          </cell>
          <cell r="T5420">
            <v>46793488</v>
          </cell>
          <cell r="U5420">
            <v>0</v>
          </cell>
          <cell r="V5420">
            <v>4772449</v>
          </cell>
          <cell r="W5420">
            <v>4711988</v>
          </cell>
          <cell r="X5420">
            <v>52577576</v>
          </cell>
          <cell r="Y5420">
            <v>0</v>
          </cell>
          <cell r="Z5420">
            <v>0</v>
          </cell>
          <cell r="AA5420">
            <v>0</v>
          </cell>
          <cell r="AB5420">
            <v>87393839</v>
          </cell>
          <cell r="AC5420">
            <v>4431013</v>
          </cell>
          <cell r="AD5420">
            <v>3249366</v>
          </cell>
          <cell r="AE5420">
            <v>8885987</v>
          </cell>
          <cell r="AF5420">
            <v>29757104</v>
          </cell>
          <cell r="AG5420">
            <v>1965124</v>
          </cell>
          <cell r="AH5420">
            <v>5124400</v>
          </cell>
          <cell r="AI5420">
            <v>3716151</v>
          </cell>
        </row>
        <row r="5421">
          <cell r="A5421">
            <v>527012004</v>
          </cell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</row>
        <row r="5422">
          <cell r="A5422">
            <v>527012005</v>
          </cell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G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  <cell r="AE5422">
            <v>0</v>
          </cell>
          <cell r="AF5422">
            <v>0</v>
          </cell>
          <cell r="AG5422">
            <v>0</v>
          </cell>
          <cell r="AH5422">
            <v>0</v>
          </cell>
          <cell r="AI5422">
            <v>0</v>
          </cell>
        </row>
        <row r="5423">
          <cell r="A5423">
            <v>527012006</v>
          </cell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411608</v>
          </cell>
          <cell r="AD5423">
            <v>0</v>
          </cell>
          <cell r="AE5423">
            <v>0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</row>
        <row r="5424">
          <cell r="A5424">
            <v>527012007</v>
          </cell>
          <cell r="C5424">
            <v>0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</row>
        <row r="5425">
          <cell r="A5425">
            <v>527012008</v>
          </cell>
          <cell r="C5425">
            <v>0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1935569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  <cell r="AG5425">
            <v>0</v>
          </cell>
          <cell r="AH5425">
            <v>0</v>
          </cell>
          <cell r="AI5425">
            <v>0</v>
          </cell>
        </row>
        <row r="5426">
          <cell r="A5426">
            <v>527012009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  <cell r="AE5426">
            <v>0</v>
          </cell>
          <cell r="AF5426">
            <v>0</v>
          </cell>
          <cell r="AG5426">
            <v>0</v>
          </cell>
          <cell r="AH5426">
            <v>0</v>
          </cell>
          <cell r="AI5426">
            <v>0</v>
          </cell>
        </row>
        <row r="5427">
          <cell r="A5427">
            <v>527020000</v>
          </cell>
          <cell r="C5427">
            <v>0</v>
          </cell>
          <cell r="D5427">
            <v>0</v>
          </cell>
          <cell r="E5427">
            <v>4394172</v>
          </cell>
          <cell r="F5427">
            <v>8651157</v>
          </cell>
          <cell r="G5427">
            <v>0</v>
          </cell>
          <cell r="H5427">
            <v>0</v>
          </cell>
          <cell r="I5427">
            <v>15798989</v>
          </cell>
          <cell r="J5427">
            <v>12682915</v>
          </cell>
          <cell r="K5427">
            <v>0</v>
          </cell>
          <cell r="L5427">
            <v>17295697</v>
          </cell>
          <cell r="M5427">
            <v>0</v>
          </cell>
          <cell r="N5427">
            <v>0</v>
          </cell>
          <cell r="O5427">
            <v>86074938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19873441</v>
          </cell>
          <cell r="W5427">
            <v>0</v>
          </cell>
          <cell r="X5427">
            <v>20780324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</v>
          </cell>
          <cell r="AE5427">
            <v>158214615</v>
          </cell>
          <cell r="AF5427">
            <v>0</v>
          </cell>
          <cell r="AG5427">
            <v>0</v>
          </cell>
          <cell r="AH5427">
            <v>0</v>
          </cell>
          <cell r="AI5427">
            <v>0</v>
          </cell>
        </row>
        <row r="5428">
          <cell r="A5428">
            <v>527020100</v>
          </cell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  <cell r="I5428">
            <v>15798989</v>
          </cell>
          <cell r="J5428">
            <v>12682915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13634469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  <cell r="AG5428">
            <v>0</v>
          </cell>
          <cell r="AH5428">
            <v>0</v>
          </cell>
          <cell r="AI5428">
            <v>0</v>
          </cell>
        </row>
        <row r="5429">
          <cell r="A5429">
            <v>527020101</v>
          </cell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  <cell r="I5429">
            <v>5865099</v>
          </cell>
          <cell r="J5429">
            <v>4631500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4394172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</row>
        <row r="5430">
          <cell r="A5430">
            <v>527020102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0</v>
          </cell>
          <cell r="H5430">
            <v>0</v>
          </cell>
          <cell r="I5430">
            <v>9933890</v>
          </cell>
          <cell r="J5430">
            <v>8051415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R5430">
            <v>0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9240297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</row>
        <row r="5431">
          <cell r="A5431">
            <v>527020200</v>
          </cell>
          <cell r="C5431">
            <v>0</v>
          </cell>
          <cell r="D5431">
            <v>0</v>
          </cell>
          <cell r="E5431">
            <v>4394172</v>
          </cell>
          <cell r="F5431">
            <v>8651157</v>
          </cell>
          <cell r="G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17295697</v>
          </cell>
          <cell r="M5431">
            <v>0</v>
          </cell>
          <cell r="N5431">
            <v>0</v>
          </cell>
          <cell r="O5431">
            <v>86074938</v>
          </cell>
          <cell r="P5431">
            <v>0</v>
          </cell>
          <cell r="Q5431">
            <v>0</v>
          </cell>
          <cell r="R5431">
            <v>0</v>
          </cell>
          <cell r="S5431">
            <v>0</v>
          </cell>
          <cell r="T5431">
            <v>0</v>
          </cell>
          <cell r="U5431">
            <v>0</v>
          </cell>
          <cell r="V5431">
            <v>19873441</v>
          </cell>
          <cell r="W5431">
            <v>0</v>
          </cell>
          <cell r="X5431">
            <v>7145855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  <cell r="AE5431">
            <v>158214615</v>
          </cell>
          <cell r="AF5431">
            <v>0</v>
          </cell>
          <cell r="AG5431">
            <v>0</v>
          </cell>
          <cell r="AH5431">
            <v>0</v>
          </cell>
          <cell r="AI5431">
            <v>0</v>
          </cell>
        </row>
        <row r="5432">
          <cell r="A5432">
            <v>527020201</v>
          </cell>
          <cell r="C5432">
            <v>0</v>
          </cell>
          <cell r="D5432">
            <v>0</v>
          </cell>
          <cell r="E5432">
            <v>4394172</v>
          </cell>
          <cell r="F5432">
            <v>8651157</v>
          </cell>
          <cell r="G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15422904</v>
          </cell>
          <cell r="M5432">
            <v>0</v>
          </cell>
          <cell r="N5432">
            <v>0</v>
          </cell>
          <cell r="O5432">
            <v>86074938</v>
          </cell>
          <cell r="P5432">
            <v>0</v>
          </cell>
          <cell r="Q5432">
            <v>0</v>
          </cell>
          <cell r="R5432">
            <v>0</v>
          </cell>
          <cell r="S5432">
            <v>0</v>
          </cell>
          <cell r="T5432">
            <v>0</v>
          </cell>
          <cell r="U5432">
            <v>0</v>
          </cell>
          <cell r="V5432">
            <v>19873441</v>
          </cell>
          <cell r="W5432">
            <v>0</v>
          </cell>
          <cell r="X5432">
            <v>7145855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  <cell r="AE5432">
            <v>158214615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</row>
        <row r="5433">
          <cell r="A5433">
            <v>527020202</v>
          </cell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1872793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R5433">
            <v>0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  <cell r="AE5433">
            <v>0</v>
          </cell>
          <cell r="AF5433">
            <v>0</v>
          </cell>
          <cell r="AG5433">
            <v>0</v>
          </cell>
          <cell r="AH5433">
            <v>0</v>
          </cell>
          <cell r="AI5433">
            <v>0</v>
          </cell>
        </row>
        <row r="5434">
          <cell r="A5434">
            <v>527030000</v>
          </cell>
          <cell r="C5434">
            <v>200000000</v>
          </cell>
          <cell r="D5434">
            <v>7672265</v>
          </cell>
          <cell r="E5434">
            <v>0</v>
          </cell>
          <cell r="F5434">
            <v>23368531</v>
          </cell>
          <cell r="G5434">
            <v>0</v>
          </cell>
          <cell r="H5434">
            <v>0</v>
          </cell>
          <cell r="I5434">
            <v>535902397</v>
          </cell>
          <cell r="J5434">
            <v>0</v>
          </cell>
          <cell r="K5434">
            <v>27140182</v>
          </cell>
          <cell r="L5434">
            <v>0</v>
          </cell>
          <cell r="M5434">
            <v>31391554</v>
          </cell>
          <cell r="N5434">
            <v>0</v>
          </cell>
          <cell r="O5434">
            <v>211653281</v>
          </cell>
          <cell r="P5434">
            <v>0</v>
          </cell>
          <cell r="Q5434">
            <v>0</v>
          </cell>
          <cell r="R5434">
            <v>0</v>
          </cell>
          <cell r="S5434">
            <v>0</v>
          </cell>
          <cell r="T5434">
            <v>528301374</v>
          </cell>
          <cell r="U5434">
            <v>0</v>
          </cell>
          <cell r="V5434">
            <v>27237253</v>
          </cell>
          <cell r="W5434">
            <v>12394112</v>
          </cell>
          <cell r="X5434">
            <v>105571780</v>
          </cell>
          <cell r="Y5434">
            <v>27120833</v>
          </cell>
          <cell r="Z5434">
            <v>0</v>
          </cell>
          <cell r="AA5434">
            <v>19066325</v>
          </cell>
          <cell r="AB5434">
            <v>533908926</v>
          </cell>
          <cell r="AC5434">
            <v>0</v>
          </cell>
          <cell r="AD5434">
            <v>41246098</v>
          </cell>
          <cell r="AE5434">
            <v>546914360</v>
          </cell>
          <cell r="AF5434">
            <v>51187872</v>
          </cell>
          <cell r="AG5434">
            <v>0</v>
          </cell>
          <cell r="AH5434">
            <v>0</v>
          </cell>
          <cell r="AI5434">
            <v>0</v>
          </cell>
        </row>
        <row r="5435">
          <cell r="A5435">
            <v>527030100</v>
          </cell>
          <cell r="C5435">
            <v>0</v>
          </cell>
          <cell r="D5435">
            <v>5225182</v>
          </cell>
          <cell r="E5435">
            <v>0</v>
          </cell>
          <cell r="F5435">
            <v>173890</v>
          </cell>
          <cell r="G5435">
            <v>0</v>
          </cell>
          <cell r="H5435">
            <v>0</v>
          </cell>
          <cell r="I5435">
            <v>262742511</v>
          </cell>
          <cell r="J5435">
            <v>0</v>
          </cell>
          <cell r="K5435">
            <v>455422</v>
          </cell>
          <cell r="L5435">
            <v>0</v>
          </cell>
          <cell r="M5435">
            <v>941650</v>
          </cell>
          <cell r="N5435">
            <v>0</v>
          </cell>
          <cell r="O5435">
            <v>175344029</v>
          </cell>
          <cell r="P5435">
            <v>0</v>
          </cell>
          <cell r="Q5435">
            <v>0</v>
          </cell>
          <cell r="R5435">
            <v>0</v>
          </cell>
          <cell r="S5435">
            <v>0</v>
          </cell>
          <cell r="T5435">
            <v>0</v>
          </cell>
          <cell r="U5435">
            <v>0</v>
          </cell>
          <cell r="V5435">
            <v>4561444</v>
          </cell>
          <cell r="W5435">
            <v>7085068</v>
          </cell>
          <cell r="X5435">
            <v>35262037</v>
          </cell>
          <cell r="Y5435">
            <v>318865</v>
          </cell>
          <cell r="Z5435">
            <v>0</v>
          </cell>
          <cell r="AA5435">
            <v>113312</v>
          </cell>
          <cell r="AB5435">
            <v>99109700</v>
          </cell>
          <cell r="AC5435">
            <v>0</v>
          </cell>
          <cell r="AD5435">
            <v>6959344</v>
          </cell>
          <cell r="AE5435">
            <v>244094735</v>
          </cell>
          <cell r="AF5435">
            <v>4108872</v>
          </cell>
          <cell r="AG5435">
            <v>0</v>
          </cell>
          <cell r="AH5435">
            <v>0</v>
          </cell>
          <cell r="AI5435">
            <v>0</v>
          </cell>
        </row>
        <row r="5436">
          <cell r="A5436">
            <v>527030101</v>
          </cell>
          <cell r="C5436">
            <v>0</v>
          </cell>
          <cell r="D5436">
            <v>5225182</v>
          </cell>
          <cell r="E5436">
            <v>0</v>
          </cell>
          <cell r="F5436">
            <v>173890</v>
          </cell>
          <cell r="G5436">
            <v>0</v>
          </cell>
          <cell r="H5436">
            <v>0</v>
          </cell>
          <cell r="I5436">
            <v>119058642</v>
          </cell>
          <cell r="J5436">
            <v>0</v>
          </cell>
          <cell r="K5436">
            <v>455422</v>
          </cell>
          <cell r="L5436">
            <v>0</v>
          </cell>
          <cell r="M5436">
            <v>941650</v>
          </cell>
          <cell r="N5436">
            <v>0</v>
          </cell>
          <cell r="O5436">
            <v>15477681</v>
          </cell>
          <cell r="P5436">
            <v>0</v>
          </cell>
          <cell r="Q5436">
            <v>0</v>
          </cell>
          <cell r="R5436">
            <v>0</v>
          </cell>
          <cell r="S5436">
            <v>0</v>
          </cell>
          <cell r="T5436">
            <v>0</v>
          </cell>
          <cell r="U5436">
            <v>0</v>
          </cell>
          <cell r="V5436">
            <v>4561444</v>
          </cell>
          <cell r="W5436">
            <v>7085068</v>
          </cell>
          <cell r="X5436">
            <v>35262037</v>
          </cell>
          <cell r="Y5436">
            <v>0</v>
          </cell>
          <cell r="Z5436">
            <v>0</v>
          </cell>
          <cell r="AA5436">
            <v>0</v>
          </cell>
          <cell r="AB5436">
            <v>99109700</v>
          </cell>
          <cell r="AC5436">
            <v>0</v>
          </cell>
          <cell r="AD5436">
            <v>6959344</v>
          </cell>
          <cell r="AE5436">
            <v>244094735</v>
          </cell>
          <cell r="AF5436">
            <v>0</v>
          </cell>
          <cell r="AG5436">
            <v>0</v>
          </cell>
          <cell r="AH5436">
            <v>0</v>
          </cell>
          <cell r="AI5436">
            <v>0</v>
          </cell>
        </row>
        <row r="5437">
          <cell r="A5437">
            <v>527030102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R5437">
            <v>0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  <cell r="Y5437">
            <v>318865</v>
          </cell>
          <cell r="Z5437">
            <v>0</v>
          </cell>
          <cell r="AA5437">
            <v>113312</v>
          </cell>
          <cell r="AB5437">
            <v>0</v>
          </cell>
          <cell r="AC5437">
            <v>0</v>
          </cell>
          <cell r="AD5437">
            <v>0</v>
          </cell>
          <cell r="AE5437">
            <v>0</v>
          </cell>
          <cell r="AF5437">
            <v>0</v>
          </cell>
          <cell r="AG5437">
            <v>0</v>
          </cell>
          <cell r="AH5437">
            <v>0</v>
          </cell>
          <cell r="AI5437">
            <v>0</v>
          </cell>
        </row>
        <row r="5438">
          <cell r="A5438">
            <v>527030103</v>
          </cell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G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</row>
        <row r="5439">
          <cell r="A5439">
            <v>527030104</v>
          </cell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  <cell r="I5439">
            <v>143683869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159866348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  <cell r="AC5439">
            <v>0</v>
          </cell>
          <cell r="AD5439">
            <v>0</v>
          </cell>
          <cell r="AE5439">
            <v>0</v>
          </cell>
          <cell r="AF5439">
            <v>4108872</v>
          </cell>
          <cell r="AG5439">
            <v>0</v>
          </cell>
          <cell r="AH5439">
            <v>0</v>
          </cell>
          <cell r="AI5439">
            <v>0</v>
          </cell>
        </row>
        <row r="5440">
          <cell r="A5440">
            <v>527030200</v>
          </cell>
          <cell r="C5440">
            <v>0</v>
          </cell>
          <cell r="D5440">
            <v>159488</v>
          </cell>
          <cell r="E5440">
            <v>0</v>
          </cell>
          <cell r="F5440">
            <v>0</v>
          </cell>
          <cell r="G5440">
            <v>0</v>
          </cell>
          <cell r="H5440">
            <v>0</v>
          </cell>
          <cell r="I5440">
            <v>6183346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4234927</v>
          </cell>
          <cell r="P5440">
            <v>0</v>
          </cell>
          <cell r="Q5440">
            <v>0</v>
          </cell>
          <cell r="R5440">
            <v>0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868455</v>
          </cell>
          <cell r="X5440">
            <v>11105562</v>
          </cell>
          <cell r="Y5440">
            <v>117479</v>
          </cell>
          <cell r="Z5440">
            <v>0</v>
          </cell>
          <cell r="AA5440">
            <v>0</v>
          </cell>
          <cell r="AB5440">
            <v>9158031</v>
          </cell>
          <cell r="AC5440">
            <v>0</v>
          </cell>
          <cell r="AD5440">
            <v>5220664</v>
          </cell>
          <cell r="AE5440">
            <v>157708113</v>
          </cell>
          <cell r="AF5440">
            <v>0</v>
          </cell>
          <cell r="AG5440">
            <v>0</v>
          </cell>
          <cell r="AH5440">
            <v>0</v>
          </cell>
          <cell r="AI5440">
            <v>0</v>
          </cell>
        </row>
        <row r="5441">
          <cell r="A5441">
            <v>527030201</v>
          </cell>
          <cell r="C5441">
            <v>0</v>
          </cell>
          <cell r="D5441">
            <v>159488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  <cell r="I5441">
            <v>6183346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4234927</v>
          </cell>
          <cell r="P5441">
            <v>0</v>
          </cell>
          <cell r="Q5441">
            <v>0</v>
          </cell>
          <cell r="R5441">
            <v>0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868455</v>
          </cell>
          <cell r="X5441">
            <v>11105562</v>
          </cell>
          <cell r="Y5441">
            <v>0</v>
          </cell>
          <cell r="Z5441">
            <v>0</v>
          </cell>
          <cell r="AA5441">
            <v>0</v>
          </cell>
          <cell r="AB5441">
            <v>9158031</v>
          </cell>
          <cell r="AC5441">
            <v>0</v>
          </cell>
          <cell r="AD5441">
            <v>5220664</v>
          </cell>
          <cell r="AE5441">
            <v>157708113</v>
          </cell>
          <cell r="AF5441">
            <v>0</v>
          </cell>
          <cell r="AG5441">
            <v>0</v>
          </cell>
          <cell r="AH5441">
            <v>0</v>
          </cell>
          <cell r="AI5441">
            <v>0</v>
          </cell>
        </row>
        <row r="5442">
          <cell r="A5442">
            <v>527030202</v>
          </cell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G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R5442">
            <v>0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117479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  <cell r="AE5442">
            <v>0</v>
          </cell>
          <cell r="AF5442">
            <v>0</v>
          </cell>
          <cell r="AG5442">
            <v>0</v>
          </cell>
          <cell r="AH5442">
            <v>0</v>
          </cell>
          <cell r="AI5442">
            <v>0</v>
          </cell>
        </row>
        <row r="5443">
          <cell r="A5443">
            <v>527030203</v>
          </cell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R5443">
            <v>0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  <cell r="AE5443">
            <v>0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</row>
        <row r="5444">
          <cell r="A5444">
            <v>527030204</v>
          </cell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G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R5444">
            <v>0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  <cell r="AE5444">
            <v>0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</row>
        <row r="5445">
          <cell r="A5445">
            <v>527030300</v>
          </cell>
          <cell r="C5445">
            <v>0</v>
          </cell>
          <cell r="D5445">
            <v>65196</v>
          </cell>
          <cell r="E5445">
            <v>0</v>
          </cell>
          <cell r="F5445">
            <v>44479</v>
          </cell>
          <cell r="G5445">
            <v>0</v>
          </cell>
          <cell r="H5445">
            <v>0</v>
          </cell>
          <cell r="I5445">
            <v>129600</v>
          </cell>
          <cell r="J5445">
            <v>0</v>
          </cell>
          <cell r="K5445">
            <v>112478</v>
          </cell>
          <cell r="L5445">
            <v>0</v>
          </cell>
          <cell r="M5445">
            <v>93589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R5445">
            <v>0</v>
          </cell>
          <cell r="S5445">
            <v>0</v>
          </cell>
          <cell r="T5445">
            <v>0</v>
          </cell>
          <cell r="U5445">
            <v>0</v>
          </cell>
          <cell r="V5445">
            <v>408524</v>
          </cell>
          <cell r="W5445">
            <v>15312</v>
          </cell>
          <cell r="X5445">
            <v>0</v>
          </cell>
          <cell r="Y5445">
            <v>75101</v>
          </cell>
          <cell r="Z5445">
            <v>0</v>
          </cell>
          <cell r="AA5445">
            <v>32441</v>
          </cell>
          <cell r="AB5445">
            <v>10188240</v>
          </cell>
          <cell r="AC5445">
            <v>0</v>
          </cell>
          <cell r="AD5445">
            <v>1777826</v>
          </cell>
          <cell r="AE5445">
            <v>38937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</row>
        <row r="5446">
          <cell r="A5446">
            <v>527030301</v>
          </cell>
          <cell r="C5446">
            <v>0</v>
          </cell>
          <cell r="D5446">
            <v>65196</v>
          </cell>
          <cell r="E5446">
            <v>0</v>
          </cell>
          <cell r="F5446">
            <v>44479</v>
          </cell>
          <cell r="G5446">
            <v>0</v>
          </cell>
          <cell r="H5446">
            <v>0</v>
          </cell>
          <cell r="I5446">
            <v>129600</v>
          </cell>
          <cell r="J5446">
            <v>0</v>
          </cell>
          <cell r="K5446">
            <v>112478</v>
          </cell>
          <cell r="L5446">
            <v>0</v>
          </cell>
          <cell r="M5446">
            <v>93589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R5446">
            <v>0</v>
          </cell>
          <cell r="S5446">
            <v>0</v>
          </cell>
          <cell r="T5446">
            <v>0</v>
          </cell>
          <cell r="U5446">
            <v>0</v>
          </cell>
          <cell r="V5446">
            <v>408524</v>
          </cell>
          <cell r="W5446">
            <v>15312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10188240</v>
          </cell>
          <cell r="AC5446">
            <v>0</v>
          </cell>
          <cell r="AD5446">
            <v>1777826</v>
          </cell>
          <cell r="AE5446">
            <v>38937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</row>
        <row r="5447">
          <cell r="A5447">
            <v>527030302</v>
          </cell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R5447">
            <v>0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75101</v>
          </cell>
          <cell r="Z5447">
            <v>0</v>
          </cell>
          <cell r="AA5447">
            <v>32441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</row>
        <row r="5448">
          <cell r="A5448">
            <v>527030303</v>
          </cell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  <cell r="AG5448">
            <v>0</v>
          </cell>
          <cell r="AH5448">
            <v>0</v>
          </cell>
          <cell r="AI5448">
            <v>0</v>
          </cell>
        </row>
        <row r="5449">
          <cell r="A5449">
            <v>527030304</v>
          </cell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R5449">
            <v>0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  <cell r="AG5449">
            <v>0</v>
          </cell>
          <cell r="AH5449">
            <v>0</v>
          </cell>
          <cell r="AI5449">
            <v>0</v>
          </cell>
        </row>
        <row r="5450">
          <cell r="A5450">
            <v>527030400</v>
          </cell>
          <cell r="C5450">
            <v>0</v>
          </cell>
          <cell r="D5450">
            <v>0</v>
          </cell>
          <cell r="E5450">
            <v>0</v>
          </cell>
          <cell r="F5450">
            <v>22638734</v>
          </cell>
          <cell r="G5450">
            <v>0</v>
          </cell>
          <cell r="H5450">
            <v>0</v>
          </cell>
          <cell r="I5450">
            <v>200599962</v>
          </cell>
          <cell r="J5450">
            <v>0</v>
          </cell>
          <cell r="K5450">
            <v>25790525</v>
          </cell>
          <cell r="L5450">
            <v>0</v>
          </cell>
          <cell r="M5450">
            <v>28166364</v>
          </cell>
          <cell r="N5450">
            <v>0</v>
          </cell>
          <cell r="O5450">
            <v>1080287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241836</v>
          </cell>
          <cell r="W5450">
            <v>3462777</v>
          </cell>
          <cell r="X5450">
            <v>28478135</v>
          </cell>
          <cell r="Y5450">
            <v>25825628</v>
          </cell>
          <cell r="Z5450">
            <v>0</v>
          </cell>
          <cell r="AA5450">
            <v>18901151</v>
          </cell>
          <cell r="AB5450">
            <v>208120748</v>
          </cell>
          <cell r="AC5450">
            <v>0</v>
          </cell>
          <cell r="AD5450">
            <v>0</v>
          </cell>
          <cell r="AE5450">
            <v>0</v>
          </cell>
          <cell r="AF5450">
            <v>47079000</v>
          </cell>
          <cell r="AG5450">
            <v>0</v>
          </cell>
          <cell r="AH5450">
            <v>0</v>
          </cell>
          <cell r="AI5450">
            <v>0</v>
          </cell>
        </row>
        <row r="5451">
          <cell r="A5451">
            <v>527030401</v>
          </cell>
          <cell r="C5451">
            <v>0</v>
          </cell>
          <cell r="D5451">
            <v>0</v>
          </cell>
          <cell r="E5451">
            <v>0</v>
          </cell>
          <cell r="F5451">
            <v>2792315</v>
          </cell>
          <cell r="G5451">
            <v>0</v>
          </cell>
          <cell r="H5451">
            <v>0</v>
          </cell>
          <cell r="I5451">
            <v>200599962</v>
          </cell>
          <cell r="J5451">
            <v>0</v>
          </cell>
          <cell r="K5451">
            <v>25790525</v>
          </cell>
          <cell r="L5451">
            <v>0</v>
          </cell>
          <cell r="M5451">
            <v>28166364</v>
          </cell>
          <cell r="N5451">
            <v>0</v>
          </cell>
          <cell r="O5451">
            <v>1080287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3462777</v>
          </cell>
          <cell r="X5451">
            <v>19607295</v>
          </cell>
          <cell r="Y5451">
            <v>0</v>
          </cell>
          <cell r="Z5451">
            <v>0</v>
          </cell>
          <cell r="AA5451">
            <v>0</v>
          </cell>
          <cell r="AB5451">
            <v>207936108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</row>
        <row r="5452">
          <cell r="A5452">
            <v>527030402</v>
          </cell>
          <cell r="C5452">
            <v>0</v>
          </cell>
          <cell r="D5452">
            <v>0</v>
          </cell>
          <cell r="E5452">
            <v>0</v>
          </cell>
          <cell r="F5452">
            <v>19846419</v>
          </cell>
          <cell r="G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8870840</v>
          </cell>
          <cell r="Y5452">
            <v>25825628</v>
          </cell>
          <cell r="Z5452">
            <v>0</v>
          </cell>
          <cell r="AA5452">
            <v>18901151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47079000</v>
          </cell>
          <cell r="AG5452">
            <v>0</v>
          </cell>
          <cell r="AH5452">
            <v>0</v>
          </cell>
          <cell r="AI5452">
            <v>0</v>
          </cell>
        </row>
        <row r="5453">
          <cell r="A5453">
            <v>527030403</v>
          </cell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  <cell r="AG5453">
            <v>0</v>
          </cell>
          <cell r="AH5453">
            <v>0</v>
          </cell>
          <cell r="AI5453">
            <v>0</v>
          </cell>
        </row>
        <row r="5454">
          <cell r="A5454">
            <v>527030404</v>
          </cell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  <cell r="S5454">
            <v>0</v>
          </cell>
          <cell r="T5454">
            <v>0</v>
          </cell>
          <cell r="U5454">
            <v>0</v>
          </cell>
          <cell r="V5454">
            <v>241836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184640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  <cell r="AG5454">
            <v>0</v>
          </cell>
          <cell r="AH5454">
            <v>0</v>
          </cell>
          <cell r="AI5454">
            <v>0</v>
          </cell>
        </row>
        <row r="5455">
          <cell r="A5455">
            <v>527030500</v>
          </cell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G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R5455">
            <v>0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  <cell r="AG5455">
            <v>0</v>
          </cell>
          <cell r="AH5455">
            <v>0</v>
          </cell>
          <cell r="AI5455">
            <v>0</v>
          </cell>
        </row>
        <row r="5456">
          <cell r="A5456">
            <v>527030501</v>
          </cell>
          <cell r="C5456">
            <v>0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R5456">
            <v>0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</row>
        <row r="5457">
          <cell r="A5457">
            <v>527030502</v>
          </cell>
          <cell r="C5457">
            <v>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  <cell r="AG5457">
            <v>0</v>
          </cell>
          <cell r="AH5457">
            <v>0</v>
          </cell>
          <cell r="AI5457">
            <v>0</v>
          </cell>
        </row>
        <row r="5458">
          <cell r="A5458">
            <v>527030503</v>
          </cell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R5458">
            <v>0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</row>
        <row r="5459">
          <cell r="A5459">
            <v>527030504</v>
          </cell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</row>
        <row r="5460">
          <cell r="A5460">
            <v>527030600</v>
          </cell>
          <cell r="C5460">
            <v>0</v>
          </cell>
          <cell r="D5460">
            <v>0</v>
          </cell>
          <cell r="E5460">
            <v>0</v>
          </cell>
          <cell r="F5460">
            <v>118278</v>
          </cell>
          <cell r="G5460">
            <v>0</v>
          </cell>
          <cell r="H5460">
            <v>0</v>
          </cell>
          <cell r="I5460">
            <v>16294643</v>
          </cell>
          <cell r="J5460">
            <v>0</v>
          </cell>
          <cell r="K5460">
            <v>106949</v>
          </cell>
          <cell r="L5460">
            <v>0</v>
          </cell>
          <cell r="M5460">
            <v>550822</v>
          </cell>
          <cell r="N5460">
            <v>0</v>
          </cell>
          <cell r="O5460">
            <v>174598</v>
          </cell>
          <cell r="P5460">
            <v>0</v>
          </cell>
          <cell r="Q5460">
            <v>0</v>
          </cell>
          <cell r="R5460">
            <v>0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3697466</v>
          </cell>
          <cell r="Y5460">
            <v>389853</v>
          </cell>
          <cell r="Z5460">
            <v>0</v>
          </cell>
          <cell r="AA5460">
            <v>0</v>
          </cell>
          <cell r="AB5460">
            <v>19473179</v>
          </cell>
          <cell r="AC5460">
            <v>0</v>
          </cell>
          <cell r="AD5460">
            <v>9032041</v>
          </cell>
          <cell r="AE5460">
            <v>78326549</v>
          </cell>
          <cell r="AF5460">
            <v>0</v>
          </cell>
          <cell r="AG5460">
            <v>0</v>
          </cell>
          <cell r="AH5460">
            <v>0</v>
          </cell>
          <cell r="AI5460">
            <v>0</v>
          </cell>
        </row>
        <row r="5461">
          <cell r="A5461">
            <v>527030601</v>
          </cell>
          <cell r="C5461">
            <v>0</v>
          </cell>
          <cell r="D5461">
            <v>0</v>
          </cell>
          <cell r="E5461">
            <v>0</v>
          </cell>
          <cell r="F5461">
            <v>106950</v>
          </cell>
          <cell r="G5461">
            <v>0</v>
          </cell>
          <cell r="H5461">
            <v>0</v>
          </cell>
          <cell r="I5461">
            <v>16294643</v>
          </cell>
          <cell r="J5461">
            <v>0</v>
          </cell>
          <cell r="K5461">
            <v>106949</v>
          </cell>
          <cell r="L5461">
            <v>0</v>
          </cell>
          <cell r="M5461">
            <v>550822</v>
          </cell>
          <cell r="N5461">
            <v>0</v>
          </cell>
          <cell r="O5461">
            <v>174598</v>
          </cell>
          <cell r="P5461">
            <v>0</v>
          </cell>
          <cell r="Q5461">
            <v>0</v>
          </cell>
          <cell r="R5461">
            <v>0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3697466</v>
          </cell>
          <cell r="Y5461">
            <v>0</v>
          </cell>
          <cell r="Z5461">
            <v>0</v>
          </cell>
          <cell r="AA5461">
            <v>0</v>
          </cell>
          <cell r="AB5461">
            <v>19473179</v>
          </cell>
          <cell r="AC5461">
            <v>0</v>
          </cell>
          <cell r="AD5461">
            <v>9032041</v>
          </cell>
          <cell r="AE5461">
            <v>78326549</v>
          </cell>
          <cell r="AF5461">
            <v>0</v>
          </cell>
          <cell r="AG5461">
            <v>0</v>
          </cell>
          <cell r="AH5461">
            <v>0</v>
          </cell>
          <cell r="AI5461">
            <v>0</v>
          </cell>
        </row>
        <row r="5462">
          <cell r="A5462">
            <v>527030602</v>
          </cell>
          <cell r="C5462">
            <v>0</v>
          </cell>
          <cell r="D5462">
            <v>0</v>
          </cell>
          <cell r="E5462">
            <v>0</v>
          </cell>
          <cell r="F5462">
            <v>11328</v>
          </cell>
          <cell r="G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389853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</row>
        <row r="5463">
          <cell r="A5463">
            <v>527030603</v>
          </cell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R5463">
            <v>0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  <cell r="AI5463">
            <v>0</v>
          </cell>
        </row>
        <row r="5464">
          <cell r="A5464">
            <v>527030604</v>
          </cell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R5464">
            <v>0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  <cell r="AI5464">
            <v>0</v>
          </cell>
        </row>
        <row r="5465">
          <cell r="A5465">
            <v>527030700</v>
          </cell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  <cell r="I5465">
            <v>3301220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2331725</v>
          </cell>
          <cell r="P5465">
            <v>0</v>
          </cell>
          <cell r="Q5465">
            <v>0</v>
          </cell>
          <cell r="R5465">
            <v>0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1986376</v>
          </cell>
          <cell r="Y5465">
            <v>0</v>
          </cell>
          <cell r="Z5465">
            <v>0</v>
          </cell>
          <cell r="AA5465">
            <v>0</v>
          </cell>
          <cell r="AB5465">
            <v>3168849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  <cell r="AI5465">
            <v>0</v>
          </cell>
        </row>
        <row r="5466">
          <cell r="A5466">
            <v>527030701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0</v>
          </cell>
          <cell r="H5466">
            <v>0</v>
          </cell>
          <cell r="I5466">
            <v>3301220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2331725</v>
          </cell>
          <cell r="P5466">
            <v>0</v>
          </cell>
          <cell r="Q5466">
            <v>0</v>
          </cell>
          <cell r="R5466">
            <v>0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1986376</v>
          </cell>
          <cell r="Y5466">
            <v>0</v>
          </cell>
          <cell r="Z5466">
            <v>0</v>
          </cell>
          <cell r="AA5466">
            <v>0</v>
          </cell>
          <cell r="AB5466">
            <v>3168849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</row>
        <row r="5467">
          <cell r="A5467">
            <v>527030702</v>
          </cell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0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</row>
        <row r="5468">
          <cell r="A5468">
            <v>527030703</v>
          </cell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</row>
        <row r="5469">
          <cell r="A5469">
            <v>527030704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</row>
        <row r="5470">
          <cell r="A5470">
            <v>527030800</v>
          </cell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R5470">
            <v>0</v>
          </cell>
          <cell r="S5470">
            <v>0</v>
          </cell>
          <cell r="T5470">
            <v>528301374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3020000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</row>
        <row r="5471">
          <cell r="A5471">
            <v>527030801</v>
          </cell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R5471">
            <v>0</v>
          </cell>
          <cell r="S5471">
            <v>0</v>
          </cell>
          <cell r="T5471">
            <v>65952026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3020000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</row>
        <row r="5472">
          <cell r="A5472">
            <v>527030802</v>
          </cell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R5472">
            <v>0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</row>
        <row r="5473">
          <cell r="A5473">
            <v>527030803</v>
          </cell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R5473">
            <v>0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  <cell r="AI5473">
            <v>0</v>
          </cell>
        </row>
        <row r="5474">
          <cell r="A5474">
            <v>527030804</v>
          </cell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R5474">
            <v>0</v>
          </cell>
          <cell r="S5474">
            <v>0</v>
          </cell>
          <cell r="T5474">
            <v>462349348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</row>
        <row r="5475">
          <cell r="A5475">
            <v>527030900</v>
          </cell>
          <cell r="C5475">
            <v>0</v>
          </cell>
          <cell r="D5475">
            <v>0</v>
          </cell>
          <cell r="E5475">
            <v>0</v>
          </cell>
          <cell r="F5475">
            <v>332947</v>
          </cell>
          <cell r="G5475">
            <v>0</v>
          </cell>
          <cell r="H5475">
            <v>0</v>
          </cell>
          <cell r="I5475">
            <v>1310571</v>
          </cell>
          <cell r="J5475">
            <v>0</v>
          </cell>
          <cell r="K5475">
            <v>438688</v>
          </cell>
          <cell r="L5475">
            <v>0</v>
          </cell>
          <cell r="M5475">
            <v>1624241</v>
          </cell>
          <cell r="N5475">
            <v>0</v>
          </cell>
          <cell r="O5475">
            <v>73094</v>
          </cell>
          <cell r="P5475">
            <v>0</v>
          </cell>
          <cell r="Q5475">
            <v>0</v>
          </cell>
          <cell r="R5475">
            <v>0</v>
          </cell>
          <cell r="S5475">
            <v>0</v>
          </cell>
          <cell r="T5475">
            <v>0</v>
          </cell>
          <cell r="U5475">
            <v>0</v>
          </cell>
          <cell r="V5475">
            <v>98249</v>
          </cell>
          <cell r="W5475">
            <v>0</v>
          </cell>
          <cell r="X5475">
            <v>0</v>
          </cell>
          <cell r="Y5475">
            <v>332945</v>
          </cell>
          <cell r="Z5475">
            <v>0</v>
          </cell>
          <cell r="AA5475">
            <v>0</v>
          </cell>
          <cell r="AB5475">
            <v>18265505</v>
          </cell>
          <cell r="AC5475">
            <v>0</v>
          </cell>
          <cell r="AD5475">
            <v>0</v>
          </cell>
          <cell r="AE5475">
            <v>63725226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</row>
        <row r="5476">
          <cell r="A5476">
            <v>527030901</v>
          </cell>
          <cell r="C5476">
            <v>0</v>
          </cell>
          <cell r="D5476">
            <v>0</v>
          </cell>
          <cell r="E5476">
            <v>0</v>
          </cell>
          <cell r="F5476">
            <v>332947</v>
          </cell>
          <cell r="G5476">
            <v>0</v>
          </cell>
          <cell r="H5476">
            <v>0</v>
          </cell>
          <cell r="I5476">
            <v>1310571</v>
          </cell>
          <cell r="J5476">
            <v>0</v>
          </cell>
          <cell r="K5476">
            <v>438688</v>
          </cell>
          <cell r="L5476">
            <v>0</v>
          </cell>
          <cell r="M5476">
            <v>1624241</v>
          </cell>
          <cell r="N5476">
            <v>0</v>
          </cell>
          <cell r="O5476">
            <v>73094</v>
          </cell>
          <cell r="P5476">
            <v>0</v>
          </cell>
          <cell r="Q5476">
            <v>0</v>
          </cell>
          <cell r="R5476">
            <v>0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18265505</v>
          </cell>
          <cell r="AC5476">
            <v>0</v>
          </cell>
          <cell r="AD5476">
            <v>0</v>
          </cell>
          <cell r="AE5476">
            <v>63725226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</row>
        <row r="5477">
          <cell r="A5477">
            <v>527030902</v>
          </cell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332945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  <cell r="AI5477">
            <v>0</v>
          </cell>
        </row>
        <row r="5478">
          <cell r="A5478">
            <v>527030903</v>
          </cell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G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</row>
        <row r="5479">
          <cell r="A5479">
            <v>527030904</v>
          </cell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98249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</row>
        <row r="5480">
          <cell r="A5480">
            <v>527031000</v>
          </cell>
          <cell r="C5480">
            <v>200000000</v>
          </cell>
          <cell r="D5480">
            <v>0</v>
          </cell>
          <cell r="E5480">
            <v>0</v>
          </cell>
          <cell r="F5480">
            <v>45315</v>
          </cell>
          <cell r="G5480">
            <v>0</v>
          </cell>
          <cell r="H5480">
            <v>0</v>
          </cell>
          <cell r="I5480">
            <v>957460</v>
          </cell>
          <cell r="J5480">
            <v>0</v>
          </cell>
          <cell r="K5480">
            <v>33986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1081400</v>
          </cell>
          <cell r="W5480">
            <v>962500</v>
          </cell>
          <cell r="X5480">
            <v>0</v>
          </cell>
          <cell r="Y5480">
            <v>45315</v>
          </cell>
          <cell r="Z5480">
            <v>0</v>
          </cell>
          <cell r="AA5480">
            <v>0</v>
          </cell>
          <cell r="AB5480">
            <v>3087164</v>
          </cell>
          <cell r="AC5480">
            <v>0</v>
          </cell>
          <cell r="AD5480">
            <v>3243182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</row>
        <row r="5481">
          <cell r="A5481">
            <v>527031001</v>
          </cell>
          <cell r="C5481">
            <v>200000000</v>
          </cell>
          <cell r="D5481">
            <v>0</v>
          </cell>
          <cell r="E5481">
            <v>0</v>
          </cell>
          <cell r="F5481">
            <v>45315</v>
          </cell>
          <cell r="G5481">
            <v>0</v>
          </cell>
          <cell r="H5481">
            <v>0</v>
          </cell>
          <cell r="I5481">
            <v>957460</v>
          </cell>
          <cell r="J5481">
            <v>0</v>
          </cell>
          <cell r="K5481">
            <v>33986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962500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3087164</v>
          </cell>
          <cell r="AC5481">
            <v>0</v>
          </cell>
          <cell r="AD5481">
            <v>3243182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</row>
        <row r="5482">
          <cell r="A5482">
            <v>527031002</v>
          </cell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45315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</row>
        <row r="5483">
          <cell r="A5483">
            <v>527031003</v>
          </cell>
          <cell r="C5483">
            <v>0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  <cell r="AI5483">
            <v>0</v>
          </cell>
        </row>
        <row r="5484">
          <cell r="A5484">
            <v>527031004</v>
          </cell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1081400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  <cell r="AG5484">
            <v>0</v>
          </cell>
          <cell r="AH5484">
            <v>0</v>
          </cell>
          <cell r="AI5484">
            <v>0</v>
          </cell>
        </row>
        <row r="5485">
          <cell r="A5485">
            <v>527031100</v>
          </cell>
          <cell r="C5485">
            <v>0</v>
          </cell>
          <cell r="D5485">
            <v>2222399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  <cell r="I5485">
            <v>2505602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657506</v>
          </cell>
          <cell r="Y5485">
            <v>0</v>
          </cell>
          <cell r="Z5485">
            <v>0</v>
          </cell>
          <cell r="AA5485">
            <v>0</v>
          </cell>
          <cell r="AB5485">
            <v>15568182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0</v>
          </cell>
          <cell r="AH5485">
            <v>0</v>
          </cell>
          <cell r="AI5485">
            <v>0</v>
          </cell>
        </row>
        <row r="5486">
          <cell r="A5486">
            <v>527031101</v>
          </cell>
          <cell r="C5486">
            <v>0</v>
          </cell>
          <cell r="D5486">
            <v>2222399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  <cell r="I5486">
            <v>2505602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657506</v>
          </cell>
          <cell r="Y5486">
            <v>0</v>
          </cell>
          <cell r="Z5486">
            <v>0</v>
          </cell>
          <cell r="AA5486">
            <v>0</v>
          </cell>
          <cell r="AB5486">
            <v>15568182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</row>
        <row r="5487">
          <cell r="A5487">
            <v>527031102</v>
          </cell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  <cell r="AE5487">
            <v>0</v>
          </cell>
          <cell r="AF5487">
            <v>0</v>
          </cell>
          <cell r="AG5487">
            <v>0</v>
          </cell>
          <cell r="AH5487">
            <v>0</v>
          </cell>
          <cell r="AI5487">
            <v>0</v>
          </cell>
        </row>
        <row r="5488">
          <cell r="A5488">
            <v>527031103</v>
          </cell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  <cell r="AI5488">
            <v>0</v>
          </cell>
        </row>
        <row r="5489">
          <cell r="A5489">
            <v>527031104</v>
          </cell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  <cell r="AI5489">
            <v>0</v>
          </cell>
        </row>
        <row r="5490">
          <cell r="A5490">
            <v>527031200</v>
          </cell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  <cell r="I5490">
            <v>33411147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9701795</v>
          </cell>
          <cell r="P5490">
            <v>0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20845800</v>
          </cell>
          <cell r="W5490">
            <v>0</v>
          </cell>
          <cell r="X5490">
            <v>20222161</v>
          </cell>
          <cell r="Y5490">
            <v>0</v>
          </cell>
          <cell r="Z5490">
            <v>0</v>
          </cell>
          <cell r="AA5490">
            <v>0</v>
          </cell>
          <cell r="AB5490">
            <v>64053051</v>
          </cell>
          <cell r="AC5490">
            <v>0</v>
          </cell>
          <cell r="AD5490">
            <v>8144370</v>
          </cell>
          <cell r="AE5490">
            <v>800</v>
          </cell>
          <cell r="AF5490">
            <v>0</v>
          </cell>
          <cell r="AG5490">
            <v>0</v>
          </cell>
          <cell r="AH5490">
            <v>0</v>
          </cell>
          <cell r="AI5490">
            <v>0</v>
          </cell>
        </row>
        <row r="5491">
          <cell r="A5491">
            <v>527031201</v>
          </cell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G5491">
            <v>0</v>
          </cell>
          <cell r="H5491">
            <v>0</v>
          </cell>
          <cell r="I5491">
            <v>33411147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9701795</v>
          </cell>
          <cell r="P5491">
            <v>0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20222161</v>
          </cell>
          <cell r="Y5491">
            <v>0</v>
          </cell>
          <cell r="Z5491">
            <v>0</v>
          </cell>
          <cell r="AA5491">
            <v>0</v>
          </cell>
          <cell r="AB5491">
            <v>64053051</v>
          </cell>
          <cell r="AC5491">
            <v>0</v>
          </cell>
          <cell r="AD5491">
            <v>8144370</v>
          </cell>
          <cell r="AE5491">
            <v>800</v>
          </cell>
          <cell r="AF5491">
            <v>0</v>
          </cell>
          <cell r="AG5491">
            <v>0</v>
          </cell>
          <cell r="AH5491">
            <v>0</v>
          </cell>
          <cell r="AI5491">
            <v>0</v>
          </cell>
        </row>
        <row r="5492">
          <cell r="A5492">
            <v>527031202</v>
          </cell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G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R5492">
            <v>0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  <cell r="AI5492">
            <v>0</v>
          </cell>
        </row>
        <row r="5493">
          <cell r="A5493">
            <v>527031203</v>
          </cell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  <cell r="AI5493">
            <v>0</v>
          </cell>
        </row>
        <row r="5494">
          <cell r="A5494">
            <v>527031204</v>
          </cell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G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20845800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</row>
        <row r="5495">
          <cell r="A5495">
            <v>527031300</v>
          </cell>
          <cell r="C5495">
            <v>0</v>
          </cell>
          <cell r="D5495">
            <v>0</v>
          </cell>
          <cell r="E5495">
            <v>0</v>
          </cell>
          <cell r="F5495">
            <v>14888</v>
          </cell>
          <cell r="G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202134</v>
          </cell>
          <cell r="L5495">
            <v>0</v>
          </cell>
          <cell r="M5495">
            <v>14888</v>
          </cell>
          <cell r="N5495">
            <v>0</v>
          </cell>
          <cell r="O5495">
            <v>18712826</v>
          </cell>
          <cell r="P5495">
            <v>0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4162537</v>
          </cell>
          <cell r="Y5495">
            <v>15647</v>
          </cell>
          <cell r="Z5495">
            <v>0</v>
          </cell>
          <cell r="AA5495">
            <v>19421</v>
          </cell>
          <cell r="AB5495">
            <v>1497121</v>
          </cell>
          <cell r="AC5495">
            <v>0</v>
          </cell>
          <cell r="AD5495">
            <v>6868671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  <cell r="AI5495">
            <v>0</v>
          </cell>
        </row>
        <row r="5496">
          <cell r="A5496">
            <v>527031301</v>
          </cell>
          <cell r="C5496">
            <v>0</v>
          </cell>
          <cell r="D5496">
            <v>0</v>
          </cell>
          <cell r="E5496">
            <v>0</v>
          </cell>
          <cell r="F5496">
            <v>14888</v>
          </cell>
          <cell r="G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202134</v>
          </cell>
          <cell r="L5496">
            <v>0</v>
          </cell>
          <cell r="M5496">
            <v>14888</v>
          </cell>
          <cell r="N5496">
            <v>0</v>
          </cell>
          <cell r="O5496">
            <v>18712826</v>
          </cell>
          <cell r="P5496">
            <v>0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4162537</v>
          </cell>
          <cell r="Y5496">
            <v>0</v>
          </cell>
          <cell r="Z5496">
            <v>0</v>
          </cell>
          <cell r="AA5496">
            <v>0</v>
          </cell>
          <cell r="AB5496">
            <v>1497121</v>
          </cell>
          <cell r="AC5496">
            <v>0</v>
          </cell>
          <cell r="AD5496">
            <v>6868671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  <cell r="AI5496">
            <v>0</v>
          </cell>
        </row>
        <row r="5497">
          <cell r="A5497">
            <v>527031302</v>
          </cell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0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15647</v>
          </cell>
          <cell r="Z5497">
            <v>0</v>
          </cell>
          <cell r="AA5497">
            <v>19421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</row>
        <row r="5498">
          <cell r="A5498">
            <v>527031303</v>
          </cell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  <cell r="AI5498">
            <v>0</v>
          </cell>
        </row>
        <row r="5499">
          <cell r="A5499">
            <v>527031304</v>
          </cell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  <cell r="AI5499">
            <v>0</v>
          </cell>
        </row>
        <row r="5500">
          <cell r="A5500">
            <v>527032000</v>
          </cell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  <cell r="I5500">
            <v>8466335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R5500">
            <v>0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82219156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  <cell r="AI5500">
            <v>0</v>
          </cell>
        </row>
        <row r="5501">
          <cell r="A5501">
            <v>527032001</v>
          </cell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  <cell r="I5501">
            <v>8466335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7090500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  <cell r="AI5501">
            <v>0</v>
          </cell>
        </row>
        <row r="5502">
          <cell r="A5502">
            <v>527032002</v>
          </cell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</row>
        <row r="5503">
          <cell r="A5503">
            <v>527032003</v>
          </cell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</row>
        <row r="5504">
          <cell r="A5504">
            <v>527032004</v>
          </cell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75128656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</row>
        <row r="5505">
          <cell r="A5505">
            <v>527040000</v>
          </cell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388606906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R5505">
            <v>0</v>
          </cell>
          <cell r="S5505">
            <v>31377586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2321</v>
          </cell>
          <cell r="AG5505">
            <v>0</v>
          </cell>
          <cell r="AH5505">
            <v>0</v>
          </cell>
          <cell r="AI5505">
            <v>0</v>
          </cell>
        </row>
        <row r="5506">
          <cell r="A5506">
            <v>527040100</v>
          </cell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388606906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  <cell r="AI5506">
            <v>0</v>
          </cell>
        </row>
        <row r="5507">
          <cell r="A5507">
            <v>527040101</v>
          </cell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388606906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R5507">
            <v>0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  <cell r="AI5507">
            <v>0</v>
          </cell>
        </row>
        <row r="5508">
          <cell r="A5508">
            <v>527040200</v>
          </cell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  <cell r="AI5508">
            <v>0</v>
          </cell>
        </row>
        <row r="5509">
          <cell r="A5509">
            <v>527040201</v>
          </cell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R5509">
            <v>0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</row>
        <row r="5510">
          <cell r="A5510">
            <v>527040300</v>
          </cell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R5510">
            <v>0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2321</v>
          </cell>
          <cell r="AG5510">
            <v>0</v>
          </cell>
          <cell r="AH5510">
            <v>0</v>
          </cell>
          <cell r="AI5510">
            <v>0</v>
          </cell>
        </row>
        <row r="5511">
          <cell r="A5511">
            <v>527040301</v>
          </cell>
          <cell r="C5511">
            <v>0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R5511">
            <v>0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2321</v>
          </cell>
          <cell r="AG5511">
            <v>0</v>
          </cell>
          <cell r="AH5511">
            <v>0</v>
          </cell>
          <cell r="AI5511">
            <v>0</v>
          </cell>
        </row>
        <row r="5512">
          <cell r="A5512">
            <v>527040400</v>
          </cell>
          <cell r="C5512">
            <v>0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31377586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</row>
        <row r="5513">
          <cell r="A5513">
            <v>527040401</v>
          </cell>
          <cell r="C5513">
            <v>0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0</v>
          </cell>
          <cell r="S5513">
            <v>31377586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</row>
        <row r="5514">
          <cell r="A5514">
            <v>527040500</v>
          </cell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</row>
        <row r="5515">
          <cell r="A5515">
            <v>527040501</v>
          </cell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</row>
        <row r="5516">
          <cell r="A5516">
            <v>527040600</v>
          </cell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  <cell r="AE5516">
            <v>0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</row>
        <row r="5517">
          <cell r="A5517">
            <v>527040601</v>
          </cell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  <cell r="AE5517">
            <v>0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</row>
        <row r="5518">
          <cell r="A5518">
            <v>527040700</v>
          </cell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  <cell r="AE5518">
            <v>0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</row>
        <row r="5519">
          <cell r="A5519">
            <v>527040701</v>
          </cell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  <cell r="AE5519">
            <v>0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</row>
        <row r="5520">
          <cell r="A5520">
            <v>527040800</v>
          </cell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  <cell r="AE5520">
            <v>0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</row>
        <row r="5521">
          <cell r="A5521">
            <v>527040801</v>
          </cell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  <cell r="AE5521">
            <v>0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</row>
        <row r="5522">
          <cell r="A5522">
            <v>527040900</v>
          </cell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0</v>
          </cell>
          <cell r="AE5522">
            <v>0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</row>
        <row r="5523">
          <cell r="A5523">
            <v>527040901</v>
          </cell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0</v>
          </cell>
          <cell r="AE5523">
            <v>0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</row>
        <row r="5524">
          <cell r="A5524">
            <v>527041000</v>
          </cell>
          <cell r="C5524">
            <v>0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  <cell r="AE5524">
            <v>0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</row>
        <row r="5525">
          <cell r="A5525">
            <v>527041001</v>
          </cell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  <cell r="AE5525">
            <v>0</v>
          </cell>
          <cell r="AF5525">
            <v>0</v>
          </cell>
          <cell r="AG5525">
            <v>0</v>
          </cell>
          <cell r="AH5525">
            <v>0</v>
          </cell>
          <cell r="AI5525">
            <v>0</v>
          </cell>
        </row>
        <row r="5526">
          <cell r="A5526">
            <v>527041100</v>
          </cell>
          <cell r="C5526">
            <v>0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  <cell r="AE5526">
            <v>0</v>
          </cell>
          <cell r="AF5526">
            <v>0</v>
          </cell>
          <cell r="AG5526">
            <v>0</v>
          </cell>
          <cell r="AH5526">
            <v>0</v>
          </cell>
          <cell r="AI5526">
            <v>0</v>
          </cell>
        </row>
        <row r="5527">
          <cell r="A5527">
            <v>527041101</v>
          </cell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  <cell r="AE5527">
            <v>0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</row>
        <row r="5528">
          <cell r="A5528">
            <v>527041200</v>
          </cell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  <cell r="AE5528">
            <v>0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</row>
        <row r="5529">
          <cell r="A5529">
            <v>527041201</v>
          </cell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</v>
          </cell>
          <cell r="AE5529">
            <v>0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</row>
        <row r="5530">
          <cell r="A5530">
            <v>527041300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</row>
        <row r="5531">
          <cell r="A5531">
            <v>527041301</v>
          </cell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  <cell r="AE5531">
            <v>0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</row>
        <row r="5532">
          <cell r="A5532">
            <v>527042000</v>
          </cell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  <cell r="AG5532">
            <v>0</v>
          </cell>
          <cell r="AH5532">
            <v>0</v>
          </cell>
          <cell r="AI5532">
            <v>0</v>
          </cell>
        </row>
        <row r="5533">
          <cell r="A5533">
            <v>527042001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0</v>
          </cell>
          <cell r="AC5533">
            <v>0</v>
          </cell>
          <cell r="AD5533">
            <v>0</v>
          </cell>
          <cell r="AE5533">
            <v>0</v>
          </cell>
          <cell r="AF5533">
            <v>0</v>
          </cell>
          <cell r="AG5533">
            <v>0</v>
          </cell>
          <cell r="AH5533">
            <v>0</v>
          </cell>
          <cell r="AI5533">
            <v>0</v>
          </cell>
        </row>
        <row r="5534">
          <cell r="A5534">
            <v>527042002</v>
          </cell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  <cell r="AE5534">
            <v>0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</row>
        <row r="5535">
          <cell r="A5535">
            <v>527042003</v>
          </cell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  <cell r="AC5535">
            <v>0</v>
          </cell>
          <cell r="AD5535">
            <v>0</v>
          </cell>
          <cell r="AE5535">
            <v>0</v>
          </cell>
          <cell r="AF5535">
            <v>0</v>
          </cell>
          <cell r="AG5535">
            <v>0</v>
          </cell>
          <cell r="AH5535">
            <v>0</v>
          </cell>
          <cell r="AI5535">
            <v>0</v>
          </cell>
        </row>
        <row r="5536">
          <cell r="A5536">
            <v>527042004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  <cell r="AE5536">
            <v>0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</row>
        <row r="5537">
          <cell r="A5537">
            <v>527042005</v>
          </cell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  <cell r="AE5537">
            <v>0</v>
          </cell>
          <cell r="AF5537">
            <v>0</v>
          </cell>
          <cell r="AG5537">
            <v>0</v>
          </cell>
          <cell r="AH5537">
            <v>0</v>
          </cell>
          <cell r="AI5537">
            <v>0</v>
          </cell>
        </row>
        <row r="5538">
          <cell r="A5538">
            <v>527042006</v>
          </cell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  <cell r="AE5538">
            <v>0</v>
          </cell>
          <cell r="AF5538">
            <v>0</v>
          </cell>
          <cell r="AG5538">
            <v>0</v>
          </cell>
          <cell r="AH5538">
            <v>0</v>
          </cell>
          <cell r="AI5538">
            <v>0</v>
          </cell>
        </row>
        <row r="5539">
          <cell r="A5539">
            <v>527042007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0</v>
          </cell>
          <cell r="AE5539">
            <v>0</v>
          </cell>
          <cell r="AF5539">
            <v>0</v>
          </cell>
          <cell r="AG5539">
            <v>0</v>
          </cell>
          <cell r="AH5539">
            <v>0</v>
          </cell>
          <cell r="AI5539">
            <v>0</v>
          </cell>
        </row>
        <row r="5540">
          <cell r="A5540">
            <v>527042008</v>
          </cell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R5540">
            <v>0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  <cell r="AE5540">
            <v>0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</row>
        <row r="5541">
          <cell r="A5541">
            <v>527042009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0</v>
          </cell>
          <cell r="AE5541">
            <v>0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</row>
        <row r="5542">
          <cell r="A5542">
            <v>527050000</v>
          </cell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R5542">
            <v>0</v>
          </cell>
          <cell r="S5542">
            <v>0</v>
          </cell>
          <cell r="T5542">
            <v>0</v>
          </cell>
          <cell r="U5542">
            <v>0</v>
          </cell>
          <cell r="V5542">
            <v>698707</v>
          </cell>
          <cell r="W5542">
            <v>0</v>
          </cell>
          <cell r="X5542">
            <v>0</v>
          </cell>
          <cell r="Y5542">
            <v>483776</v>
          </cell>
          <cell r="Z5542">
            <v>0</v>
          </cell>
          <cell r="AA5542">
            <v>0</v>
          </cell>
          <cell r="AB5542">
            <v>5889108</v>
          </cell>
          <cell r="AC5542">
            <v>0</v>
          </cell>
          <cell r="AD5542">
            <v>0</v>
          </cell>
          <cell r="AE5542">
            <v>0</v>
          </cell>
          <cell r="AF5542">
            <v>3142</v>
          </cell>
          <cell r="AG5542">
            <v>1587449</v>
          </cell>
          <cell r="AH5542">
            <v>0</v>
          </cell>
          <cell r="AI5542">
            <v>0</v>
          </cell>
        </row>
        <row r="5543">
          <cell r="A5543">
            <v>527050100</v>
          </cell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  <cell r="AE5543">
            <v>0</v>
          </cell>
          <cell r="AF5543">
            <v>0</v>
          </cell>
          <cell r="AG5543">
            <v>1587449</v>
          </cell>
          <cell r="AH5543">
            <v>0</v>
          </cell>
          <cell r="AI5543">
            <v>0</v>
          </cell>
        </row>
        <row r="5544">
          <cell r="A5544">
            <v>527050101</v>
          </cell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  <cell r="AE5544">
            <v>0</v>
          </cell>
          <cell r="AF5544">
            <v>0</v>
          </cell>
          <cell r="AG5544">
            <v>1587449</v>
          </cell>
          <cell r="AH5544">
            <v>0</v>
          </cell>
          <cell r="AI5544">
            <v>0</v>
          </cell>
        </row>
        <row r="5545">
          <cell r="A5545">
            <v>527050200</v>
          </cell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0</v>
          </cell>
          <cell r="AE5545">
            <v>0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</row>
        <row r="5546">
          <cell r="A5546">
            <v>527050201</v>
          </cell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R5546">
            <v>0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  <cell r="AE5546">
            <v>0</v>
          </cell>
          <cell r="AF5546">
            <v>0</v>
          </cell>
          <cell r="AG5546">
            <v>0</v>
          </cell>
          <cell r="AH5546">
            <v>0</v>
          </cell>
          <cell r="AI5546">
            <v>0</v>
          </cell>
        </row>
        <row r="5547">
          <cell r="A5547">
            <v>527050300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R5547">
            <v>0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0</v>
          </cell>
          <cell r="AE5547">
            <v>0</v>
          </cell>
          <cell r="AF5547">
            <v>0</v>
          </cell>
          <cell r="AG5547">
            <v>0</v>
          </cell>
          <cell r="AH5547">
            <v>0</v>
          </cell>
          <cell r="AI5547">
            <v>0</v>
          </cell>
        </row>
        <row r="5548">
          <cell r="A5548">
            <v>527050301</v>
          </cell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0</v>
          </cell>
          <cell r="AE5548">
            <v>0</v>
          </cell>
          <cell r="AF5548">
            <v>0</v>
          </cell>
          <cell r="AG5548">
            <v>0</v>
          </cell>
          <cell r="AH5548">
            <v>0</v>
          </cell>
          <cell r="AI5548">
            <v>0</v>
          </cell>
        </row>
        <row r="5549">
          <cell r="A5549">
            <v>527050400</v>
          </cell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R5549">
            <v>0</v>
          </cell>
          <cell r="S5549">
            <v>0</v>
          </cell>
          <cell r="T5549">
            <v>0</v>
          </cell>
          <cell r="U5549">
            <v>0</v>
          </cell>
          <cell r="V5549">
            <v>698707</v>
          </cell>
          <cell r="W5549">
            <v>0</v>
          </cell>
          <cell r="X5549">
            <v>0</v>
          </cell>
          <cell r="Y5549">
            <v>483776</v>
          </cell>
          <cell r="Z5549">
            <v>0</v>
          </cell>
          <cell r="AA5549">
            <v>0</v>
          </cell>
          <cell r="AB5549">
            <v>5889108</v>
          </cell>
          <cell r="AC5549">
            <v>0</v>
          </cell>
          <cell r="AD5549">
            <v>0</v>
          </cell>
          <cell r="AE5549">
            <v>0</v>
          </cell>
          <cell r="AF5549">
            <v>0</v>
          </cell>
          <cell r="AG5549">
            <v>0</v>
          </cell>
          <cell r="AH5549">
            <v>0</v>
          </cell>
          <cell r="AI5549">
            <v>0</v>
          </cell>
        </row>
        <row r="5550">
          <cell r="A5550">
            <v>527050401</v>
          </cell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698707</v>
          </cell>
          <cell r="W5550">
            <v>0</v>
          </cell>
          <cell r="X5550">
            <v>0</v>
          </cell>
          <cell r="Y5550">
            <v>483776</v>
          </cell>
          <cell r="Z5550">
            <v>0</v>
          </cell>
          <cell r="AA5550">
            <v>0</v>
          </cell>
          <cell r="AB5550">
            <v>5889108</v>
          </cell>
          <cell r="AC5550">
            <v>0</v>
          </cell>
          <cell r="AD5550">
            <v>0</v>
          </cell>
          <cell r="AE5550">
            <v>0</v>
          </cell>
          <cell r="AF5550">
            <v>0</v>
          </cell>
          <cell r="AG5550">
            <v>0</v>
          </cell>
          <cell r="AH5550">
            <v>0</v>
          </cell>
          <cell r="AI5550">
            <v>0</v>
          </cell>
        </row>
        <row r="5551">
          <cell r="A5551">
            <v>527050500</v>
          </cell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R5551">
            <v>0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0</v>
          </cell>
          <cell r="AE5551">
            <v>0</v>
          </cell>
          <cell r="AF5551">
            <v>0</v>
          </cell>
          <cell r="AG5551">
            <v>0</v>
          </cell>
          <cell r="AH5551">
            <v>0</v>
          </cell>
          <cell r="AI5551">
            <v>0</v>
          </cell>
        </row>
        <row r="5552">
          <cell r="A5552">
            <v>527050501</v>
          </cell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R5552">
            <v>0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  <cell r="AE5552">
            <v>0</v>
          </cell>
          <cell r="AF5552">
            <v>0</v>
          </cell>
          <cell r="AG5552">
            <v>0</v>
          </cell>
          <cell r="AH5552">
            <v>0</v>
          </cell>
          <cell r="AI5552">
            <v>0</v>
          </cell>
        </row>
        <row r="5553">
          <cell r="A5553">
            <v>527050600</v>
          </cell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R5553">
            <v>0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0</v>
          </cell>
          <cell r="AE5553">
            <v>0</v>
          </cell>
          <cell r="AF5553">
            <v>0</v>
          </cell>
          <cell r="AG5553">
            <v>0</v>
          </cell>
          <cell r="AH5553">
            <v>0</v>
          </cell>
          <cell r="AI5553">
            <v>0</v>
          </cell>
        </row>
        <row r="5554">
          <cell r="A5554">
            <v>527050601</v>
          </cell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G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  <cell r="AE5554">
            <v>0</v>
          </cell>
          <cell r="AF5554">
            <v>0</v>
          </cell>
          <cell r="AG5554">
            <v>0</v>
          </cell>
          <cell r="AH5554">
            <v>0</v>
          </cell>
          <cell r="AI5554">
            <v>0</v>
          </cell>
        </row>
        <row r="5555">
          <cell r="A5555">
            <v>527050700</v>
          </cell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R5555">
            <v>0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3142</v>
          </cell>
          <cell r="AG5555">
            <v>0</v>
          </cell>
          <cell r="AH5555">
            <v>0</v>
          </cell>
          <cell r="AI5555">
            <v>0</v>
          </cell>
        </row>
        <row r="5556">
          <cell r="A5556">
            <v>527050701</v>
          </cell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  <cell r="AE5556">
            <v>0</v>
          </cell>
          <cell r="AF5556">
            <v>3142</v>
          </cell>
          <cell r="AG5556">
            <v>0</v>
          </cell>
          <cell r="AH5556">
            <v>0</v>
          </cell>
          <cell r="AI5556">
            <v>0</v>
          </cell>
        </row>
        <row r="5557">
          <cell r="A5557">
            <v>527050800</v>
          </cell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R5557">
            <v>0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0</v>
          </cell>
          <cell r="AE5557">
            <v>0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</row>
        <row r="5558">
          <cell r="A5558">
            <v>527050801</v>
          </cell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R5558">
            <v>0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  <cell r="AE5558">
            <v>0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</row>
        <row r="5559">
          <cell r="A5559">
            <v>527050900</v>
          </cell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0</v>
          </cell>
          <cell r="AE5559">
            <v>0</v>
          </cell>
          <cell r="AF5559">
            <v>0</v>
          </cell>
          <cell r="AG5559">
            <v>0</v>
          </cell>
          <cell r="AH5559">
            <v>0</v>
          </cell>
          <cell r="AI5559">
            <v>0</v>
          </cell>
        </row>
        <row r="5560">
          <cell r="A5560">
            <v>527050901</v>
          </cell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G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  <cell r="AE5560">
            <v>0</v>
          </cell>
          <cell r="AF5560">
            <v>0</v>
          </cell>
          <cell r="AG5560">
            <v>0</v>
          </cell>
          <cell r="AH5560">
            <v>0</v>
          </cell>
          <cell r="AI5560">
            <v>0</v>
          </cell>
        </row>
        <row r="5561">
          <cell r="A5561">
            <v>527051000</v>
          </cell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  <cell r="AE5561">
            <v>0</v>
          </cell>
          <cell r="AF5561">
            <v>0</v>
          </cell>
          <cell r="AG5561">
            <v>0</v>
          </cell>
          <cell r="AH5561">
            <v>0</v>
          </cell>
          <cell r="AI5561">
            <v>0</v>
          </cell>
        </row>
        <row r="5562">
          <cell r="A5562">
            <v>527051001</v>
          </cell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  <cell r="AE5562">
            <v>0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</row>
        <row r="5563">
          <cell r="A5563">
            <v>527051100</v>
          </cell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</v>
          </cell>
          <cell r="AE5563">
            <v>0</v>
          </cell>
          <cell r="AF5563">
            <v>0</v>
          </cell>
          <cell r="AG5563">
            <v>0</v>
          </cell>
          <cell r="AH5563">
            <v>0</v>
          </cell>
          <cell r="AI5563">
            <v>0</v>
          </cell>
        </row>
        <row r="5564">
          <cell r="A5564">
            <v>527051101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</v>
          </cell>
          <cell r="AE5564">
            <v>0</v>
          </cell>
          <cell r="AF5564">
            <v>0</v>
          </cell>
          <cell r="AG5564">
            <v>0</v>
          </cell>
          <cell r="AH5564">
            <v>0</v>
          </cell>
          <cell r="AI5564">
            <v>0</v>
          </cell>
        </row>
        <row r="5565">
          <cell r="A5565">
            <v>527051200</v>
          </cell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R5565">
            <v>0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  <cell r="AE5565">
            <v>0</v>
          </cell>
          <cell r="AF5565">
            <v>0</v>
          </cell>
          <cell r="AG5565">
            <v>0</v>
          </cell>
          <cell r="AH5565">
            <v>0</v>
          </cell>
          <cell r="AI5565">
            <v>0</v>
          </cell>
        </row>
        <row r="5566">
          <cell r="A5566">
            <v>527051201</v>
          </cell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  <cell r="AE5566">
            <v>0</v>
          </cell>
          <cell r="AF5566">
            <v>0</v>
          </cell>
          <cell r="AG5566">
            <v>0</v>
          </cell>
          <cell r="AH5566">
            <v>0</v>
          </cell>
          <cell r="AI5566">
            <v>0</v>
          </cell>
        </row>
        <row r="5567">
          <cell r="A5567">
            <v>527051300</v>
          </cell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  <cell r="AE5567">
            <v>0</v>
          </cell>
          <cell r="AF5567">
            <v>0</v>
          </cell>
          <cell r="AG5567">
            <v>0</v>
          </cell>
          <cell r="AH5567">
            <v>0</v>
          </cell>
          <cell r="AI5567">
            <v>0</v>
          </cell>
        </row>
        <row r="5568">
          <cell r="A5568">
            <v>527051301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  <cell r="AE5568">
            <v>0</v>
          </cell>
          <cell r="AF5568">
            <v>0</v>
          </cell>
          <cell r="AG5568">
            <v>0</v>
          </cell>
          <cell r="AH5568">
            <v>0</v>
          </cell>
          <cell r="AI5568">
            <v>0</v>
          </cell>
        </row>
        <row r="5569">
          <cell r="A5569">
            <v>527052000</v>
          </cell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  <cell r="AE5569">
            <v>0</v>
          </cell>
          <cell r="AF5569">
            <v>0</v>
          </cell>
          <cell r="AG5569">
            <v>0</v>
          </cell>
          <cell r="AH5569">
            <v>0</v>
          </cell>
          <cell r="AI5569">
            <v>0</v>
          </cell>
        </row>
        <row r="5570">
          <cell r="A5570">
            <v>527052001</v>
          </cell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  <cell r="AG5570">
            <v>0</v>
          </cell>
          <cell r="AH5570">
            <v>0</v>
          </cell>
          <cell r="AI5570">
            <v>0</v>
          </cell>
        </row>
        <row r="5571">
          <cell r="A5571">
            <v>527052002</v>
          </cell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  <cell r="AE5571">
            <v>0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</row>
        <row r="5572">
          <cell r="A5572">
            <v>527052003</v>
          </cell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  <cell r="AE5572">
            <v>0</v>
          </cell>
          <cell r="AF5572">
            <v>0</v>
          </cell>
          <cell r="AG5572">
            <v>0</v>
          </cell>
          <cell r="AH5572">
            <v>0</v>
          </cell>
          <cell r="AI5572">
            <v>0</v>
          </cell>
        </row>
        <row r="5573">
          <cell r="A5573">
            <v>527052004</v>
          </cell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R5573">
            <v>0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  <cell r="AE5573">
            <v>0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</row>
        <row r="5574">
          <cell r="A5574">
            <v>527052005</v>
          </cell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  <cell r="AE5574">
            <v>0</v>
          </cell>
          <cell r="AF5574">
            <v>0</v>
          </cell>
          <cell r="AG5574">
            <v>0</v>
          </cell>
          <cell r="AH5574">
            <v>0</v>
          </cell>
          <cell r="AI5574">
            <v>0</v>
          </cell>
        </row>
        <row r="5575">
          <cell r="A5575">
            <v>527052006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R5575">
            <v>0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0</v>
          </cell>
          <cell r="AE5575">
            <v>0</v>
          </cell>
          <cell r="AF5575">
            <v>0</v>
          </cell>
          <cell r="AG5575">
            <v>0</v>
          </cell>
          <cell r="AH5575">
            <v>0</v>
          </cell>
          <cell r="AI5575">
            <v>0</v>
          </cell>
        </row>
        <row r="5576">
          <cell r="A5576">
            <v>527052007</v>
          </cell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R5576">
            <v>0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  <cell r="AG5576">
            <v>0</v>
          </cell>
          <cell r="AH5576">
            <v>0</v>
          </cell>
          <cell r="AI5576">
            <v>0</v>
          </cell>
        </row>
        <row r="5577">
          <cell r="A5577">
            <v>527052008</v>
          </cell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0</v>
          </cell>
          <cell r="AE5577">
            <v>0</v>
          </cell>
          <cell r="AF5577">
            <v>0</v>
          </cell>
          <cell r="AG5577">
            <v>0</v>
          </cell>
          <cell r="AH5577">
            <v>0</v>
          </cell>
          <cell r="AI5577">
            <v>0</v>
          </cell>
        </row>
        <row r="5578">
          <cell r="A5578">
            <v>527052009</v>
          </cell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  <cell r="AE5578">
            <v>0</v>
          </cell>
          <cell r="AF5578">
            <v>0</v>
          </cell>
          <cell r="AG5578">
            <v>0</v>
          </cell>
          <cell r="AH5578">
            <v>0</v>
          </cell>
          <cell r="AI5578">
            <v>0</v>
          </cell>
        </row>
        <row r="5579">
          <cell r="A5579">
            <v>527060000</v>
          </cell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R5579">
            <v>9548401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1381150</v>
          </cell>
          <cell r="AC5579">
            <v>0</v>
          </cell>
          <cell r="AD5579">
            <v>0</v>
          </cell>
          <cell r="AE5579">
            <v>0</v>
          </cell>
          <cell r="AF5579">
            <v>0</v>
          </cell>
          <cell r="AG5579">
            <v>11532727</v>
          </cell>
          <cell r="AH5579">
            <v>0</v>
          </cell>
          <cell r="AI5579">
            <v>0</v>
          </cell>
        </row>
        <row r="5580">
          <cell r="A5580">
            <v>527060100</v>
          </cell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9548401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1381150</v>
          </cell>
          <cell r="AC5580">
            <v>0</v>
          </cell>
          <cell r="AD5580">
            <v>0</v>
          </cell>
          <cell r="AE5580">
            <v>0</v>
          </cell>
          <cell r="AF5580">
            <v>0</v>
          </cell>
          <cell r="AG5580">
            <v>11532727</v>
          </cell>
          <cell r="AH5580">
            <v>0</v>
          </cell>
          <cell r="AI5580">
            <v>0</v>
          </cell>
        </row>
        <row r="5581">
          <cell r="A5581">
            <v>527060101</v>
          </cell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9548401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  <cell r="AG5581">
            <v>0</v>
          </cell>
          <cell r="AH5581">
            <v>0</v>
          </cell>
          <cell r="AI5581">
            <v>0</v>
          </cell>
        </row>
        <row r="5582">
          <cell r="A5582">
            <v>527060102</v>
          </cell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1381150</v>
          </cell>
          <cell r="AC5582">
            <v>0</v>
          </cell>
          <cell r="AD5582">
            <v>0</v>
          </cell>
          <cell r="AE5582">
            <v>0</v>
          </cell>
          <cell r="AF5582">
            <v>0</v>
          </cell>
          <cell r="AG5582">
            <v>11532727</v>
          </cell>
          <cell r="AH5582">
            <v>0</v>
          </cell>
          <cell r="AI5582">
            <v>0</v>
          </cell>
        </row>
        <row r="5583">
          <cell r="A5583">
            <v>527060103</v>
          </cell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0</v>
          </cell>
          <cell r="AC5583">
            <v>0</v>
          </cell>
          <cell r="AD5583">
            <v>0</v>
          </cell>
          <cell r="AE5583">
            <v>0</v>
          </cell>
          <cell r="AF5583">
            <v>0</v>
          </cell>
          <cell r="AG5583">
            <v>0</v>
          </cell>
          <cell r="AH5583">
            <v>0</v>
          </cell>
          <cell r="AI5583">
            <v>0</v>
          </cell>
        </row>
        <row r="5584">
          <cell r="A5584">
            <v>527070000</v>
          </cell>
          <cell r="C5584">
            <v>119075624</v>
          </cell>
          <cell r="D5584">
            <v>26924844</v>
          </cell>
          <cell r="E5584">
            <v>1031760</v>
          </cell>
          <cell r="F5584">
            <v>5324929</v>
          </cell>
          <cell r="G5584">
            <v>72159126</v>
          </cell>
          <cell r="H5584">
            <v>106269578</v>
          </cell>
          <cell r="I5584">
            <v>107685369</v>
          </cell>
          <cell r="J5584">
            <v>81714223</v>
          </cell>
          <cell r="K5584">
            <v>1725353</v>
          </cell>
          <cell r="L5584">
            <v>1725353</v>
          </cell>
          <cell r="M5584">
            <v>0</v>
          </cell>
          <cell r="N5584">
            <v>0</v>
          </cell>
          <cell r="O5584">
            <v>15022887</v>
          </cell>
          <cell r="P5584">
            <v>5815397</v>
          </cell>
          <cell r="Q5584">
            <v>1031760</v>
          </cell>
          <cell r="R5584">
            <v>10606613</v>
          </cell>
          <cell r="S5584">
            <v>26270028</v>
          </cell>
          <cell r="T5584">
            <v>51318767</v>
          </cell>
          <cell r="U5584">
            <v>0</v>
          </cell>
          <cell r="V5584">
            <v>25148866</v>
          </cell>
          <cell r="W5584">
            <v>50608953</v>
          </cell>
          <cell r="X5584">
            <v>2741578</v>
          </cell>
          <cell r="Y5584">
            <v>29424005</v>
          </cell>
          <cell r="Z5584">
            <v>76833483</v>
          </cell>
          <cell r="AA5584">
            <v>15587693</v>
          </cell>
          <cell r="AB5584">
            <v>27060581</v>
          </cell>
          <cell r="AC5584">
            <v>4783115</v>
          </cell>
          <cell r="AD5584">
            <v>182944315</v>
          </cell>
          <cell r="AE5584">
            <v>0</v>
          </cell>
          <cell r="AF5584">
            <v>43198555</v>
          </cell>
          <cell r="AG5584">
            <v>12736085</v>
          </cell>
          <cell r="AH5584">
            <v>175060188</v>
          </cell>
          <cell r="AI5584">
            <v>0</v>
          </cell>
        </row>
        <row r="5585">
          <cell r="A5585">
            <v>527070100</v>
          </cell>
          <cell r="C5585">
            <v>119075624</v>
          </cell>
          <cell r="D5585">
            <v>26924844</v>
          </cell>
          <cell r="E5585">
            <v>1031760</v>
          </cell>
          <cell r="F5585">
            <v>5324929</v>
          </cell>
          <cell r="G5585">
            <v>72159126</v>
          </cell>
          <cell r="H5585">
            <v>106269578</v>
          </cell>
          <cell r="I5585">
            <v>107685369</v>
          </cell>
          <cell r="J5585">
            <v>81714223</v>
          </cell>
          <cell r="K5585">
            <v>1725353</v>
          </cell>
          <cell r="L5585">
            <v>1725353</v>
          </cell>
          <cell r="M5585">
            <v>0</v>
          </cell>
          <cell r="N5585">
            <v>0</v>
          </cell>
          <cell r="O5585">
            <v>15022887</v>
          </cell>
          <cell r="P5585">
            <v>5815397</v>
          </cell>
          <cell r="Q5585">
            <v>1031760</v>
          </cell>
          <cell r="R5585">
            <v>10606613</v>
          </cell>
          <cell r="S5585">
            <v>26270028</v>
          </cell>
          <cell r="T5585">
            <v>51318767</v>
          </cell>
          <cell r="U5585">
            <v>0</v>
          </cell>
          <cell r="V5585">
            <v>25148866</v>
          </cell>
          <cell r="W5585">
            <v>50608953</v>
          </cell>
          <cell r="X5585">
            <v>2741578</v>
          </cell>
          <cell r="Y5585">
            <v>29424005</v>
          </cell>
          <cell r="Z5585">
            <v>76833483</v>
          </cell>
          <cell r="AA5585">
            <v>15587693</v>
          </cell>
          <cell r="AB5585">
            <v>27060581</v>
          </cell>
          <cell r="AC5585">
            <v>4783115</v>
          </cell>
          <cell r="AD5585">
            <v>182944315</v>
          </cell>
          <cell r="AE5585">
            <v>0</v>
          </cell>
          <cell r="AF5585">
            <v>43198555</v>
          </cell>
          <cell r="AG5585">
            <v>12736085</v>
          </cell>
          <cell r="AH5585">
            <v>175060188</v>
          </cell>
          <cell r="AI5585">
            <v>0</v>
          </cell>
        </row>
        <row r="5586">
          <cell r="A5586">
            <v>527070101</v>
          </cell>
          <cell r="C5586">
            <v>119075624</v>
          </cell>
          <cell r="D5586">
            <v>26924844</v>
          </cell>
          <cell r="E5586">
            <v>1031760</v>
          </cell>
          <cell r="F5586">
            <v>5324929</v>
          </cell>
          <cell r="G5586">
            <v>72159126</v>
          </cell>
          <cell r="H5586">
            <v>106269578</v>
          </cell>
          <cell r="I5586">
            <v>107685369</v>
          </cell>
          <cell r="J5586">
            <v>81714223</v>
          </cell>
          <cell r="K5586">
            <v>1725353</v>
          </cell>
          <cell r="L5586">
            <v>1725353</v>
          </cell>
          <cell r="M5586">
            <v>0</v>
          </cell>
          <cell r="N5586">
            <v>0</v>
          </cell>
          <cell r="O5586">
            <v>15022887</v>
          </cell>
          <cell r="P5586">
            <v>5815397</v>
          </cell>
          <cell r="Q5586">
            <v>1031760</v>
          </cell>
          <cell r="R5586">
            <v>10606613</v>
          </cell>
          <cell r="S5586">
            <v>26270028</v>
          </cell>
          <cell r="T5586">
            <v>51318767</v>
          </cell>
          <cell r="U5586">
            <v>0</v>
          </cell>
          <cell r="V5586">
            <v>25148866</v>
          </cell>
          <cell r="W5586">
            <v>50608953</v>
          </cell>
          <cell r="X5586">
            <v>2741578</v>
          </cell>
          <cell r="Y5586">
            <v>29424005</v>
          </cell>
          <cell r="Z5586">
            <v>76833483</v>
          </cell>
          <cell r="AA5586">
            <v>15587693</v>
          </cell>
          <cell r="AB5586">
            <v>27060581</v>
          </cell>
          <cell r="AC5586">
            <v>4783115</v>
          </cell>
          <cell r="AD5586">
            <v>182944315</v>
          </cell>
          <cell r="AE5586">
            <v>0</v>
          </cell>
          <cell r="AF5586">
            <v>43198555</v>
          </cell>
          <cell r="AG5586">
            <v>12736085</v>
          </cell>
          <cell r="AH5586">
            <v>175060188</v>
          </cell>
          <cell r="AI5586">
            <v>0</v>
          </cell>
        </row>
        <row r="5587">
          <cell r="A5587">
            <v>535000000</v>
          </cell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43629558</v>
          </cell>
          <cell r="I5587">
            <v>24886743</v>
          </cell>
          <cell r="J5587">
            <v>1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4126362</v>
          </cell>
          <cell r="P5587">
            <v>2895357</v>
          </cell>
          <cell r="Q5587">
            <v>240000</v>
          </cell>
          <cell r="R5587">
            <v>1673795</v>
          </cell>
          <cell r="S5587">
            <v>0</v>
          </cell>
          <cell r="T5587">
            <v>3355376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1301115</v>
          </cell>
          <cell r="Z5587">
            <v>87572092</v>
          </cell>
          <cell r="AA5587">
            <v>0</v>
          </cell>
          <cell r="AB5587">
            <v>30760223</v>
          </cell>
          <cell r="AC5587">
            <v>0</v>
          </cell>
          <cell r="AD5587">
            <v>68116399</v>
          </cell>
          <cell r="AE5587">
            <v>1934750</v>
          </cell>
          <cell r="AF5587">
            <v>0</v>
          </cell>
          <cell r="AG5587">
            <v>9421015</v>
          </cell>
          <cell r="AH5587">
            <v>0</v>
          </cell>
          <cell r="AI5587">
            <v>0</v>
          </cell>
        </row>
        <row r="5588">
          <cell r="A5588">
            <v>535010000</v>
          </cell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G5588">
            <v>0</v>
          </cell>
          <cell r="H5588">
            <v>43629558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4126362</v>
          </cell>
          <cell r="P5588">
            <v>2895357</v>
          </cell>
          <cell r="Q5588">
            <v>240000</v>
          </cell>
          <cell r="R5588">
            <v>1673795</v>
          </cell>
          <cell r="S5588">
            <v>0</v>
          </cell>
          <cell r="T5588">
            <v>3355376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1301115</v>
          </cell>
          <cell r="Z5588">
            <v>87572092</v>
          </cell>
          <cell r="AA5588">
            <v>0</v>
          </cell>
          <cell r="AB5588">
            <v>30760223</v>
          </cell>
          <cell r="AC5588">
            <v>0</v>
          </cell>
          <cell r="AD5588">
            <v>68116399</v>
          </cell>
          <cell r="AE5588">
            <v>1934750</v>
          </cell>
          <cell r="AF5588">
            <v>0</v>
          </cell>
          <cell r="AG5588">
            <v>9421015</v>
          </cell>
          <cell r="AH5588">
            <v>0</v>
          </cell>
          <cell r="AI5588">
            <v>0</v>
          </cell>
        </row>
        <row r="5589">
          <cell r="A5589">
            <v>535010100</v>
          </cell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43629558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4126362</v>
          </cell>
          <cell r="P5589">
            <v>2895357</v>
          </cell>
          <cell r="Q5589">
            <v>240000</v>
          </cell>
          <cell r="R5589">
            <v>1673795</v>
          </cell>
          <cell r="S5589">
            <v>0</v>
          </cell>
          <cell r="T5589">
            <v>3355376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1301115</v>
          </cell>
          <cell r="Z5589">
            <v>87572092</v>
          </cell>
          <cell r="AA5589">
            <v>0</v>
          </cell>
          <cell r="AB5589">
            <v>30760223</v>
          </cell>
          <cell r="AC5589">
            <v>0</v>
          </cell>
          <cell r="AD5589">
            <v>20684581</v>
          </cell>
          <cell r="AE5589">
            <v>1934750</v>
          </cell>
          <cell r="AF5589">
            <v>0</v>
          </cell>
          <cell r="AG5589">
            <v>9421015</v>
          </cell>
          <cell r="AH5589">
            <v>0</v>
          </cell>
          <cell r="AI5589">
            <v>0</v>
          </cell>
        </row>
        <row r="5590">
          <cell r="A5590">
            <v>535010101</v>
          </cell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R5590">
            <v>0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30760223</v>
          </cell>
          <cell r="AC5590">
            <v>0</v>
          </cell>
          <cell r="AD5590">
            <v>0</v>
          </cell>
          <cell r="AE5590">
            <v>0</v>
          </cell>
          <cell r="AF5590">
            <v>0</v>
          </cell>
          <cell r="AG5590">
            <v>0</v>
          </cell>
          <cell r="AH5590">
            <v>0</v>
          </cell>
          <cell r="AI5590">
            <v>0</v>
          </cell>
        </row>
        <row r="5591">
          <cell r="A5591">
            <v>535010102</v>
          </cell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G5591">
            <v>0</v>
          </cell>
          <cell r="H5591">
            <v>1042727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1301115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6010485</v>
          </cell>
          <cell r="AE5591">
            <v>0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</row>
        <row r="5592">
          <cell r="A5592">
            <v>535010103</v>
          </cell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4126362</v>
          </cell>
          <cell r="P5592">
            <v>568084</v>
          </cell>
          <cell r="Q5592">
            <v>240000</v>
          </cell>
          <cell r="R5592">
            <v>1673795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10769348</v>
          </cell>
          <cell r="AE5592">
            <v>1934750</v>
          </cell>
          <cell r="AF5592">
            <v>0</v>
          </cell>
          <cell r="AG5592">
            <v>0</v>
          </cell>
          <cell r="AH5592">
            <v>0</v>
          </cell>
          <cell r="AI5592">
            <v>0</v>
          </cell>
        </row>
        <row r="5593">
          <cell r="A5593">
            <v>535010104</v>
          </cell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R5593">
            <v>0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3904748</v>
          </cell>
          <cell r="AE5593">
            <v>0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</row>
        <row r="5594">
          <cell r="A5594">
            <v>535010105</v>
          </cell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42586831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2327273</v>
          </cell>
          <cell r="Q5594">
            <v>0</v>
          </cell>
          <cell r="R5594">
            <v>0</v>
          </cell>
          <cell r="S5594">
            <v>0</v>
          </cell>
          <cell r="T5594">
            <v>3355376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87572092</v>
          </cell>
          <cell r="AA5594">
            <v>0</v>
          </cell>
          <cell r="AB5594">
            <v>0</v>
          </cell>
          <cell r="AC5594">
            <v>0</v>
          </cell>
          <cell r="AD5594">
            <v>0</v>
          </cell>
          <cell r="AE5594">
            <v>0</v>
          </cell>
          <cell r="AF5594">
            <v>0</v>
          </cell>
          <cell r="AG5594">
            <v>9421015</v>
          </cell>
          <cell r="AH5594">
            <v>0</v>
          </cell>
          <cell r="AI5594">
            <v>0</v>
          </cell>
        </row>
        <row r="5595">
          <cell r="A5595">
            <v>535010200</v>
          </cell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R5595">
            <v>0</v>
          </cell>
          <cell r="S5595">
            <v>0</v>
          </cell>
          <cell r="T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47431818</v>
          </cell>
          <cell r="AE5595">
            <v>0</v>
          </cell>
          <cell r="AF5595">
            <v>0</v>
          </cell>
          <cell r="AG5595">
            <v>0</v>
          </cell>
          <cell r="AH5595">
            <v>0</v>
          </cell>
          <cell r="AI5595">
            <v>0</v>
          </cell>
        </row>
        <row r="5596">
          <cell r="A5596">
            <v>535010201</v>
          </cell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  <cell r="AE5596">
            <v>0</v>
          </cell>
          <cell r="AF5596">
            <v>0</v>
          </cell>
          <cell r="AG5596">
            <v>0</v>
          </cell>
          <cell r="AH5596">
            <v>0</v>
          </cell>
          <cell r="AI5596">
            <v>0</v>
          </cell>
        </row>
        <row r="5597">
          <cell r="A5597">
            <v>535010202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R5597">
            <v>0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47431818</v>
          </cell>
          <cell r="AE5597">
            <v>0</v>
          </cell>
          <cell r="AF5597">
            <v>0</v>
          </cell>
          <cell r="AG5597">
            <v>0</v>
          </cell>
          <cell r="AH5597">
            <v>0</v>
          </cell>
          <cell r="AI5597">
            <v>0</v>
          </cell>
        </row>
        <row r="5598">
          <cell r="A5598">
            <v>535010203</v>
          </cell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  <cell r="AE5598">
            <v>0</v>
          </cell>
          <cell r="AF5598">
            <v>0</v>
          </cell>
          <cell r="AG5598">
            <v>0</v>
          </cell>
          <cell r="AH5598">
            <v>0</v>
          </cell>
          <cell r="AI5598">
            <v>0</v>
          </cell>
        </row>
        <row r="5599">
          <cell r="A5599">
            <v>535020000</v>
          </cell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G5599">
            <v>0</v>
          </cell>
          <cell r="H5599">
            <v>0</v>
          </cell>
          <cell r="I5599">
            <v>24886743</v>
          </cell>
          <cell r="J5599">
            <v>1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  <cell r="AE5599">
            <v>0</v>
          </cell>
          <cell r="AF5599">
            <v>0</v>
          </cell>
          <cell r="AG5599">
            <v>0</v>
          </cell>
          <cell r="AH5599">
            <v>0</v>
          </cell>
          <cell r="AI5599">
            <v>0</v>
          </cell>
        </row>
        <row r="5600">
          <cell r="A5600">
            <v>535020100</v>
          </cell>
          <cell r="C5600">
            <v>0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  <cell r="I5600">
            <v>24886743</v>
          </cell>
          <cell r="J5600">
            <v>1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0</v>
          </cell>
          <cell r="AE5600">
            <v>0</v>
          </cell>
          <cell r="AF5600">
            <v>0</v>
          </cell>
          <cell r="AG5600">
            <v>0</v>
          </cell>
          <cell r="AH5600">
            <v>0</v>
          </cell>
          <cell r="AI5600">
            <v>0</v>
          </cell>
        </row>
        <row r="5601">
          <cell r="A5601">
            <v>535020101</v>
          </cell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G5601">
            <v>0</v>
          </cell>
          <cell r="H5601">
            <v>0</v>
          </cell>
          <cell r="I5601">
            <v>24886743</v>
          </cell>
          <cell r="J5601">
            <v>1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  <cell r="AE5601">
            <v>0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</row>
        <row r="5602">
          <cell r="A5602">
            <v>535030000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  <cell r="AE5602">
            <v>0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</row>
        <row r="5603">
          <cell r="A5603">
            <v>535030100</v>
          </cell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R5603">
            <v>0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  <cell r="AE5603">
            <v>0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</row>
        <row r="5604">
          <cell r="A5604">
            <v>535030101</v>
          </cell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R5604">
            <v>0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  <cell r="AE5604">
            <v>0</v>
          </cell>
          <cell r="AF5604">
            <v>0</v>
          </cell>
          <cell r="AG5604">
            <v>0</v>
          </cell>
          <cell r="AH5604">
            <v>0</v>
          </cell>
          <cell r="AI5604">
            <v>0</v>
          </cell>
        </row>
        <row r="5605">
          <cell r="A5605">
            <v>535040000</v>
          </cell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R5605">
            <v>0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  <cell r="AE5605">
            <v>0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</row>
        <row r="5606">
          <cell r="A5606">
            <v>535040100</v>
          </cell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  <cell r="AE5606">
            <v>0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</row>
        <row r="5607">
          <cell r="A5607">
            <v>535040101</v>
          </cell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G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0</v>
          </cell>
          <cell r="AE5607">
            <v>0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</row>
        <row r="5608">
          <cell r="A5608">
            <v>540000000</v>
          </cell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  <cell r="AE5608">
            <v>0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</row>
        <row r="5609">
          <cell r="A5609">
            <v>540010000</v>
          </cell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0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  <cell r="AE5609">
            <v>0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</row>
        <row r="5610">
          <cell r="A5610">
            <v>540010100</v>
          </cell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  <cell r="AE5610">
            <v>0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</row>
        <row r="5611">
          <cell r="A5611">
            <v>540010101</v>
          </cell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G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R5611">
            <v>0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</v>
          </cell>
          <cell r="AE5611">
            <v>0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</row>
        <row r="5612">
          <cell r="A5612">
            <v>540010102</v>
          </cell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R5612">
            <v>0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  <cell r="AE5612">
            <v>0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</row>
        <row r="5613">
          <cell r="A5613">
            <v>600000000</v>
          </cell>
          <cell r="C5613">
            <v>26654282586207</v>
          </cell>
          <cell r="D5613">
            <v>9417641700248</v>
          </cell>
          <cell r="E5613">
            <v>7103551447317</v>
          </cell>
          <cell r="F5613">
            <v>3554345449156</v>
          </cell>
          <cell r="G5613">
            <v>4443260601434</v>
          </cell>
          <cell r="H5613">
            <v>16297701486121</v>
          </cell>
          <cell r="I5613">
            <v>7827943195172</v>
          </cell>
          <cell r="J5613">
            <v>441616167953</v>
          </cell>
          <cell r="K5613">
            <v>1544530471042</v>
          </cell>
          <cell r="L5613">
            <v>1718479316507</v>
          </cell>
          <cell r="M5613">
            <v>346161303524</v>
          </cell>
          <cell r="N5613">
            <v>2272525672532</v>
          </cell>
          <cell r="O5613">
            <v>7506367185401</v>
          </cell>
          <cell r="P5613">
            <v>2230448477161</v>
          </cell>
          <cell r="Q5613">
            <v>1918789557677</v>
          </cell>
          <cell r="R5613">
            <v>5531562394741</v>
          </cell>
          <cell r="S5613">
            <v>106940591225</v>
          </cell>
          <cell r="T5613">
            <v>7462435213686</v>
          </cell>
          <cell r="U5613">
            <v>2711044254</v>
          </cell>
          <cell r="V5613">
            <v>32004875107568</v>
          </cell>
          <cell r="W5613">
            <v>4379936947415</v>
          </cell>
          <cell r="X5613">
            <v>7262827674232</v>
          </cell>
          <cell r="Y5613">
            <v>857498147020</v>
          </cell>
          <cell r="Z5613">
            <v>4094576302808</v>
          </cell>
          <cell r="AA5613">
            <v>1167740016181</v>
          </cell>
          <cell r="AB5613">
            <v>13405929565090</v>
          </cell>
          <cell r="AC5613">
            <v>46738150</v>
          </cell>
          <cell r="AD5613">
            <v>7702692262057</v>
          </cell>
          <cell r="AE5613">
            <v>107264335132163</v>
          </cell>
          <cell r="AF5613">
            <v>6051887643196</v>
          </cell>
          <cell r="AG5613">
            <v>1997220371789</v>
          </cell>
          <cell r="AH5613">
            <v>10646859881865</v>
          </cell>
          <cell r="AI5613">
            <v>897296730736</v>
          </cell>
        </row>
        <row r="5614">
          <cell r="A5614">
            <v>601000000</v>
          </cell>
          <cell r="C5614">
            <v>11447891450468</v>
          </cell>
          <cell r="D5614">
            <v>4161172689696</v>
          </cell>
          <cell r="E5614">
            <v>1530940381389</v>
          </cell>
          <cell r="F5614">
            <v>1719003192751</v>
          </cell>
          <cell r="G5614">
            <v>466780307316</v>
          </cell>
          <cell r="H5614">
            <v>4469430603846</v>
          </cell>
          <cell r="I5614">
            <v>3078234755788</v>
          </cell>
          <cell r="J5614">
            <v>178150936536</v>
          </cell>
          <cell r="K5614">
            <v>679343438616</v>
          </cell>
          <cell r="L5614">
            <v>729455107524</v>
          </cell>
          <cell r="M5614">
            <v>151937091792</v>
          </cell>
          <cell r="N5614">
            <v>1174378218778</v>
          </cell>
          <cell r="O5614">
            <v>3450725761754</v>
          </cell>
          <cell r="P5614">
            <v>926673726040</v>
          </cell>
          <cell r="Q5614">
            <v>177036130423</v>
          </cell>
          <cell r="R5614">
            <v>2608562057974</v>
          </cell>
          <cell r="S5614">
            <v>51907986052</v>
          </cell>
          <cell r="T5614">
            <v>1980037770118</v>
          </cell>
          <cell r="U5614">
            <v>0</v>
          </cell>
          <cell r="V5614">
            <v>11766700198662</v>
          </cell>
          <cell r="W5614">
            <v>2070472409821</v>
          </cell>
          <cell r="X5614">
            <v>3262900376293</v>
          </cell>
          <cell r="Y5614">
            <v>345418995209</v>
          </cell>
          <cell r="Z5614">
            <v>1559749339323</v>
          </cell>
          <cell r="AA5614">
            <v>509324152844</v>
          </cell>
          <cell r="AB5614">
            <v>5213806228479</v>
          </cell>
          <cell r="AC5614">
            <v>0</v>
          </cell>
          <cell r="AD5614">
            <v>3314557484553</v>
          </cell>
          <cell r="AE5614">
            <v>36198064629924</v>
          </cell>
          <cell r="AF5614">
            <v>2917479183201</v>
          </cell>
          <cell r="AG5614">
            <v>0</v>
          </cell>
          <cell r="AH5614">
            <v>1261476768604</v>
          </cell>
          <cell r="AI5614">
            <v>409702522828</v>
          </cell>
        </row>
        <row r="5615">
          <cell r="A5615">
            <v>601010000</v>
          </cell>
          <cell r="C5615">
            <v>11447891450468</v>
          </cell>
          <cell r="D5615">
            <v>4161172689696</v>
          </cell>
          <cell r="E5615">
            <v>1530940381389</v>
          </cell>
          <cell r="F5615">
            <v>1719003192751</v>
          </cell>
          <cell r="G5615">
            <v>466780307316</v>
          </cell>
          <cell r="H5615">
            <v>4469430603846</v>
          </cell>
          <cell r="I5615">
            <v>3078234755788</v>
          </cell>
          <cell r="J5615">
            <v>178150936536</v>
          </cell>
          <cell r="K5615">
            <v>679343438616</v>
          </cell>
          <cell r="L5615">
            <v>729455107524</v>
          </cell>
          <cell r="M5615">
            <v>151937091792</v>
          </cell>
          <cell r="N5615">
            <v>1174378218778</v>
          </cell>
          <cell r="O5615">
            <v>3450725761754</v>
          </cell>
          <cell r="P5615">
            <v>926673726040</v>
          </cell>
          <cell r="Q5615">
            <v>177036130423</v>
          </cell>
          <cell r="R5615">
            <v>2608562057974</v>
          </cell>
          <cell r="S5615">
            <v>51907986052</v>
          </cell>
          <cell r="T5615">
            <v>1980037770118</v>
          </cell>
          <cell r="U5615">
            <v>0</v>
          </cell>
          <cell r="V5615">
            <v>11766700198662</v>
          </cell>
          <cell r="W5615">
            <v>2070472409821</v>
          </cell>
          <cell r="X5615">
            <v>3262900376293</v>
          </cell>
          <cell r="Y5615">
            <v>345418995209</v>
          </cell>
          <cell r="Z5615">
            <v>1559749339323</v>
          </cell>
          <cell r="AA5615">
            <v>509324152844</v>
          </cell>
          <cell r="AB5615">
            <v>5213806228479</v>
          </cell>
          <cell r="AC5615">
            <v>0</v>
          </cell>
          <cell r="AD5615">
            <v>3314557484553</v>
          </cell>
          <cell r="AE5615">
            <v>36198064629924</v>
          </cell>
          <cell r="AF5615">
            <v>2917479183201</v>
          </cell>
          <cell r="AG5615">
            <v>0</v>
          </cell>
          <cell r="AH5615">
            <v>1261476768604</v>
          </cell>
          <cell r="AI5615">
            <v>409702522828</v>
          </cell>
        </row>
        <row r="5616">
          <cell r="A5616">
            <v>601010100</v>
          </cell>
          <cell r="C5616">
            <v>11350797684380</v>
          </cell>
          <cell r="D5616">
            <v>4005456680417</v>
          </cell>
          <cell r="E5616">
            <v>1211856414889</v>
          </cell>
          <cell r="F5616">
            <v>1690079265633</v>
          </cell>
          <cell r="G5616">
            <v>464798807318</v>
          </cell>
          <cell r="H5616">
            <v>4433401215883</v>
          </cell>
          <cell r="I5616">
            <v>2891087490328</v>
          </cell>
          <cell r="J5616">
            <v>178150936536</v>
          </cell>
          <cell r="K5616">
            <v>440475211252</v>
          </cell>
          <cell r="L5616">
            <v>477631833706</v>
          </cell>
          <cell r="M5616">
            <v>151937091792</v>
          </cell>
          <cell r="N5616">
            <v>837844306756</v>
          </cell>
          <cell r="O5616">
            <v>3448325761754</v>
          </cell>
          <cell r="P5616">
            <v>926673726040</v>
          </cell>
          <cell r="Q5616">
            <v>177036130423</v>
          </cell>
          <cell r="R5616">
            <v>2604634899411</v>
          </cell>
          <cell r="S5616">
            <v>51907986052</v>
          </cell>
          <cell r="T5616">
            <v>1322604550678</v>
          </cell>
          <cell r="U5616">
            <v>0</v>
          </cell>
          <cell r="V5616">
            <v>11179992743742</v>
          </cell>
          <cell r="W5616">
            <v>2066310177705</v>
          </cell>
          <cell r="X5616">
            <v>3225473360242</v>
          </cell>
          <cell r="Y5616">
            <v>345418995209</v>
          </cell>
          <cell r="Z5616">
            <v>1207758726455</v>
          </cell>
          <cell r="AA5616">
            <v>507306890661</v>
          </cell>
          <cell r="AB5616">
            <v>4538581024664</v>
          </cell>
          <cell r="AC5616">
            <v>0</v>
          </cell>
          <cell r="AD5616">
            <v>2880544305452</v>
          </cell>
          <cell r="AE5616">
            <v>35251017675764</v>
          </cell>
          <cell r="AF5616">
            <v>2856145359525</v>
          </cell>
          <cell r="AG5616">
            <v>0</v>
          </cell>
          <cell r="AH5616">
            <v>159984340903</v>
          </cell>
          <cell r="AI5616">
            <v>312076937270</v>
          </cell>
        </row>
        <row r="5617">
          <cell r="A5617">
            <v>601010101</v>
          </cell>
          <cell r="C5617">
            <v>470298693036</v>
          </cell>
          <cell r="D5617">
            <v>2288312328698</v>
          </cell>
          <cell r="E5617">
            <v>1120605607731</v>
          </cell>
          <cell r="F5617">
            <v>780583375441</v>
          </cell>
          <cell r="G5617">
            <v>231527000123</v>
          </cell>
          <cell r="H5617">
            <v>525991690477</v>
          </cell>
          <cell r="I5617">
            <v>503417348181</v>
          </cell>
          <cell r="J5617">
            <v>114261481390</v>
          </cell>
          <cell r="K5617">
            <v>128380397043</v>
          </cell>
          <cell r="L5617">
            <v>366935079762</v>
          </cell>
          <cell r="M5617">
            <v>24177952073</v>
          </cell>
          <cell r="N5617">
            <v>305944262176</v>
          </cell>
          <cell r="O5617">
            <v>1802571641491</v>
          </cell>
          <cell r="P5617">
            <v>364990283123</v>
          </cell>
          <cell r="Q5617">
            <v>135229033280</v>
          </cell>
          <cell r="R5617">
            <v>351419258071</v>
          </cell>
          <cell r="S5617">
            <v>34778615747</v>
          </cell>
          <cell r="T5617">
            <v>1357097902595</v>
          </cell>
          <cell r="U5617">
            <v>0</v>
          </cell>
          <cell r="V5617">
            <v>2398409017853</v>
          </cell>
          <cell r="W5617">
            <v>647312633941</v>
          </cell>
          <cell r="X5617">
            <v>1183741274696</v>
          </cell>
          <cell r="Y5617">
            <v>42501058106</v>
          </cell>
          <cell r="Z5617">
            <v>286949831803</v>
          </cell>
          <cell r="AA5617">
            <v>325015285450</v>
          </cell>
          <cell r="AB5617">
            <v>1541259132016</v>
          </cell>
          <cell r="AC5617">
            <v>0</v>
          </cell>
          <cell r="AD5617">
            <v>772073054275</v>
          </cell>
          <cell r="AE5617">
            <v>15233859844110</v>
          </cell>
          <cell r="AF5617">
            <v>777902511317</v>
          </cell>
          <cell r="AG5617">
            <v>0</v>
          </cell>
          <cell r="AH5617">
            <v>137426787014</v>
          </cell>
          <cell r="AI5617">
            <v>23124291600</v>
          </cell>
        </row>
        <row r="5618">
          <cell r="A5618">
            <v>601010102</v>
          </cell>
          <cell r="C5618">
            <v>101862536929</v>
          </cell>
          <cell r="D5618">
            <v>147638711618</v>
          </cell>
          <cell r="E5618">
            <v>562739500</v>
          </cell>
          <cell r="F5618">
            <v>33569033003</v>
          </cell>
          <cell r="G5618">
            <v>7462343493</v>
          </cell>
          <cell r="H5618">
            <v>39034835089</v>
          </cell>
          <cell r="I5618">
            <v>15334903029</v>
          </cell>
          <cell r="J5618">
            <v>75139263</v>
          </cell>
          <cell r="K5618">
            <v>495000000</v>
          </cell>
          <cell r="L5618">
            <v>3004251379</v>
          </cell>
          <cell r="M5618">
            <v>1113240000</v>
          </cell>
          <cell r="N5618">
            <v>-10643836766</v>
          </cell>
          <cell r="O5618">
            <v>15448020047</v>
          </cell>
          <cell r="P5618">
            <v>29707383731</v>
          </cell>
          <cell r="Q5618">
            <v>3012546835</v>
          </cell>
          <cell r="R5618">
            <v>26365171373</v>
          </cell>
          <cell r="S5618">
            <v>200000000</v>
          </cell>
          <cell r="T5618">
            <v>29657664375</v>
          </cell>
          <cell r="U5618">
            <v>0</v>
          </cell>
          <cell r="V5618">
            <v>52675821017</v>
          </cell>
          <cell r="W5618">
            <v>4015321136</v>
          </cell>
          <cell r="X5618">
            <v>52864012258</v>
          </cell>
          <cell r="Y5618">
            <v>930999973</v>
          </cell>
          <cell r="Z5618">
            <v>516750367</v>
          </cell>
          <cell r="AA5618">
            <v>75534677431</v>
          </cell>
          <cell r="AB5618">
            <v>49963628069</v>
          </cell>
          <cell r="AC5618">
            <v>0</v>
          </cell>
          <cell r="AD5618">
            <v>17384934966</v>
          </cell>
          <cell r="AE5618">
            <v>1334899072053</v>
          </cell>
          <cell r="AF5618">
            <v>9034695077</v>
          </cell>
          <cell r="AG5618">
            <v>0</v>
          </cell>
          <cell r="AH5618">
            <v>0</v>
          </cell>
          <cell r="AI5618">
            <v>0</v>
          </cell>
        </row>
        <row r="5619">
          <cell r="A5619">
            <v>601010103</v>
          </cell>
          <cell r="C5619">
            <v>24270990319</v>
          </cell>
          <cell r="D5619">
            <v>73981089995</v>
          </cell>
          <cell r="E5619">
            <v>5258500000</v>
          </cell>
          <cell r="F5619">
            <v>13064250000</v>
          </cell>
          <cell r="G5619">
            <v>5860341300</v>
          </cell>
          <cell r="H5619">
            <v>51924000000</v>
          </cell>
          <cell r="I5619">
            <v>24081542624</v>
          </cell>
          <cell r="J5619">
            <v>2123814844</v>
          </cell>
          <cell r="K5619">
            <v>607214284</v>
          </cell>
          <cell r="L5619">
            <v>6429630976</v>
          </cell>
          <cell r="M5619">
            <v>770723100</v>
          </cell>
          <cell r="N5619">
            <v>-25173683280</v>
          </cell>
          <cell r="O5619">
            <v>38190420353</v>
          </cell>
          <cell r="P5619">
            <v>26305000000</v>
          </cell>
          <cell r="Q5619">
            <v>0</v>
          </cell>
          <cell r="R5619">
            <v>166999820858</v>
          </cell>
          <cell r="S5619">
            <v>2460000000</v>
          </cell>
          <cell r="T5619">
            <v>127461600</v>
          </cell>
          <cell r="U5619">
            <v>0</v>
          </cell>
          <cell r="V5619">
            <v>886552769580</v>
          </cell>
          <cell r="W5619">
            <v>9539895414</v>
          </cell>
          <cell r="X5619">
            <v>23660212677</v>
          </cell>
          <cell r="Y5619">
            <v>2522214284</v>
          </cell>
          <cell r="Z5619">
            <v>23036500000</v>
          </cell>
          <cell r="AA5619">
            <v>9038200000</v>
          </cell>
          <cell r="AB5619">
            <v>258762325545</v>
          </cell>
          <cell r="AC5619">
            <v>0</v>
          </cell>
          <cell r="AD5619">
            <v>14751370032</v>
          </cell>
          <cell r="AE5619">
            <v>1016926973510</v>
          </cell>
          <cell r="AF5619">
            <v>554515199980</v>
          </cell>
          <cell r="AG5619">
            <v>0</v>
          </cell>
          <cell r="AH5619">
            <v>0</v>
          </cell>
          <cell r="AI5619">
            <v>8493504000</v>
          </cell>
        </row>
        <row r="5620">
          <cell r="A5620">
            <v>601010104</v>
          </cell>
          <cell r="C5620">
            <v>1655125875556</v>
          </cell>
          <cell r="D5620">
            <v>1281156505794</v>
          </cell>
          <cell r="E5620">
            <v>15788060918</v>
          </cell>
          <cell r="F5620">
            <v>478520890593</v>
          </cell>
          <cell r="G5620">
            <v>9395933342</v>
          </cell>
          <cell r="H5620">
            <v>13614147388</v>
          </cell>
          <cell r="I5620">
            <v>53667304261</v>
          </cell>
          <cell r="J5620">
            <v>55909401563</v>
          </cell>
          <cell r="K5620">
            <v>301784574138</v>
          </cell>
          <cell r="L5620">
            <v>67369494429</v>
          </cell>
          <cell r="M5620">
            <v>87666118800</v>
          </cell>
          <cell r="N5620">
            <v>158937773793</v>
          </cell>
          <cell r="O5620">
            <v>715853743555</v>
          </cell>
          <cell r="P5620">
            <v>455833738117</v>
          </cell>
          <cell r="Q5620">
            <v>350000000</v>
          </cell>
          <cell r="R5620">
            <v>269976844433</v>
          </cell>
          <cell r="S5620">
            <v>6720500000</v>
          </cell>
          <cell r="T5620">
            <v>0</v>
          </cell>
          <cell r="U5620">
            <v>0</v>
          </cell>
          <cell r="V5620">
            <v>1042792843243</v>
          </cell>
          <cell r="W5620">
            <v>1114080211836</v>
          </cell>
          <cell r="X5620">
            <v>1632903519831</v>
          </cell>
          <cell r="Y5620">
            <v>126671543806</v>
          </cell>
          <cell r="Z5620">
            <v>696739692964</v>
          </cell>
          <cell r="AA5620">
            <v>100000000</v>
          </cell>
          <cell r="AB5620">
            <v>2184001197448</v>
          </cell>
          <cell r="AC5620">
            <v>0</v>
          </cell>
          <cell r="AD5620">
            <v>1650242973642</v>
          </cell>
          <cell r="AE5620">
            <v>0</v>
          </cell>
          <cell r="AF5620">
            <v>1380386334583</v>
          </cell>
          <cell r="AG5620">
            <v>0</v>
          </cell>
          <cell r="AH5620">
            <v>834460938</v>
          </cell>
          <cell r="AI5620">
            <v>0</v>
          </cell>
        </row>
        <row r="5621">
          <cell r="A5621">
            <v>601010105</v>
          </cell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166854693400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  <cell r="AE5621">
            <v>0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</row>
        <row r="5622">
          <cell r="A5622">
            <v>601010106</v>
          </cell>
          <cell r="C5622">
            <v>6740173700</v>
          </cell>
          <cell r="D5622">
            <v>82578350525</v>
          </cell>
          <cell r="E5622">
            <v>10372080090</v>
          </cell>
          <cell r="F5622">
            <v>15881199205</v>
          </cell>
          <cell r="G5622">
            <v>15227485646</v>
          </cell>
          <cell r="H5622">
            <v>2094490000</v>
          </cell>
          <cell r="I5622">
            <v>36607506072</v>
          </cell>
          <cell r="J5622">
            <v>156789042</v>
          </cell>
          <cell r="K5622">
            <v>1807025813</v>
          </cell>
          <cell r="L5622">
            <v>7940776050</v>
          </cell>
          <cell r="M5622">
            <v>11427135932</v>
          </cell>
          <cell r="N5622">
            <v>9737120305</v>
          </cell>
          <cell r="O5622">
            <v>46859048560</v>
          </cell>
          <cell r="P5622">
            <v>28245860980</v>
          </cell>
          <cell r="Q5622">
            <v>4128555000</v>
          </cell>
          <cell r="R5622">
            <v>21366346494</v>
          </cell>
          <cell r="S5622">
            <v>2388750000</v>
          </cell>
          <cell r="T5622">
            <v>0</v>
          </cell>
          <cell r="U5622">
            <v>0</v>
          </cell>
          <cell r="V5622">
            <v>32245168513</v>
          </cell>
          <cell r="W5622">
            <v>51228508796</v>
          </cell>
          <cell r="X5622">
            <v>106215225596</v>
          </cell>
          <cell r="Y5622">
            <v>1381300000</v>
          </cell>
          <cell r="Z5622">
            <v>167326557334</v>
          </cell>
          <cell r="AA5622">
            <v>12168907183</v>
          </cell>
          <cell r="AB5622">
            <v>46194825822</v>
          </cell>
          <cell r="AC5622">
            <v>0</v>
          </cell>
          <cell r="AD5622">
            <v>49870289656</v>
          </cell>
          <cell r="AE5622">
            <v>1153983083454</v>
          </cell>
          <cell r="AF5622">
            <v>79445411351</v>
          </cell>
          <cell r="AG5622">
            <v>0</v>
          </cell>
          <cell r="AH5622">
            <v>3880536358</v>
          </cell>
          <cell r="AI5622">
            <v>15725805</v>
          </cell>
        </row>
        <row r="5623">
          <cell r="A5623">
            <v>601010107</v>
          </cell>
          <cell r="C5623">
            <v>193227002</v>
          </cell>
          <cell r="D5623">
            <v>2942012004</v>
          </cell>
          <cell r="E5623">
            <v>0</v>
          </cell>
          <cell r="F5623">
            <v>1678172017</v>
          </cell>
          <cell r="G5623">
            <v>255600603</v>
          </cell>
          <cell r="H5623">
            <v>1144027204</v>
          </cell>
          <cell r="I5623">
            <v>1740436641</v>
          </cell>
          <cell r="J5623">
            <v>0</v>
          </cell>
          <cell r="K5623">
            <v>445250000</v>
          </cell>
          <cell r="L5623">
            <v>109444100</v>
          </cell>
          <cell r="M5623">
            <v>14000000</v>
          </cell>
          <cell r="N5623">
            <v>379629106</v>
          </cell>
          <cell r="O5623">
            <v>1397938000</v>
          </cell>
          <cell r="P5623">
            <v>335500000</v>
          </cell>
          <cell r="Q5623">
            <v>0</v>
          </cell>
          <cell r="R5623">
            <v>254420000</v>
          </cell>
          <cell r="S5623">
            <v>0</v>
          </cell>
          <cell r="T5623">
            <v>0</v>
          </cell>
          <cell r="U5623">
            <v>0</v>
          </cell>
          <cell r="V5623">
            <v>654461055</v>
          </cell>
          <cell r="W5623">
            <v>212300000</v>
          </cell>
          <cell r="X5623">
            <v>2343853501</v>
          </cell>
          <cell r="Y5623">
            <v>0</v>
          </cell>
          <cell r="Z5623">
            <v>1486293506</v>
          </cell>
          <cell r="AA5623">
            <v>275931458</v>
          </cell>
          <cell r="AB5623">
            <v>2146692369</v>
          </cell>
          <cell r="AC5623">
            <v>0</v>
          </cell>
          <cell r="AD5623">
            <v>954530000</v>
          </cell>
          <cell r="AE5623">
            <v>9225287679</v>
          </cell>
          <cell r="AF5623">
            <v>487789924</v>
          </cell>
          <cell r="AG5623">
            <v>0</v>
          </cell>
          <cell r="AH5623">
            <v>0</v>
          </cell>
          <cell r="AI5623">
            <v>0</v>
          </cell>
        </row>
        <row r="5624">
          <cell r="A5624">
            <v>601010108</v>
          </cell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24445912392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R5624">
            <v>0</v>
          </cell>
          <cell r="S5624">
            <v>0</v>
          </cell>
          <cell r="T5624">
            <v>1130122534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0</v>
          </cell>
          <cell r="AE5624">
            <v>17978690650</v>
          </cell>
          <cell r="AF5624">
            <v>15710304</v>
          </cell>
          <cell r="AG5624">
            <v>0</v>
          </cell>
          <cell r="AH5624">
            <v>0</v>
          </cell>
          <cell r="AI5624">
            <v>70470731612</v>
          </cell>
        </row>
        <row r="5625">
          <cell r="A5625">
            <v>601010109</v>
          </cell>
          <cell r="C5625">
            <v>52404277250</v>
          </cell>
          <cell r="D5625">
            <v>13563510020</v>
          </cell>
          <cell r="E5625">
            <v>3000000000</v>
          </cell>
          <cell r="F5625">
            <v>5898000008</v>
          </cell>
          <cell r="G5625">
            <v>34503000000</v>
          </cell>
          <cell r="H5625">
            <v>3105692480064</v>
          </cell>
          <cell r="I5625">
            <v>2213164539028</v>
          </cell>
          <cell r="J5625">
            <v>5130660713</v>
          </cell>
          <cell r="K5625">
            <v>4849749974</v>
          </cell>
          <cell r="L5625">
            <v>4275381300</v>
          </cell>
          <cell r="M5625">
            <v>0</v>
          </cell>
          <cell r="N5625">
            <v>341851551191</v>
          </cell>
          <cell r="O5625">
            <v>283647861170</v>
          </cell>
          <cell r="P5625">
            <v>0</v>
          </cell>
          <cell r="Q5625">
            <v>0</v>
          </cell>
          <cell r="R5625">
            <v>8611505741</v>
          </cell>
          <cell r="S5625">
            <v>0</v>
          </cell>
          <cell r="T5625">
            <v>15689700000</v>
          </cell>
          <cell r="U5625">
            <v>0</v>
          </cell>
          <cell r="V5625">
            <v>2754341175769</v>
          </cell>
          <cell r="W5625">
            <v>221889533678</v>
          </cell>
          <cell r="X5625">
            <v>76974346993</v>
          </cell>
          <cell r="Y5625">
            <v>480999974</v>
          </cell>
          <cell r="Z5625">
            <v>728800002</v>
          </cell>
          <cell r="AA5625">
            <v>67265010004</v>
          </cell>
          <cell r="AB5625">
            <v>185166026097</v>
          </cell>
          <cell r="AC5625">
            <v>0</v>
          </cell>
          <cell r="AD5625">
            <v>214164754340</v>
          </cell>
          <cell r="AE5625">
            <v>1952836141917</v>
          </cell>
          <cell r="AF5625">
            <v>23595700000</v>
          </cell>
          <cell r="AG5625">
            <v>0</v>
          </cell>
          <cell r="AH5625">
            <v>9840000000</v>
          </cell>
          <cell r="AI5625">
            <v>114534988714</v>
          </cell>
        </row>
        <row r="5626">
          <cell r="A5626">
            <v>601010110</v>
          </cell>
          <cell r="C5626">
            <v>8267524788924</v>
          </cell>
          <cell r="D5626">
            <v>21251640113</v>
          </cell>
          <cell r="E5626">
            <v>36577523560</v>
          </cell>
          <cell r="F5626">
            <v>3156830010</v>
          </cell>
          <cell r="G5626">
            <v>10124104999</v>
          </cell>
          <cell r="H5626">
            <v>4000000000</v>
          </cell>
          <cell r="I5626">
            <v>21558560000</v>
          </cell>
          <cell r="J5626">
            <v>333612531</v>
          </cell>
          <cell r="K5626">
            <v>335000000</v>
          </cell>
          <cell r="L5626">
            <v>1130000000</v>
          </cell>
          <cell r="M5626">
            <v>350352100</v>
          </cell>
          <cell r="N5626">
            <v>-8323236774</v>
          </cell>
          <cell r="O5626">
            <v>26344323925</v>
          </cell>
          <cell r="P5626">
            <v>2926000000</v>
          </cell>
          <cell r="Q5626">
            <v>300000000</v>
          </cell>
          <cell r="R5626">
            <v>17088727430</v>
          </cell>
          <cell r="S5626">
            <v>1784651828</v>
          </cell>
          <cell r="T5626">
            <v>-70407982106</v>
          </cell>
          <cell r="U5626">
            <v>0</v>
          </cell>
          <cell r="V5626">
            <v>3921904724303</v>
          </cell>
          <cell r="W5626">
            <v>4200000000</v>
          </cell>
          <cell r="X5626">
            <v>14483845000</v>
          </cell>
          <cell r="Y5626">
            <v>600000000</v>
          </cell>
          <cell r="Z5626">
            <v>15045000000</v>
          </cell>
          <cell r="AA5626">
            <v>9850400000</v>
          </cell>
          <cell r="AB5626">
            <v>32621600004</v>
          </cell>
          <cell r="AC5626">
            <v>0</v>
          </cell>
          <cell r="AD5626">
            <v>8609350000</v>
          </cell>
          <cell r="AE5626">
            <v>14268525787458</v>
          </cell>
          <cell r="AF5626">
            <v>7378095000</v>
          </cell>
          <cell r="AG5626">
            <v>0</v>
          </cell>
          <cell r="AH5626">
            <v>0</v>
          </cell>
          <cell r="AI5626">
            <v>1005400000</v>
          </cell>
        </row>
        <row r="5627">
          <cell r="A5627">
            <v>601010111</v>
          </cell>
          <cell r="C5627">
            <v>1692090000</v>
          </cell>
          <cell r="D5627">
            <v>30453625960</v>
          </cell>
          <cell r="E5627">
            <v>0</v>
          </cell>
          <cell r="F5627">
            <v>0</v>
          </cell>
          <cell r="G5627">
            <v>23442112500</v>
          </cell>
          <cell r="H5627">
            <v>0</v>
          </cell>
          <cell r="I5627">
            <v>293160000</v>
          </cell>
          <cell r="J5627">
            <v>137610960</v>
          </cell>
          <cell r="K5627">
            <v>0</v>
          </cell>
          <cell r="L5627">
            <v>1396342300</v>
          </cell>
          <cell r="M5627">
            <v>0</v>
          </cell>
          <cell r="N5627">
            <v>-1079797354</v>
          </cell>
          <cell r="O5627">
            <v>462126773</v>
          </cell>
          <cell r="P5627">
            <v>4877742471</v>
          </cell>
          <cell r="Q5627">
            <v>938600000</v>
          </cell>
          <cell r="R5627">
            <v>2110900006</v>
          </cell>
          <cell r="S5627">
            <v>0</v>
          </cell>
          <cell r="T5627">
            <v>-49257000000</v>
          </cell>
          <cell r="U5627">
            <v>0</v>
          </cell>
          <cell r="V5627">
            <v>1475326999</v>
          </cell>
          <cell r="W5627">
            <v>1668400002</v>
          </cell>
          <cell r="X5627">
            <v>8884138932</v>
          </cell>
          <cell r="Y5627">
            <v>0</v>
          </cell>
          <cell r="Z5627">
            <v>847799999</v>
          </cell>
          <cell r="AA5627">
            <v>0</v>
          </cell>
          <cell r="AB5627">
            <v>13622070000</v>
          </cell>
          <cell r="AC5627">
            <v>0</v>
          </cell>
          <cell r="AD5627">
            <v>0</v>
          </cell>
          <cell r="AE5627">
            <v>42509128000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</row>
        <row r="5628">
          <cell r="A5628">
            <v>601010112</v>
          </cell>
          <cell r="C5628">
            <v>370093327163</v>
          </cell>
          <cell r="D5628">
            <v>23011968466</v>
          </cell>
          <cell r="E5628">
            <v>17156024690</v>
          </cell>
          <cell r="F5628">
            <v>310876856499</v>
          </cell>
          <cell r="G5628">
            <v>102493136024</v>
          </cell>
          <cell r="H5628">
            <v>261629835329</v>
          </cell>
          <cell r="I5628">
            <v>16433339310</v>
          </cell>
          <cell r="J5628">
            <v>0</v>
          </cell>
          <cell r="K5628">
            <v>1618000000</v>
          </cell>
          <cell r="L5628">
            <v>905111080</v>
          </cell>
          <cell r="M5628">
            <v>140989100</v>
          </cell>
          <cell r="N5628">
            <v>31678965439</v>
          </cell>
          <cell r="O5628">
            <v>420371561660</v>
          </cell>
          <cell r="P5628">
            <v>6483308503</v>
          </cell>
          <cell r="Q5628">
            <v>26052305865</v>
          </cell>
          <cell r="R5628">
            <v>1546708135742</v>
          </cell>
          <cell r="S5628">
            <v>1711912980</v>
          </cell>
          <cell r="T5628">
            <v>46195909680</v>
          </cell>
          <cell r="U5628">
            <v>0</v>
          </cell>
          <cell r="V5628">
            <v>73956330559</v>
          </cell>
          <cell r="W5628">
            <v>5382878558</v>
          </cell>
          <cell r="X5628">
            <v>70401965538</v>
          </cell>
          <cell r="Y5628">
            <v>50000000</v>
          </cell>
          <cell r="Z5628">
            <v>13839912901</v>
          </cell>
          <cell r="AA5628">
            <v>728395083</v>
          </cell>
          <cell r="AB5628">
            <v>154110011500</v>
          </cell>
          <cell r="AC5628">
            <v>0</v>
          </cell>
          <cell r="AD5628">
            <v>129115339602</v>
          </cell>
          <cell r="AE5628">
            <v>169512724291</v>
          </cell>
          <cell r="AF5628">
            <v>12562938894</v>
          </cell>
          <cell r="AG5628">
            <v>0</v>
          </cell>
          <cell r="AH5628">
            <v>7502556593</v>
          </cell>
          <cell r="AI5628">
            <v>78326944480</v>
          </cell>
        </row>
        <row r="5629">
          <cell r="A5629">
            <v>601010113</v>
          </cell>
          <cell r="C5629">
            <v>400591704501</v>
          </cell>
          <cell r="D5629">
            <v>40566937224</v>
          </cell>
          <cell r="E5629">
            <v>2535878400</v>
          </cell>
          <cell r="F5629">
            <v>46850658857</v>
          </cell>
          <cell r="G5629">
            <v>24507749288</v>
          </cell>
          <cell r="H5629">
            <v>428275710332</v>
          </cell>
          <cell r="I5629">
            <v>4788851182</v>
          </cell>
          <cell r="J5629">
            <v>22426230</v>
          </cell>
          <cell r="K5629">
            <v>153000000</v>
          </cell>
          <cell r="L5629">
            <v>18136322330</v>
          </cell>
          <cell r="M5629">
            <v>1830668295</v>
          </cell>
          <cell r="N5629">
            <v>34535558920</v>
          </cell>
          <cell r="O5629">
            <v>97179076220</v>
          </cell>
          <cell r="P5629">
            <v>6968909115</v>
          </cell>
          <cell r="Q5629">
            <v>7025089443</v>
          </cell>
          <cell r="R5629">
            <v>193733769263</v>
          </cell>
          <cell r="S5629">
            <v>1863555497</v>
          </cell>
          <cell r="T5629">
            <v>-7629228000</v>
          </cell>
          <cell r="U5629">
            <v>0</v>
          </cell>
          <cell r="V5629">
            <v>14985104851</v>
          </cell>
          <cell r="W5629">
            <v>6780494344</v>
          </cell>
          <cell r="X5629">
            <v>53000965220</v>
          </cell>
          <cell r="Y5629">
            <v>3426185666</v>
          </cell>
          <cell r="Z5629">
            <v>1241587579</v>
          </cell>
          <cell r="AA5629">
            <v>7330084052</v>
          </cell>
          <cell r="AB5629">
            <v>70733515794</v>
          </cell>
          <cell r="AC5629">
            <v>0</v>
          </cell>
          <cell r="AD5629">
            <v>23377708939</v>
          </cell>
          <cell r="AE5629">
            <v>50760942642</v>
          </cell>
          <cell r="AF5629">
            <v>10820973095</v>
          </cell>
          <cell r="AG5629">
            <v>0</v>
          </cell>
          <cell r="AH5629">
            <v>500000000</v>
          </cell>
          <cell r="AI5629">
            <v>16105351059</v>
          </cell>
        </row>
        <row r="5630">
          <cell r="A5630">
            <v>601010200</v>
          </cell>
          <cell r="C5630">
            <v>97093766088</v>
          </cell>
          <cell r="D5630">
            <v>155716009279</v>
          </cell>
          <cell r="E5630">
            <v>319083966500</v>
          </cell>
          <cell r="F5630">
            <v>28923927118</v>
          </cell>
          <cell r="G5630">
            <v>1981499998</v>
          </cell>
          <cell r="H5630">
            <v>36029387963</v>
          </cell>
          <cell r="I5630">
            <v>187147265460</v>
          </cell>
          <cell r="J5630">
            <v>0</v>
          </cell>
          <cell r="K5630">
            <v>238868227364</v>
          </cell>
          <cell r="L5630">
            <v>251823273818</v>
          </cell>
          <cell r="M5630">
            <v>0</v>
          </cell>
          <cell r="N5630">
            <v>336533912022</v>
          </cell>
          <cell r="O5630">
            <v>2400000000</v>
          </cell>
          <cell r="P5630">
            <v>0</v>
          </cell>
          <cell r="Q5630">
            <v>0</v>
          </cell>
          <cell r="R5630">
            <v>3927158563</v>
          </cell>
          <cell r="S5630">
            <v>0</v>
          </cell>
          <cell r="T5630">
            <v>657433219440</v>
          </cell>
          <cell r="U5630">
            <v>0</v>
          </cell>
          <cell r="V5630">
            <v>586707454920</v>
          </cell>
          <cell r="W5630">
            <v>4162232116</v>
          </cell>
          <cell r="X5630">
            <v>37427016051</v>
          </cell>
          <cell r="Y5630">
            <v>0</v>
          </cell>
          <cell r="Z5630">
            <v>351990612868</v>
          </cell>
          <cell r="AA5630">
            <v>2017262183</v>
          </cell>
          <cell r="AB5630">
            <v>675225203815</v>
          </cell>
          <cell r="AC5630">
            <v>0</v>
          </cell>
          <cell r="AD5630">
            <v>434013179101</v>
          </cell>
          <cell r="AE5630">
            <v>947046954160</v>
          </cell>
          <cell r="AF5630">
            <v>61333823676</v>
          </cell>
          <cell r="AG5630">
            <v>0</v>
          </cell>
          <cell r="AH5630">
            <v>1101492427701</v>
          </cell>
          <cell r="AI5630">
            <v>97625585558</v>
          </cell>
        </row>
        <row r="5631">
          <cell r="A5631">
            <v>601010201</v>
          </cell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G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R5631">
            <v>0</v>
          </cell>
          <cell r="S5631">
            <v>0</v>
          </cell>
          <cell r="T5631">
            <v>656589703440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  <cell r="AC5631">
            <v>0</v>
          </cell>
          <cell r="AD5631">
            <v>0</v>
          </cell>
          <cell r="AE5631">
            <v>0</v>
          </cell>
          <cell r="AF5631">
            <v>0</v>
          </cell>
          <cell r="AG5631">
            <v>0</v>
          </cell>
          <cell r="AH5631">
            <v>0</v>
          </cell>
          <cell r="AI5631">
            <v>0</v>
          </cell>
        </row>
        <row r="5632">
          <cell r="A5632">
            <v>601010202</v>
          </cell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  <cell r="AE5632">
            <v>0</v>
          </cell>
          <cell r="AF5632">
            <v>0</v>
          </cell>
          <cell r="AG5632">
            <v>0</v>
          </cell>
          <cell r="AH5632">
            <v>0</v>
          </cell>
          <cell r="AI5632">
            <v>0</v>
          </cell>
        </row>
        <row r="5633">
          <cell r="A5633">
            <v>601010203</v>
          </cell>
          <cell r="C5633">
            <v>97093766088</v>
          </cell>
          <cell r="D5633">
            <v>155716009279</v>
          </cell>
          <cell r="E5633">
            <v>319083966500</v>
          </cell>
          <cell r="F5633">
            <v>28923927118</v>
          </cell>
          <cell r="G5633">
            <v>1981499998</v>
          </cell>
          <cell r="H5633">
            <v>36029387963</v>
          </cell>
          <cell r="I5633">
            <v>187147265460</v>
          </cell>
          <cell r="J5633">
            <v>0</v>
          </cell>
          <cell r="K5633">
            <v>200265964857</v>
          </cell>
          <cell r="L5633">
            <v>251823273818</v>
          </cell>
          <cell r="M5633">
            <v>0</v>
          </cell>
          <cell r="N5633">
            <v>336533912022</v>
          </cell>
          <cell r="O5633">
            <v>2400000000</v>
          </cell>
          <cell r="P5633">
            <v>0</v>
          </cell>
          <cell r="Q5633">
            <v>0</v>
          </cell>
          <cell r="R5633">
            <v>3927158563</v>
          </cell>
          <cell r="S5633">
            <v>0</v>
          </cell>
          <cell r="T5633">
            <v>0</v>
          </cell>
          <cell r="U5633">
            <v>0</v>
          </cell>
          <cell r="V5633">
            <v>586707454920</v>
          </cell>
          <cell r="W5633">
            <v>4162232116</v>
          </cell>
          <cell r="X5633">
            <v>37427016051</v>
          </cell>
          <cell r="Y5633">
            <v>0</v>
          </cell>
          <cell r="Z5633">
            <v>351990612868</v>
          </cell>
          <cell r="AA5633">
            <v>2017262183</v>
          </cell>
          <cell r="AB5633">
            <v>675225203815</v>
          </cell>
          <cell r="AC5633">
            <v>0</v>
          </cell>
          <cell r="AD5633">
            <v>434013179101</v>
          </cell>
          <cell r="AE5633">
            <v>947046954160</v>
          </cell>
          <cell r="AF5633">
            <v>61333823676</v>
          </cell>
          <cell r="AG5633">
            <v>0</v>
          </cell>
          <cell r="AH5633">
            <v>1101492427701</v>
          </cell>
          <cell r="AI5633">
            <v>97625585558</v>
          </cell>
        </row>
        <row r="5634">
          <cell r="A5634">
            <v>601010204</v>
          </cell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  <cell r="AE5634">
            <v>0</v>
          </cell>
          <cell r="AF5634">
            <v>0</v>
          </cell>
          <cell r="AG5634">
            <v>0</v>
          </cell>
          <cell r="AH5634">
            <v>0</v>
          </cell>
          <cell r="AI5634">
            <v>0</v>
          </cell>
        </row>
        <row r="5635">
          <cell r="A5635">
            <v>601010205</v>
          </cell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R5635">
            <v>0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  <cell r="AE5635">
            <v>0</v>
          </cell>
          <cell r="AF5635">
            <v>0</v>
          </cell>
          <cell r="AG5635">
            <v>0</v>
          </cell>
          <cell r="AH5635">
            <v>0</v>
          </cell>
          <cell r="AI5635">
            <v>0</v>
          </cell>
        </row>
        <row r="5636">
          <cell r="A5636">
            <v>601010206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38602262507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  <cell r="AE5636">
            <v>0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</row>
        <row r="5637">
          <cell r="A5637">
            <v>601010207</v>
          </cell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R5637">
            <v>0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  <cell r="AE5637">
            <v>0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</row>
        <row r="5638">
          <cell r="A5638">
            <v>601010208</v>
          </cell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843516000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  <cell r="AE5638">
            <v>0</v>
          </cell>
          <cell r="AF5638">
            <v>0</v>
          </cell>
          <cell r="AG5638">
            <v>0</v>
          </cell>
          <cell r="AH5638">
            <v>0</v>
          </cell>
          <cell r="AI5638">
            <v>0</v>
          </cell>
        </row>
        <row r="5639">
          <cell r="A5639">
            <v>601010209</v>
          </cell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G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  <cell r="AE5639">
            <v>0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</row>
        <row r="5640">
          <cell r="A5640">
            <v>602000000</v>
          </cell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1124543118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6460000</v>
          </cell>
          <cell r="P5640">
            <v>0</v>
          </cell>
          <cell r="Q5640">
            <v>0</v>
          </cell>
          <cell r="R5640">
            <v>1350000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10000000</v>
          </cell>
          <cell r="X5640">
            <v>0</v>
          </cell>
          <cell r="Y5640">
            <v>15000000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  <cell r="AE5640">
            <v>0</v>
          </cell>
          <cell r="AF5640">
            <v>141392050</v>
          </cell>
          <cell r="AG5640">
            <v>0</v>
          </cell>
          <cell r="AH5640">
            <v>0</v>
          </cell>
          <cell r="AI5640">
            <v>0</v>
          </cell>
        </row>
        <row r="5641">
          <cell r="A5641">
            <v>602010000</v>
          </cell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1124543118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6460000</v>
          </cell>
          <cell r="P5641">
            <v>0</v>
          </cell>
          <cell r="Q5641">
            <v>0</v>
          </cell>
          <cell r="R5641">
            <v>1350000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  <cell r="W5641">
            <v>10000000</v>
          </cell>
          <cell r="X5641">
            <v>0</v>
          </cell>
          <cell r="Y5641">
            <v>15000000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0</v>
          </cell>
          <cell r="AE5641">
            <v>0</v>
          </cell>
          <cell r="AF5641">
            <v>141392050</v>
          </cell>
          <cell r="AG5641">
            <v>0</v>
          </cell>
          <cell r="AH5641">
            <v>0</v>
          </cell>
          <cell r="AI5641">
            <v>0</v>
          </cell>
        </row>
        <row r="5642">
          <cell r="A5642">
            <v>602010100</v>
          </cell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1124543118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6460000</v>
          </cell>
          <cell r="P5642">
            <v>0</v>
          </cell>
          <cell r="Q5642">
            <v>0</v>
          </cell>
          <cell r="R5642">
            <v>1350000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10000000</v>
          </cell>
          <cell r="X5642">
            <v>0</v>
          </cell>
          <cell r="Y5642">
            <v>15000000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  <cell r="AE5642">
            <v>0</v>
          </cell>
          <cell r="AF5642">
            <v>141392050</v>
          </cell>
          <cell r="AG5642">
            <v>0</v>
          </cell>
          <cell r="AH5642">
            <v>0</v>
          </cell>
          <cell r="AI5642">
            <v>0</v>
          </cell>
        </row>
        <row r="5643">
          <cell r="A5643">
            <v>602010101</v>
          </cell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1124543118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0</v>
          </cell>
          <cell r="AE5643">
            <v>0</v>
          </cell>
          <cell r="AF5643">
            <v>141392050</v>
          </cell>
          <cell r="AG5643">
            <v>0</v>
          </cell>
          <cell r="AH5643">
            <v>0</v>
          </cell>
          <cell r="AI5643">
            <v>0</v>
          </cell>
        </row>
        <row r="5644">
          <cell r="A5644">
            <v>602010102</v>
          </cell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  <cell r="AE5644">
            <v>0</v>
          </cell>
          <cell r="AF5644">
            <v>0</v>
          </cell>
          <cell r="AG5644">
            <v>0</v>
          </cell>
          <cell r="AH5644">
            <v>0</v>
          </cell>
          <cell r="AI5644">
            <v>0</v>
          </cell>
        </row>
        <row r="5645">
          <cell r="A5645">
            <v>602010103</v>
          </cell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  <cell r="AE5645">
            <v>0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</row>
        <row r="5646">
          <cell r="A5646">
            <v>602010104</v>
          </cell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  <cell r="AE5646">
            <v>0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</row>
        <row r="5647">
          <cell r="A5647">
            <v>602010105</v>
          </cell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6460000</v>
          </cell>
          <cell r="P5647">
            <v>0</v>
          </cell>
          <cell r="Q5647">
            <v>0</v>
          </cell>
          <cell r="R5647">
            <v>1350000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10000000</v>
          </cell>
          <cell r="X5647">
            <v>0</v>
          </cell>
          <cell r="Y5647">
            <v>15000000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  <cell r="AE5647">
            <v>0</v>
          </cell>
          <cell r="AF5647">
            <v>0</v>
          </cell>
          <cell r="AG5647">
            <v>0</v>
          </cell>
          <cell r="AH5647">
            <v>0</v>
          </cell>
          <cell r="AI5647">
            <v>0</v>
          </cell>
        </row>
        <row r="5648">
          <cell r="A5648">
            <v>603000000</v>
          </cell>
          <cell r="C5648">
            <v>0</v>
          </cell>
          <cell r="D5648">
            <v>0</v>
          </cell>
          <cell r="E5648">
            <v>1091138501</v>
          </cell>
          <cell r="F5648">
            <v>0</v>
          </cell>
          <cell r="G5648">
            <v>0</v>
          </cell>
          <cell r="H5648">
            <v>0</v>
          </cell>
          <cell r="I5648">
            <v>10834276192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1050739831</v>
          </cell>
          <cell r="R5648">
            <v>10760000000</v>
          </cell>
          <cell r="S5648">
            <v>0</v>
          </cell>
          <cell r="T5648">
            <v>0</v>
          </cell>
          <cell r="U5648">
            <v>2711044254</v>
          </cell>
          <cell r="V5648">
            <v>10000000000</v>
          </cell>
          <cell r="W5648">
            <v>0</v>
          </cell>
          <cell r="X5648">
            <v>0</v>
          </cell>
          <cell r="Y5648">
            <v>0</v>
          </cell>
          <cell r="Z5648">
            <v>18767086</v>
          </cell>
          <cell r="AA5648">
            <v>0</v>
          </cell>
          <cell r="AB5648">
            <v>4000000000</v>
          </cell>
          <cell r="AC5648">
            <v>0</v>
          </cell>
          <cell r="AD5648">
            <v>0</v>
          </cell>
          <cell r="AE5648">
            <v>0</v>
          </cell>
          <cell r="AF5648">
            <v>8168124207</v>
          </cell>
          <cell r="AG5648">
            <v>242853415</v>
          </cell>
          <cell r="AH5648">
            <v>2000000000</v>
          </cell>
          <cell r="AI5648">
            <v>0</v>
          </cell>
        </row>
        <row r="5649">
          <cell r="A5649">
            <v>603010000</v>
          </cell>
          <cell r="C5649">
            <v>0</v>
          </cell>
          <cell r="D5649">
            <v>0</v>
          </cell>
          <cell r="E5649">
            <v>1091138501</v>
          </cell>
          <cell r="F5649">
            <v>0</v>
          </cell>
          <cell r="G5649">
            <v>0</v>
          </cell>
          <cell r="H5649">
            <v>0</v>
          </cell>
          <cell r="I5649">
            <v>10834276192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1050739831</v>
          </cell>
          <cell r="R5649">
            <v>10760000000</v>
          </cell>
          <cell r="S5649">
            <v>0</v>
          </cell>
          <cell r="T5649">
            <v>0</v>
          </cell>
          <cell r="U5649">
            <v>2711044254</v>
          </cell>
          <cell r="V5649">
            <v>10000000000</v>
          </cell>
          <cell r="W5649">
            <v>0</v>
          </cell>
          <cell r="X5649">
            <v>0</v>
          </cell>
          <cell r="Y5649">
            <v>0</v>
          </cell>
          <cell r="Z5649">
            <v>18767086</v>
          </cell>
          <cell r="AA5649">
            <v>0</v>
          </cell>
          <cell r="AB5649">
            <v>4000000000</v>
          </cell>
          <cell r="AC5649">
            <v>0</v>
          </cell>
          <cell r="AD5649">
            <v>0</v>
          </cell>
          <cell r="AE5649">
            <v>0</v>
          </cell>
          <cell r="AF5649">
            <v>8168124207</v>
          </cell>
          <cell r="AG5649">
            <v>242853415</v>
          </cell>
          <cell r="AH5649">
            <v>2000000000</v>
          </cell>
          <cell r="AI5649">
            <v>0</v>
          </cell>
        </row>
        <row r="5650">
          <cell r="A5650">
            <v>603010100</v>
          </cell>
          <cell r="C5650">
            <v>0</v>
          </cell>
          <cell r="D5650">
            <v>0</v>
          </cell>
          <cell r="E5650">
            <v>1091138501</v>
          </cell>
          <cell r="F5650">
            <v>0</v>
          </cell>
          <cell r="G5650">
            <v>0</v>
          </cell>
          <cell r="H5650">
            <v>0</v>
          </cell>
          <cell r="I5650">
            <v>10834276192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1050739831</v>
          </cell>
          <cell r="R5650">
            <v>10760000000</v>
          </cell>
          <cell r="S5650">
            <v>0</v>
          </cell>
          <cell r="T5650">
            <v>0</v>
          </cell>
          <cell r="U5650">
            <v>2711044254</v>
          </cell>
          <cell r="V5650">
            <v>10000000000</v>
          </cell>
          <cell r="W5650">
            <v>0</v>
          </cell>
          <cell r="X5650">
            <v>0</v>
          </cell>
          <cell r="Y5650">
            <v>0</v>
          </cell>
          <cell r="Z5650">
            <v>18767086</v>
          </cell>
          <cell r="AA5650">
            <v>0</v>
          </cell>
          <cell r="AB5650">
            <v>4000000000</v>
          </cell>
          <cell r="AC5650">
            <v>0</v>
          </cell>
          <cell r="AD5650">
            <v>0</v>
          </cell>
          <cell r="AE5650">
            <v>0</v>
          </cell>
          <cell r="AF5650">
            <v>8168124207</v>
          </cell>
          <cell r="AG5650">
            <v>242853415</v>
          </cell>
          <cell r="AH5650">
            <v>2000000000</v>
          </cell>
          <cell r="AI5650">
            <v>0</v>
          </cell>
        </row>
        <row r="5651">
          <cell r="A5651">
            <v>603010101</v>
          </cell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  <cell r="I5651">
            <v>10000000000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10000000000</v>
          </cell>
          <cell r="S5651">
            <v>0</v>
          </cell>
          <cell r="T5651">
            <v>0</v>
          </cell>
          <cell r="U5651">
            <v>0</v>
          </cell>
          <cell r="V5651">
            <v>10000000000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4000000000</v>
          </cell>
          <cell r="AC5651">
            <v>0</v>
          </cell>
          <cell r="AD5651">
            <v>0</v>
          </cell>
          <cell r="AE5651">
            <v>0</v>
          </cell>
          <cell r="AF5651">
            <v>8000000000</v>
          </cell>
          <cell r="AG5651">
            <v>0</v>
          </cell>
          <cell r="AH5651">
            <v>2000000000</v>
          </cell>
          <cell r="AI5651">
            <v>0</v>
          </cell>
        </row>
        <row r="5652">
          <cell r="A5652">
            <v>603010102</v>
          </cell>
          <cell r="C5652">
            <v>0</v>
          </cell>
          <cell r="D5652">
            <v>0</v>
          </cell>
          <cell r="E5652">
            <v>221223528</v>
          </cell>
          <cell r="F5652">
            <v>0</v>
          </cell>
          <cell r="G5652">
            <v>0</v>
          </cell>
          <cell r="H5652">
            <v>0</v>
          </cell>
          <cell r="I5652">
            <v>813276192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1050739831</v>
          </cell>
          <cell r="R5652">
            <v>0</v>
          </cell>
          <cell r="S5652">
            <v>0</v>
          </cell>
          <cell r="T5652">
            <v>0</v>
          </cell>
          <cell r="U5652">
            <v>2711044254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18767086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  <cell r="AE5652">
            <v>0</v>
          </cell>
          <cell r="AF5652">
            <v>12074207</v>
          </cell>
          <cell r="AG5652">
            <v>242853415</v>
          </cell>
          <cell r="AH5652">
            <v>0</v>
          </cell>
          <cell r="AI5652">
            <v>0</v>
          </cell>
        </row>
        <row r="5653">
          <cell r="A5653">
            <v>603010103</v>
          </cell>
          <cell r="C5653">
            <v>0</v>
          </cell>
          <cell r="D5653">
            <v>0</v>
          </cell>
          <cell r="E5653">
            <v>869914973</v>
          </cell>
          <cell r="F5653">
            <v>0</v>
          </cell>
          <cell r="G5653">
            <v>0</v>
          </cell>
          <cell r="H5653">
            <v>0</v>
          </cell>
          <cell r="I5653">
            <v>21000000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  <cell r="AE5653">
            <v>0</v>
          </cell>
          <cell r="AF5653">
            <v>0</v>
          </cell>
          <cell r="AG5653">
            <v>0</v>
          </cell>
          <cell r="AH5653">
            <v>0</v>
          </cell>
          <cell r="AI5653">
            <v>0</v>
          </cell>
        </row>
        <row r="5654">
          <cell r="A5654">
            <v>603010104</v>
          </cell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R5654">
            <v>760000000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  <cell r="AE5654">
            <v>0</v>
          </cell>
          <cell r="AF5654">
            <v>156050000</v>
          </cell>
          <cell r="AG5654">
            <v>0</v>
          </cell>
          <cell r="AH5654">
            <v>0</v>
          </cell>
          <cell r="AI5654">
            <v>0</v>
          </cell>
        </row>
        <row r="5655">
          <cell r="A5655">
            <v>604000000</v>
          </cell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  <cell r="I5655">
            <v>421695195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R5655">
            <v>15734883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46738150</v>
          </cell>
          <cell r="AD5655">
            <v>0</v>
          </cell>
          <cell r="AE5655">
            <v>0</v>
          </cell>
          <cell r="AF5655">
            <v>0</v>
          </cell>
          <cell r="AG5655">
            <v>302385113</v>
          </cell>
          <cell r="AH5655">
            <v>0</v>
          </cell>
          <cell r="AI5655">
            <v>0</v>
          </cell>
        </row>
        <row r="5656">
          <cell r="A5656">
            <v>604010000</v>
          </cell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  <cell r="I5656">
            <v>421695195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R5656">
            <v>15734883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46738150</v>
          </cell>
          <cell r="AD5656">
            <v>0</v>
          </cell>
          <cell r="AE5656">
            <v>0</v>
          </cell>
          <cell r="AF5656">
            <v>0</v>
          </cell>
          <cell r="AG5656">
            <v>302385113</v>
          </cell>
          <cell r="AH5656">
            <v>0</v>
          </cell>
          <cell r="AI5656">
            <v>0</v>
          </cell>
        </row>
        <row r="5657">
          <cell r="A5657">
            <v>604010100</v>
          </cell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  <cell r="I5657">
            <v>421695195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R5657">
            <v>15734883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46738150</v>
          </cell>
          <cell r="AD5657">
            <v>0</v>
          </cell>
          <cell r="AE5657">
            <v>0</v>
          </cell>
          <cell r="AF5657">
            <v>0</v>
          </cell>
          <cell r="AG5657">
            <v>302385113</v>
          </cell>
          <cell r="AH5657">
            <v>0</v>
          </cell>
          <cell r="AI5657">
            <v>0</v>
          </cell>
        </row>
        <row r="5658">
          <cell r="A5658">
            <v>604010101</v>
          </cell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  <cell r="I5658">
            <v>421695195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R5658">
            <v>0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  <cell r="AE5658">
            <v>0</v>
          </cell>
          <cell r="AF5658">
            <v>0</v>
          </cell>
          <cell r="AG5658">
            <v>0</v>
          </cell>
          <cell r="AH5658">
            <v>0</v>
          </cell>
          <cell r="AI5658">
            <v>0</v>
          </cell>
        </row>
        <row r="5659">
          <cell r="A5659">
            <v>604010102</v>
          </cell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0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  <cell r="AE5659">
            <v>0</v>
          </cell>
          <cell r="AF5659">
            <v>0</v>
          </cell>
          <cell r="AG5659">
            <v>302385113</v>
          </cell>
          <cell r="AH5659">
            <v>0</v>
          </cell>
          <cell r="AI5659">
            <v>0</v>
          </cell>
        </row>
        <row r="5660">
          <cell r="A5660">
            <v>604010103</v>
          </cell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R5660">
            <v>15734883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46738150</v>
          </cell>
          <cell r="AD5660">
            <v>0</v>
          </cell>
          <cell r="AE5660">
            <v>0</v>
          </cell>
          <cell r="AF5660">
            <v>0</v>
          </cell>
          <cell r="AG5660">
            <v>0</v>
          </cell>
          <cell r="AH5660">
            <v>0</v>
          </cell>
          <cell r="AI5660">
            <v>0</v>
          </cell>
        </row>
        <row r="5661">
          <cell r="A5661">
            <v>605000000</v>
          </cell>
          <cell r="C5661">
            <v>15206391135739</v>
          </cell>
          <cell r="D5661">
            <v>5256469010552</v>
          </cell>
          <cell r="E5661">
            <v>5571519927427</v>
          </cell>
          <cell r="F5661">
            <v>1835342256405</v>
          </cell>
          <cell r="G5661">
            <v>3976480294118</v>
          </cell>
          <cell r="H5661">
            <v>11827146339157</v>
          </cell>
          <cell r="I5661">
            <v>4738452467997</v>
          </cell>
          <cell r="J5661">
            <v>263465231417</v>
          </cell>
          <cell r="K5661">
            <v>865187032426</v>
          </cell>
          <cell r="L5661">
            <v>989024208983</v>
          </cell>
          <cell r="M5661">
            <v>194224211732</v>
          </cell>
          <cell r="N5661">
            <v>1098147453754</v>
          </cell>
          <cell r="O5661">
            <v>4055634963647</v>
          </cell>
          <cell r="P5661">
            <v>1303774751121</v>
          </cell>
          <cell r="Q5661">
            <v>1740702687423</v>
          </cell>
          <cell r="R5661">
            <v>2912223251884</v>
          </cell>
          <cell r="S5661">
            <v>55032605173</v>
          </cell>
          <cell r="T5661">
            <v>5482397443568</v>
          </cell>
          <cell r="U5661">
            <v>0</v>
          </cell>
          <cell r="V5661">
            <v>20228174908906</v>
          </cell>
          <cell r="W5661">
            <v>2309454537594</v>
          </cell>
          <cell r="X5661">
            <v>3999927297939</v>
          </cell>
          <cell r="Y5661">
            <v>512064151811</v>
          </cell>
          <cell r="Z5661">
            <v>2534808196399</v>
          </cell>
          <cell r="AA5661">
            <v>658415863337</v>
          </cell>
          <cell r="AB5661">
            <v>8188123336611</v>
          </cell>
          <cell r="AC5661">
            <v>0</v>
          </cell>
          <cell r="AD5661">
            <v>4388134777504</v>
          </cell>
          <cell r="AE5661">
            <v>71066270502239</v>
          </cell>
          <cell r="AF5661">
            <v>3126098943738</v>
          </cell>
          <cell r="AG5661">
            <v>1996675133261</v>
          </cell>
          <cell r="AH5661">
            <v>9383383113261</v>
          </cell>
          <cell r="AI5661">
            <v>487594207908</v>
          </cell>
        </row>
        <row r="5662">
          <cell r="A5662">
            <v>605010000</v>
          </cell>
          <cell r="C5662">
            <v>15206391135739</v>
          </cell>
          <cell r="D5662">
            <v>5256469010552</v>
          </cell>
          <cell r="E5662">
            <v>5571519927427</v>
          </cell>
          <cell r="F5662">
            <v>1835342256405</v>
          </cell>
          <cell r="G5662">
            <v>3976480294118</v>
          </cell>
          <cell r="H5662">
            <v>11827146339157</v>
          </cell>
          <cell r="I5662">
            <v>4738452467997</v>
          </cell>
          <cell r="J5662">
            <v>263465231417</v>
          </cell>
          <cell r="K5662">
            <v>865187032426</v>
          </cell>
          <cell r="L5662">
            <v>989024208983</v>
          </cell>
          <cell r="M5662">
            <v>194224211732</v>
          </cell>
          <cell r="N5662">
            <v>1098147453754</v>
          </cell>
          <cell r="O5662">
            <v>4055634963647</v>
          </cell>
          <cell r="P5662">
            <v>1303774751121</v>
          </cell>
          <cell r="Q5662">
            <v>1740702687423</v>
          </cell>
          <cell r="R5662">
            <v>2912223251884</v>
          </cell>
          <cell r="S5662">
            <v>55032605173</v>
          </cell>
          <cell r="T5662">
            <v>5482397443568</v>
          </cell>
          <cell r="U5662">
            <v>0</v>
          </cell>
          <cell r="V5662">
            <v>20228174908906</v>
          </cell>
          <cell r="W5662">
            <v>2309454537594</v>
          </cell>
          <cell r="X5662">
            <v>3999927297939</v>
          </cell>
          <cell r="Y5662">
            <v>512064151811</v>
          </cell>
          <cell r="Z5662">
            <v>2534808196399</v>
          </cell>
          <cell r="AA5662">
            <v>658415863337</v>
          </cell>
          <cell r="AB5662">
            <v>8188123336611</v>
          </cell>
          <cell r="AC5662">
            <v>0</v>
          </cell>
          <cell r="AD5662">
            <v>4388134777504</v>
          </cell>
          <cell r="AE5662">
            <v>71066270502239</v>
          </cell>
          <cell r="AF5662">
            <v>3126098943738</v>
          </cell>
          <cell r="AG5662">
            <v>1996675133261</v>
          </cell>
          <cell r="AH5662">
            <v>9383383113261</v>
          </cell>
          <cell r="AI5662">
            <v>487594207908</v>
          </cell>
        </row>
        <row r="5663">
          <cell r="A5663">
            <v>605010100</v>
          </cell>
          <cell r="C5663">
            <v>15206391135739</v>
          </cell>
          <cell r="D5663">
            <v>5256469010552</v>
          </cell>
          <cell r="E5663">
            <v>5552695994894</v>
          </cell>
          <cell r="F5663">
            <v>1835218642184</v>
          </cell>
          <cell r="G5663">
            <v>3976215701118</v>
          </cell>
          <cell r="H5663">
            <v>11827146339157</v>
          </cell>
          <cell r="I5663">
            <v>4724770392947</v>
          </cell>
          <cell r="J5663">
            <v>263465231417</v>
          </cell>
          <cell r="K5663">
            <v>865187032426</v>
          </cell>
          <cell r="L5663">
            <v>989024208983</v>
          </cell>
          <cell r="M5663">
            <v>194224211732</v>
          </cell>
          <cell r="N5663">
            <v>1098147453754</v>
          </cell>
          <cell r="O5663">
            <v>4055634963647</v>
          </cell>
          <cell r="P5663">
            <v>1303774751121</v>
          </cell>
          <cell r="Q5663">
            <v>1740702687423</v>
          </cell>
          <cell r="R5663">
            <v>2912186866355</v>
          </cell>
          <cell r="S5663">
            <v>55032605173</v>
          </cell>
          <cell r="T5663">
            <v>5482397443568</v>
          </cell>
          <cell r="U5663">
            <v>0</v>
          </cell>
          <cell r="V5663">
            <v>20228161411906</v>
          </cell>
          <cell r="W5663">
            <v>2309418075447</v>
          </cell>
          <cell r="X5663">
            <v>3977626798060</v>
          </cell>
          <cell r="Y5663">
            <v>512064151811</v>
          </cell>
          <cell r="Z5663">
            <v>2534808196399</v>
          </cell>
          <cell r="AA5663">
            <v>658415863337</v>
          </cell>
          <cell r="AB5663">
            <v>8188103960111</v>
          </cell>
          <cell r="AC5663">
            <v>0</v>
          </cell>
          <cell r="AD5663">
            <v>4388134777504</v>
          </cell>
          <cell r="AE5663">
            <v>71066270502239</v>
          </cell>
          <cell r="AF5663">
            <v>3126098943738</v>
          </cell>
          <cell r="AG5663">
            <v>1972976723069</v>
          </cell>
          <cell r="AH5663">
            <v>9381778280929</v>
          </cell>
          <cell r="AI5663">
            <v>487594207908</v>
          </cell>
        </row>
        <row r="5664">
          <cell r="A5664">
            <v>605010101</v>
          </cell>
          <cell r="C5664">
            <v>15206391135739</v>
          </cell>
          <cell r="D5664">
            <v>5255588075705</v>
          </cell>
          <cell r="E5664">
            <v>5552695994894</v>
          </cell>
          <cell r="F5664">
            <v>1835145815455</v>
          </cell>
          <cell r="G5664">
            <v>3976215701118</v>
          </cell>
          <cell r="H5664">
            <v>11819202151335</v>
          </cell>
          <cell r="I5664">
            <v>4724770392947</v>
          </cell>
          <cell r="J5664">
            <v>263465231417</v>
          </cell>
          <cell r="K5664">
            <v>865187032426</v>
          </cell>
          <cell r="L5664">
            <v>988927208983</v>
          </cell>
          <cell r="M5664">
            <v>188224211732</v>
          </cell>
          <cell r="N5664">
            <v>1098147453754</v>
          </cell>
          <cell r="O5664">
            <v>4040634963647</v>
          </cell>
          <cell r="P5664">
            <v>1293774751121</v>
          </cell>
          <cell r="Q5664">
            <v>1740702687423</v>
          </cell>
          <cell r="R5664">
            <v>2912186866355</v>
          </cell>
          <cell r="S5664">
            <v>55032605173</v>
          </cell>
          <cell r="T5664">
            <v>5482397443568</v>
          </cell>
          <cell r="U5664">
            <v>0</v>
          </cell>
          <cell r="V5664">
            <v>20213161411906</v>
          </cell>
          <cell r="W5664">
            <v>2309418075447</v>
          </cell>
          <cell r="X5664">
            <v>3977626798060</v>
          </cell>
          <cell r="Y5664">
            <v>512064151811</v>
          </cell>
          <cell r="Z5664">
            <v>2534808196399</v>
          </cell>
          <cell r="AA5664">
            <v>658415863337</v>
          </cell>
          <cell r="AB5664">
            <v>8182103960111</v>
          </cell>
          <cell r="AC5664">
            <v>0</v>
          </cell>
          <cell r="AD5664">
            <v>4388134777504</v>
          </cell>
          <cell r="AE5664">
            <v>71066270502239</v>
          </cell>
          <cell r="AF5664">
            <v>3126098943738</v>
          </cell>
          <cell r="AG5664">
            <v>1971840855369</v>
          </cell>
          <cell r="AH5664">
            <v>9367778280929</v>
          </cell>
          <cell r="AI5664">
            <v>487594207908</v>
          </cell>
        </row>
        <row r="5665">
          <cell r="A5665">
            <v>605010102</v>
          </cell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R5665">
            <v>0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  <cell r="AE5665">
            <v>0</v>
          </cell>
          <cell r="AF5665">
            <v>0</v>
          </cell>
          <cell r="AG5665">
            <v>0</v>
          </cell>
          <cell r="AH5665">
            <v>0</v>
          </cell>
          <cell r="AI5665">
            <v>0</v>
          </cell>
        </row>
        <row r="5666">
          <cell r="A5666">
            <v>605010103</v>
          </cell>
          <cell r="C5666">
            <v>0</v>
          </cell>
          <cell r="D5666">
            <v>755357201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R5666">
            <v>0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  <cell r="AE5666">
            <v>0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</row>
        <row r="5667">
          <cell r="A5667">
            <v>605010104</v>
          </cell>
          <cell r="C5667">
            <v>0</v>
          </cell>
          <cell r="D5667">
            <v>125577646</v>
          </cell>
          <cell r="E5667">
            <v>0</v>
          </cell>
          <cell r="F5667">
            <v>72826729</v>
          </cell>
          <cell r="G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R5667">
            <v>0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  <cell r="AE5667">
            <v>0</v>
          </cell>
          <cell r="AF5667">
            <v>0</v>
          </cell>
          <cell r="AG5667">
            <v>1135867700</v>
          </cell>
          <cell r="AH5667">
            <v>0</v>
          </cell>
          <cell r="AI5667">
            <v>0</v>
          </cell>
        </row>
        <row r="5668">
          <cell r="A5668">
            <v>605010105</v>
          </cell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  <cell r="AE5668">
            <v>0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</row>
        <row r="5669">
          <cell r="A5669">
            <v>605010106</v>
          </cell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7944187822</v>
          </cell>
          <cell r="I5669">
            <v>0</v>
          </cell>
          <cell r="J5669">
            <v>0</v>
          </cell>
          <cell r="K5669">
            <v>0</v>
          </cell>
          <cell r="L5669">
            <v>97000000</v>
          </cell>
          <cell r="M5669">
            <v>6000000000</v>
          </cell>
          <cell r="N5669">
            <v>0</v>
          </cell>
          <cell r="O5669">
            <v>15000000000</v>
          </cell>
          <cell r="P5669">
            <v>10000000000</v>
          </cell>
          <cell r="Q5669">
            <v>0</v>
          </cell>
          <cell r="R5669">
            <v>0</v>
          </cell>
          <cell r="S5669">
            <v>0</v>
          </cell>
          <cell r="T5669">
            <v>0</v>
          </cell>
          <cell r="U5669">
            <v>0</v>
          </cell>
          <cell r="V5669">
            <v>15000000000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6000000000</v>
          </cell>
          <cell r="AC5669">
            <v>0</v>
          </cell>
          <cell r="AD5669">
            <v>0</v>
          </cell>
          <cell r="AE5669">
            <v>0</v>
          </cell>
          <cell r="AF5669">
            <v>0</v>
          </cell>
          <cell r="AG5669">
            <v>0</v>
          </cell>
          <cell r="AH5669">
            <v>14000000000</v>
          </cell>
          <cell r="AI5669">
            <v>0</v>
          </cell>
        </row>
        <row r="5670">
          <cell r="A5670">
            <v>605010107</v>
          </cell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R5670">
            <v>0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  <cell r="AE5670">
            <v>0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</row>
        <row r="5671">
          <cell r="A5671">
            <v>605010200</v>
          </cell>
          <cell r="C5671">
            <v>0</v>
          </cell>
          <cell r="D5671">
            <v>0</v>
          </cell>
          <cell r="E5671">
            <v>18823932533</v>
          </cell>
          <cell r="F5671">
            <v>98222569</v>
          </cell>
          <cell r="G5671">
            <v>264593000</v>
          </cell>
          <cell r="H5671">
            <v>0</v>
          </cell>
          <cell r="I5671">
            <v>13320666066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R5671">
            <v>36385529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36462147</v>
          </cell>
          <cell r="X5671">
            <v>22300499879</v>
          </cell>
          <cell r="Y5671">
            <v>0</v>
          </cell>
          <cell r="Z5671">
            <v>0</v>
          </cell>
          <cell r="AA5671">
            <v>0</v>
          </cell>
          <cell r="AB5671">
            <v>19376500</v>
          </cell>
          <cell r="AC5671">
            <v>0</v>
          </cell>
          <cell r="AD5671">
            <v>0</v>
          </cell>
          <cell r="AE5671">
            <v>0</v>
          </cell>
          <cell r="AF5671">
            <v>0</v>
          </cell>
          <cell r="AG5671">
            <v>23698410192</v>
          </cell>
          <cell r="AH5671">
            <v>1392011283</v>
          </cell>
          <cell r="AI5671">
            <v>0</v>
          </cell>
        </row>
        <row r="5672">
          <cell r="A5672">
            <v>605010201</v>
          </cell>
          <cell r="C5672">
            <v>0</v>
          </cell>
          <cell r="D5672">
            <v>0</v>
          </cell>
          <cell r="E5672">
            <v>18823932533</v>
          </cell>
          <cell r="F5672">
            <v>98222569</v>
          </cell>
          <cell r="G5672">
            <v>264593000</v>
          </cell>
          <cell r="H5672">
            <v>0</v>
          </cell>
          <cell r="I5672">
            <v>13320666066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R5672">
            <v>36385529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36462147</v>
          </cell>
          <cell r="X5672">
            <v>22300499879</v>
          </cell>
          <cell r="Y5672">
            <v>0</v>
          </cell>
          <cell r="Z5672">
            <v>0</v>
          </cell>
          <cell r="AA5672">
            <v>0</v>
          </cell>
          <cell r="AB5672">
            <v>19376500</v>
          </cell>
          <cell r="AC5672">
            <v>0</v>
          </cell>
          <cell r="AD5672">
            <v>0</v>
          </cell>
          <cell r="AE5672">
            <v>0</v>
          </cell>
          <cell r="AF5672">
            <v>0</v>
          </cell>
          <cell r="AG5672">
            <v>23698410192</v>
          </cell>
          <cell r="AH5672">
            <v>1392011283</v>
          </cell>
          <cell r="AI5672">
            <v>0</v>
          </cell>
        </row>
        <row r="5673">
          <cell r="A5673">
            <v>605010300</v>
          </cell>
          <cell r="C5673">
            <v>0</v>
          </cell>
          <cell r="D5673">
            <v>0</v>
          </cell>
          <cell r="E5673">
            <v>0</v>
          </cell>
          <cell r="F5673">
            <v>25391652</v>
          </cell>
          <cell r="G5673">
            <v>0</v>
          </cell>
          <cell r="H5673">
            <v>0</v>
          </cell>
          <cell r="I5673">
            <v>361408984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R5673">
            <v>0</v>
          </cell>
          <cell r="S5673">
            <v>0</v>
          </cell>
          <cell r="T5673">
            <v>0</v>
          </cell>
          <cell r="U5673">
            <v>0</v>
          </cell>
          <cell r="V5673">
            <v>13497000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  <cell r="AE5673">
            <v>0</v>
          </cell>
          <cell r="AF5673">
            <v>0</v>
          </cell>
          <cell r="AG5673">
            <v>0</v>
          </cell>
          <cell r="AH5673">
            <v>212821049</v>
          </cell>
          <cell r="AI5673">
            <v>0</v>
          </cell>
        </row>
        <row r="5674">
          <cell r="A5674">
            <v>605010301</v>
          </cell>
          <cell r="C5674">
            <v>0</v>
          </cell>
          <cell r="D5674">
            <v>0</v>
          </cell>
          <cell r="E5674">
            <v>0</v>
          </cell>
          <cell r="F5674">
            <v>25391652</v>
          </cell>
          <cell r="G5674">
            <v>0</v>
          </cell>
          <cell r="H5674">
            <v>0</v>
          </cell>
          <cell r="I5674">
            <v>361408984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R5674">
            <v>0</v>
          </cell>
          <cell r="S5674">
            <v>0</v>
          </cell>
          <cell r="T5674">
            <v>0</v>
          </cell>
          <cell r="U5674">
            <v>0</v>
          </cell>
          <cell r="V5674">
            <v>13497000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  <cell r="AE5674">
            <v>0</v>
          </cell>
          <cell r="AF5674">
            <v>0</v>
          </cell>
          <cell r="AG5674">
            <v>0</v>
          </cell>
          <cell r="AH5674">
            <v>212821049</v>
          </cell>
          <cell r="AI5674">
            <v>0</v>
          </cell>
        </row>
        <row r="5675">
          <cell r="A5675">
            <v>700000000</v>
          </cell>
          <cell r="C5675">
            <v>26654282586207</v>
          </cell>
          <cell r="D5675">
            <v>9417641700248</v>
          </cell>
          <cell r="E5675">
            <v>7103551447317</v>
          </cell>
          <cell r="F5675">
            <v>3554345449156</v>
          </cell>
          <cell r="G5675">
            <v>4443260601434</v>
          </cell>
          <cell r="H5675">
            <v>16297701486121</v>
          </cell>
          <cell r="I5675">
            <v>7827943195172</v>
          </cell>
          <cell r="J5675">
            <v>441616167953</v>
          </cell>
          <cell r="K5675">
            <v>1544530471042</v>
          </cell>
          <cell r="L5675">
            <v>1718479316507</v>
          </cell>
          <cell r="M5675">
            <v>346161303524</v>
          </cell>
          <cell r="N5675">
            <v>2272525672532</v>
          </cell>
          <cell r="O5675">
            <v>7506367185401</v>
          </cell>
          <cell r="P5675">
            <v>2230448477161</v>
          </cell>
          <cell r="Q5675">
            <v>1918789557677</v>
          </cell>
          <cell r="R5675">
            <v>5531562394741</v>
          </cell>
          <cell r="S5675">
            <v>106940591225</v>
          </cell>
          <cell r="T5675">
            <v>7462435213686</v>
          </cell>
          <cell r="U5675">
            <v>2711044254</v>
          </cell>
          <cell r="V5675">
            <v>32004875107568</v>
          </cell>
          <cell r="W5675">
            <v>4379936947415</v>
          </cell>
          <cell r="X5675">
            <v>7262827674232</v>
          </cell>
          <cell r="Y5675">
            <v>857498147020</v>
          </cell>
          <cell r="Z5675">
            <v>4094576302808</v>
          </cell>
          <cell r="AA5675">
            <v>1167740016181</v>
          </cell>
          <cell r="AB5675">
            <v>13405929565090</v>
          </cell>
          <cell r="AC5675">
            <v>46738150</v>
          </cell>
          <cell r="AD5675">
            <v>7702692262057</v>
          </cell>
          <cell r="AE5675">
            <v>107264335132163</v>
          </cell>
          <cell r="AF5675">
            <v>6051887643196</v>
          </cell>
          <cell r="AG5675">
            <v>1997220371789</v>
          </cell>
          <cell r="AH5675">
            <v>10646859881865</v>
          </cell>
          <cell r="AI5675">
            <v>897296730736</v>
          </cell>
        </row>
        <row r="5676">
          <cell r="A5676">
            <v>701000000</v>
          </cell>
          <cell r="C5676">
            <v>15206391135739</v>
          </cell>
          <cell r="D5676">
            <v>5256469010552</v>
          </cell>
          <cell r="E5676">
            <v>5552695994894</v>
          </cell>
          <cell r="F5676">
            <v>1835145815455</v>
          </cell>
          <cell r="G5676">
            <v>3976215701118</v>
          </cell>
          <cell r="H5676">
            <v>11827146339157</v>
          </cell>
          <cell r="I5676">
            <v>4734770392947</v>
          </cell>
          <cell r="J5676">
            <v>263465231417</v>
          </cell>
          <cell r="K5676">
            <v>865187032426</v>
          </cell>
          <cell r="L5676">
            <v>989024208983</v>
          </cell>
          <cell r="M5676">
            <v>194224211732</v>
          </cell>
          <cell r="N5676">
            <v>1098147453754</v>
          </cell>
          <cell r="O5676">
            <v>4055634963647</v>
          </cell>
          <cell r="P5676">
            <v>1303774751121</v>
          </cell>
          <cell r="Q5676">
            <v>1740702687423</v>
          </cell>
          <cell r="R5676">
            <v>2922186866355</v>
          </cell>
          <cell r="S5676">
            <v>55032605173</v>
          </cell>
          <cell r="T5676">
            <v>5482397443568</v>
          </cell>
          <cell r="U5676">
            <v>0</v>
          </cell>
          <cell r="V5676">
            <v>20238161411906</v>
          </cell>
          <cell r="W5676">
            <v>2309418075447</v>
          </cell>
          <cell r="X5676">
            <v>3977626798060</v>
          </cell>
          <cell r="Y5676">
            <v>512064151811</v>
          </cell>
          <cell r="Z5676">
            <v>2534808196399</v>
          </cell>
          <cell r="AA5676">
            <v>658415863337</v>
          </cell>
          <cell r="AB5676">
            <v>8192103960111</v>
          </cell>
          <cell r="AC5676">
            <v>0</v>
          </cell>
          <cell r="AD5676">
            <v>4388134777504</v>
          </cell>
          <cell r="AE5676">
            <v>71066270502239</v>
          </cell>
          <cell r="AF5676">
            <v>3134098943738</v>
          </cell>
          <cell r="AG5676">
            <v>1971840855369</v>
          </cell>
          <cell r="AH5676">
            <v>9381778280929</v>
          </cell>
          <cell r="AI5676">
            <v>487594207908</v>
          </cell>
        </row>
        <row r="5677">
          <cell r="A5677">
            <v>701010000</v>
          </cell>
          <cell r="C5677">
            <v>15206391135739</v>
          </cell>
          <cell r="D5677">
            <v>5255588075705</v>
          </cell>
          <cell r="E5677">
            <v>5552695994894</v>
          </cell>
          <cell r="F5677">
            <v>1835145815455</v>
          </cell>
          <cell r="G5677">
            <v>3976215701118</v>
          </cell>
          <cell r="H5677">
            <v>11819202151335</v>
          </cell>
          <cell r="I5677">
            <v>4724770392947</v>
          </cell>
          <cell r="J5677">
            <v>263465231417</v>
          </cell>
          <cell r="K5677">
            <v>865187032426</v>
          </cell>
          <cell r="L5677">
            <v>989024208983</v>
          </cell>
          <cell r="M5677">
            <v>188224211732</v>
          </cell>
          <cell r="N5677">
            <v>1098147453754</v>
          </cell>
          <cell r="O5677">
            <v>4040634963647</v>
          </cell>
          <cell r="P5677">
            <v>1293774751121</v>
          </cell>
          <cell r="Q5677">
            <v>1740702687423</v>
          </cell>
          <cell r="R5677">
            <v>2912186866355</v>
          </cell>
          <cell r="S5677">
            <v>55032605173</v>
          </cell>
          <cell r="T5677">
            <v>5482397443568</v>
          </cell>
          <cell r="U5677">
            <v>0</v>
          </cell>
          <cell r="V5677">
            <v>20213161411906</v>
          </cell>
          <cell r="W5677">
            <v>2309418075447</v>
          </cell>
          <cell r="X5677">
            <v>3977626798060</v>
          </cell>
          <cell r="Y5677">
            <v>512064151811</v>
          </cell>
          <cell r="Z5677">
            <v>2534808196399</v>
          </cell>
          <cell r="AA5677">
            <v>658415863337</v>
          </cell>
          <cell r="AB5677">
            <v>8182103960111</v>
          </cell>
          <cell r="AC5677">
            <v>0</v>
          </cell>
          <cell r="AD5677">
            <v>4388134777504</v>
          </cell>
          <cell r="AE5677">
            <v>71066270502239</v>
          </cell>
          <cell r="AF5677">
            <v>3126098943738</v>
          </cell>
          <cell r="AG5677">
            <v>1971840855369</v>
          </cell>
          <cell r="AH5677">
            <v>9367778280929</v>
          </cell>
          <cell r="AI5677">
            <v>487594207908</v>
          </cell>
        </row>
        <row r="5678">
          <cell r="A5678">
            <v>701010100</v>
          </cell>
          <cell r="C5678">
            <v>15046072525954</v>
          </cell>
          <cell r="D5678">
            <v>5060443064102</v>
          </cell>
          <cell r="E5678">
            <v>5198098309894</v>
          </cell>
          <cell r="F5678">
            <v>1802224075223</v>
          </cell>
          <cell r="G5678">
            <v>3723276701118</v>
          </cell>
          <cell r="H5678">
            <v>11799772084609</v>
          </cell>
          <cell r="I5678">
            <v>4528761548851</v>
          </cell>
          <cell r="J5678">
            <v>263465231417</v>
          </cell>
          <cell r="K5678">
            <v>502326286305</v>
          </cell>
          <cell r="L5678">
            <v>610547675598</v>
          </cell>
          <cell r="M5678">
            <v>188224211732</v>
          </cell>
          <cell r="N5678">
            <v>767198272754</v>
          </cell>
          <cell r="O5678">
            <v>4037634963647</v>
          </cell>
          <cell r="P5678">
            <v>1293774751121</v>
          </cell>
          <cell r="Q5678">
            <v>1740702687423</v>
          </cell>
          <cell r="R5678">
            <v>2907481542004</v>
          </cell>
          <cell r="S5678">
            <v>55032605173</v>
          </cell>
          <cell r="T5678">
            <v>5180899437747</v>
          </cell>
          <cell r="U5678">
            <v>0</v>
          </cell>
          <cell r="V5678">
            <v>19325416556512</v>
          </cell>
          <cell r="W5678">
            <v>2302361278289</v>
          </cell>
          <cell r="X5678">
            <v>3832768416012</v>
          </cell>
          <cell r="Y5678">
            <v>512064151811</v>
          </cell>
          <cell r="Z5678">
            <v>1608053187198</v>
          </cell>
          <cell r="AA5678">
            <v>655534060219</v>
          </cell>
          <cell r="AB5678">
            <v>5939065114884</v>
          </cell>
          <cell r="AC5678">
            <v>0</v>
          </cell>
          <cell r="AD5678">
            <v>3553551289405</v>
          </cell>
          <cell r="AE5678">
            <v>69723842860892</v>
          </cell>
          <cell r="AF5678">
            <v>3041295115046</v>
          </cell>
          <cell r="AG5678">
            <v>1968002165522</v>
          </cell>
          <cell r="AH5678">
            <v>2148040387083</v>
          </cell>
          <cell r="AI5678">
            <v>478618576800</v>
          </cell>
        </row>
        <row r="5679">
          <cell r="A5679">
            <v>701010101</v>
          </cell>
          <cell r="C5679">
            <v>585190606123</v>
          </cell>
          <cell r="D5679">
            <v>2897396489875</v>
          </cell>
          <cell r="E5679">
            <v>3491082920559</v>
          </cell>
          <cell r="F5679">
            <v>868156239581</v>
          </cell>
          <cell r="G5679">
            <v>350888165186</v>
          </cell>
          <cell r="H5679">
            <v>1751010830230</v>
          </cell>
          <cell r="I5679">
            <v>721179954496</v>
          </cell>
          <cell r="J5679">
            <v>94444361376</v>
          </cell>
          <cell r="K5679">
            <v>166972927820</v>
          </cell>
          <cell r="L5679">
            <v>444408622343</v>
          </cell>
          <cell r="M5679">
            <v>29587803747</v>
          </cell>
          <cell r="N5679">
            <v>100541316111</v>
          </cell>
          <cell r="O5679">
            <v>2175675639161</v>
          </cell>
          <cell r="P5679">
            <v>406478065985</v>
          </cell>
          <cell r="Q5679">
            <v>1117649138317</v>
          </cell>
          <cell r="R5679">
            <v>436127877434</v>
          </cell>
          <cell r="S5679">
            <v>6272227000</v>
          </cell>
          <cell r="T5679">
            <v>2115623795787</v>
          </cell>
          <cell r="U5679">
            <v>0</v>
          </cell>
          <cell r="V5679">
            <v>3096875060783</v>
          </cell>
          <cell r="W5679">
            <v>681607091833</v>
          </cell>
          <cell r="X5679">
            <v>1310233254364</v>
          </cell>
          <cell r="Y5679">
            <v>60560219029</v>
          </cell>
          <cell r="Z5679">
            <v>322358563284</v>
          </cell>
          <cell r="AA5679">
            <v>359720972867</v>
          </cell>
          <cell r="AB5679">
            <v>1655184028858</v>
          </cell>
          <cell r="AC5679">
            <v>0</v>
          </cell>
          <cell r="AD5679">
            <v>916976069623</v>
          </cell>
          <cell r="AE5679">
            <v>15789490891300</v>
          </cell>
          <cell r="AF5679">
            <v>831255654739</v>
          </cell>
          <cell r="AG5679">
            <v>195459816630</v>
          </cell>
          <cell r="AH5679">
            <v>520901626825</v>
          </cell>
          <cell r="AI5679">
            <v>25968369000</v>
          </cell>
        </row>
        <row r="5680">
          <cell r="A5680">
            <v>701010102</v>
          </cell>
          <cell r="C5680">
            <v>135802998999</v>
          </cell>
          <cell r="D5680">
            <v>170179208150</v>
          </cell>
          <cell r="E5680">
            <v>15668299095</v>
          </cell>
          <cell r="F5680">
            <v>41756769007</v>
          </cell>
          <cell r="G5680">
            <v>10037341644</v>
          </cell>
          <cell r="H5680">
            <v>155198684271</v>
          </cell>
          <cell r="I5680">
            <v>18963917745</v>
          </cell>
          <cell r="J5680">
            <v>692437543</v>
          </cell>
          <cell r="K5680">
            <v>695000000</v>
          </cell>
          <cell r="L5680">
            <v>3354068469</v>
          </cell>
          <cell r="M5680">
            <v>1476750000</v>
          </cell>
          <cell r="N5680">
            <v>-25755192098</v>
          </cell>
          <cell r="O5680">
            <v>19379861533</v>
          </cell>
          <cell r="P5680">
            <v>35230616587</v>
          </cell>
          <cell r="Q5680">
            <v>17211656268</v>
          </cell>
          <cell r="R5680">
            <v>44674535591</v>
          </cell>
          <cell r="S5680">
            <v>265000000</v>
          </cell>
          <cell r="T5680">
            <v>259080502180</v>
          </cell>
          <cell r="U5680">
            <v>0</v>
          </cell>
          <cell r="V5680">
            <v>107504492342</v>
          </cell>
          <cell r="W5680">
            <v>6895281337</v>
          </cell>
          <cell r="X5680">
            <v>62543870247</v>
          </cell>
          <cell r="Y5680">
            <v>1497454987</v>
          </cell>
          <cell r="Z5680">
            <v>1545592130</v>
          </cell>
          <cell r="AA5680">
            <v>93008672725</v>
          </cell>
          <cell r="AB5680">
            <v>75739832371</v>
          </cell>
          <cell r="AC5680">
            <v>0</v>
          </cell>
          <cell r="AD5680">
            <v>25546464038</v>
          </cell>
          <cell r="AE5680">
            <v>1467956361828</v>
          </cell>
          <cell r="AF5680">
            <v>11490647972</v>
          </cell>
          <cell r="AG5680">
            <v>242376598907</v>
          </cell>
          <cell r="AH5680">
            <v>3553632075</v>
          </cell>
          <cell r="AI5680">
            <v>23877518320</v>
          </cell>
        </row>
        <row r="5681">
          <cell r="A5681">
            <v>701010103</v>
          </cell>
          <cell r="C5681">
            <v>36359561798</v>
          </cell>
          <cell r="D5681">
            <v>99577038000</v>
          </cell>
          <cell r="E5681">
            <v>59668911676</v>
          </cell>
          <cell r="F5681">
            <v>19415714286</v>
          </cell>
          <cell r="G5681">
            <v>9608055030</v>
          </cell>
          <cell r="H5681">
            <v>169121157626</v>
          </cell>
          <cell r="I5681">
            <v>29958928280</v>
          </cell>
          <cell r="J5681">
            <v>51904771937</v>
          </cell>
          <cell r="K5681">
            <v>607214284</v>
          </cell>
          <cell r="L5681">
            <v>50523065396</v>
          </cell>
          <cell r="M5681">
            <v>1108247286</v>
          </cell>
          <cell r="N5681">
            <v>-37068067891</v>
          </cell>
          <cell r="O5681">
            <v>49550025350</v>
          </cell>
          <cell r="P5681">
            <v>39728030000</v>
          </cell>
          <cell r="Q5681">
            <v>132052705320</v>
          </cell>
          <cell r="R5681">
            <v>198347722561</v>
          </cell>
          <cell r="S5681">
            <v>1801697250</v>
          </cell>
          <cell r="T5681">
            <v>230897623750</v>
          </cell>
          <cell r="U5681">
            <v>0</v>
          </cell>
          <cell r="V5681">
            <v>1940167626727</v>
          </cell>
          <cell r="W5681">
            <v>14729755600</v>
          </cell>
          <cell r="X5681">
            <v>66861133514</v>
          </cell>
          <cell r="Y5681">
            <v>3437214284</v>
          </cell>
          <cell r="Z5681">
            <v>31531500000</v>
          </cell>
          <cell r="AA5681">
            <v>12493000000</v>
          </cell>
          <cell r="AB5681">
            <v>702215013334</v>
          </cell>
          <cell r="AC5681">
            <v>0</v>
          </cell>
          <cell r="AD5681">
            <v>28637370000</v>
          </cell>
          <cell r="AE5681">
            <v>2590042024257</v>
          </cell>
          <cell r="AF5681">
            <v>574049101536</v>
          </cell>
          <cell r="AG5681">
            <v>31311763750</v>
          </cell>
          <cell r="AH5681">
            <v>47376140002</v>
          </cell>
          <cell r="AI5681">
            <v>21233760000</v>
          </cell>
        </row>
        <row r="5682">
          <cell r="A5682">
            <v>701010104</v>
          </cell>
          <cell r="C5682">
            <v>2253456320331</v>
          </cell>
          <cell r="D5682">
            <v>1617925361625</v>
          </cell>
          <cell r="E5682">
            <v>373034533608</v>
          </cell>
          <cell r="F5682">
            <v>470272627879</v>
          </cell>
          <cell r="G5682">
            <v>1297258436617</v>
          </cell>
          <cell r="H5682">
            <v>5326079112328</v>
          </cell>
          <cell r="I5682">
            <v>1441580758484</v>
          </cell>
          <cell r="J5682">
            <v>105072322800</v>
          </cell>
          <cell r="K5682">
            <v>319987914000</v>
          </cell>
          <cell r="L5682">
            <v>72499060318</v>
          </cell>
          <cell r="M5682">
            <v>112387079789</v>
          </cell>
          <cell r="N5682">
            <v>346515579634</v>
          </cell>
          <cell r="O5682">
            <v>776243120624</v>
          </cell>
          <cell r="P5682">
            <v>731331839120</v>
          </cell>
          <cell r="Q5682">
            <v>284132609953</v>
          </cell>
          <cell r="R5682">
            <v>349981502263</v>
          </cell>
          <cell r="S5682">
            <v>32474088001</v>
          </cell>
          <cell r="T5682">
            <v>2011657266404</v>
          </cell>
          <cell r="U5682">
            <v>0</v>
          </cell>
          <cell r="V5682">
            <v>2038351563575</v>
          </cell>
          <cell r="W5682">
            <v>1208713823511</v>
          </cell>
          <cell r="X5682">
            <v>1960760672468</v>
          </cell>
          <cell r="Y5682">
            <v>155341359876</v>
          </cell>
          <cell r="Z5682">
            <v>1039018326355</v>
          </cell>
          <cell r="AA5682">
            <v>78600691872</v>
          </cell>
          <cell r="AB5682">
            <v>2786373340029</v>
          </cell>
          <cell r="AC5682">
            <v>0</v>
          </cell>
          <cell r="AD5682">
            <v>2041346963957</v>
          </cell>
          <cell r="AE5682">
            <v>4471743069861</v>
          </cell>
          <cell r="AF5682">
            <v>1468975202284</v>
          </cell>
          <cell r="AG5682">
            <v>1334164284191</v>
          </cell>
          <cell r="AH5682">
            <v>1375298612913</v>
          </cell>
          <cell r="AI5682">
            <v>9084578564</v>
          </cell>
        </row>
        <row r="5683">
          <cell r="A5683">
            <v>701010105</v>
          </cell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G5683">
            <v>1811849004000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R5683">
            <v>0</v>
          </cell>
          <cell r="S5683">
            <v>0</v>
          </cell>
          <cell r="T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279142798900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</v>
          </cell>
          <cell r="AE5683">
            <v>0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</row>
        <row r="5684">
          <cell r="A5684">
            <v>701010106</v>
          </cell>
          <cell r="C5684">
            <v>10210823000</v>
          </cell>
          <cell r="D5684">
            <v>105369937519</v>
          </cell>
          <cell r="E5684">
            <v>56938675430</v>
          </cell>
          <cell r="F5684">
            <v>19028174056</v>
          </cell>
          <cell r="G5684">
            <v>22384917363</v>
          </cell>
          <cell r="H5684">
            <v>67601667730</v>
          </cell>
          <cell r="I5684">
            <v>43921335458</v>
          </cell>
          <cell r="J5684">
            <v>1783710643</v>
          </cell>
          <cell r="K5684">
            <v>2254864513</v>
          </cell>
          <cell r="L5684">
            <v>10508545630</v>
          </cell>
          <cell r="M5684">
            <v>14209904700</v>
          </cell>
          <cell r="N5684">
            <v>22058470297</v>
          </cell>
          <cell r="O5684">
            <v>58713816696</v>
          </cell>
          <cell r="P5684">
            <v>37118159390</v>
          </cell>
          <cell r="Q5684">
            <v>32450944172</v>
          </cell>
          <cell r="R5684">
            <v>37136085936</v>
          </cell>
          <cell r="S5684">
            <v>2477438700</v>
          </cell>
          <cell r="T5684">
            <v>102489126160</v>
          </cell>
          <cell r="U5684">
            <v>0</v>
          </cell>
          <cell r="V5684">
            <v>71388568917</v>
          </cell>
          <cell r="W5684">
            <v>55671132492</v>
          </cell>
          <cell r="X5684">
            <v>134998993016</v>
          </cell>
          <cell r="Y5684">
            <v>1721138700</v>
          </cell>
          <cell r="Z5684">
            <v>173143452853</v>
          </cell>
          <cell r="AA5684">
            <v>16691530572</v>
          </cell>
          <cell r="AB5684">
            <v>65904984780</v>
          </cell>
          <cell r="AC5684">
            <v>0</v>
          </cell>
          <cell r="AD5684">
            <v>56334611843</v>
          </cell>
          <cell r="AE5684">
            <v>28686525223793</v>
          </cell>
          <cell r="AF5684">
            <v>85387170051</v>
          </cell>
          <cell r="AG5684">
            <v>20271571000</v>
          </cell>
          <cell r="AH5684">
            <v>59376517004</v>
          </cell>
          <cell r="AI5684">
            <v>104838700</v>
          </cell>
        </row>
        <row r="5685">
          <cell r="A5685">
            <v>701010107</v>
          </cell>
          <cell r="C5685">
            <v>274420003</v>
          </cell>
          <cell r="D5685">
            <v>4670742400</v>
          </cell>
          <cell r="E5685">
            <v>0</v>
          </cell>
          <cell r="F5685">
            <v>2062573030</v>
          </cell>
          <cell r="G5685">
            <v>648150521</v>
          </cell>
          <cell r="H5685">
            <v>4951677645</v>
          </cell>
          <cell r="I5685">
            <v>2181114632</v>
          </cell>
          <cell r="J5685">
            <v>20330287</v>
          </cell>
          <cell r="K5685">
            <v>449250000</v>
          </cell>
          <cell r="L5685">
            <v>160166150</v>
          </cell>
          <cell r="M5685">
            <v>20000000</v>
          </cell>
          <cell r="N5685">
            <v>560720152</v>
          </cell>
          <cell r="O5685">
            <v>1816922500</v>
          </cell>
          <cell r="P5685">
            <v>546000000</v>
          </cell>
          <cell r="Q5685">
            <v>807084080</v>
          </cell>
          <cell r="R5685">
            <v>640910000</v>
          </cell>
          <cell r="S5685">
            <v>67800000</v>
          </cell>
          <cell r="T5685">
            <v>393584608</v>
          </cell>
          <cell r="U5685">
            <v>0</v>
          </cell>
          <cell r="V5685">
            <v>1454357900</v>
          </cell>
          <cell r="W5685">
            <v>281300000</v>
          </cell>
          <cell r="X5685">
            <v>4131550501</v>
          </cell>
          <cell r="Y5685">
            <v>0</v>
          </cell>
          <cell r="Z5685">
            <v>1940968506</v>
          </cell>
          <cell r="AA5685">
            <v>394187797</v>
          </cell>
          <cell r="AB5685">
            <v>4179429181</v>
          </cell>
          <cell r="AC5685">
            <v>0</v>
          </cell>
          <cell r="AD5685">
            <v>1266678000</v>
          </cell>
          <cell r="AE5685">
            <v>9274387679</v>
          </cell>
          <cell r="AF5685">
            <v>737684661</v>
          </cell>
          <cell r="AG5685">
            <v>1001370000</v>
          </cell>
          <cell r="AH5685">
            <v>2120621801</v>
          </cell>
          <cell r="AI5685">
            <v>0</v>
          </cell>
        </row>
        <row r="5686">
          <cell r="A5686">
            <v>701010108</v>
          </cell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25879525529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R5686">
            <v>0</v>
          </cell>
          <cell r="S5686">
            <v>0</v>
          </cell>
          <cell r="T5686">
            <v>-651892870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  <cell r="AE5686">
            <v>17978690647</v>
          </cell>
          <cell r="AF5686">
            <v>15789261</v>
          </cell>
          <cell r="AG5686">
            <v>0</v>
          </cell>
          <cell r="AH5686">
            <v>0</v>
          </cell>
          <cell r="AI5686">
            <v>152613571840</v>
          </cell>
        </row>
        <row r="5687">
          <cell r="A5687">
            <v>701010109</v>
          </cell>
          <cell r="C5687">
            <v>67054686000</v>
          </cell>
          <cell r="D5687">
            <v>13791554000</v>
          </cell>
          <cell r="E5687">
            <v>38586401738</v>
          </cell>
          <cell r="F5687">
            <v>6087999974</v>
          </cell>
          <cell r="G5687">
            <v>35815000000</v>
          </cell>
          <cell r="H5687">
            <v>3240553212015</v>
          </cell>
          <cell r="I5687">
            <v>2219419574960</v>
          </cell>
          <cell r="J5687">
            <v>6150660716</v>
          </cell>
          <cell r="K5687">
            <v>9033769974</v>
          </cell>
          <cell r="L5687">
            <v>5579462440</v>
          </cell>
          <cell r="M5687">
            <v>179999974</v>
          </cell>
          <cell r="N5687">
            <v>306486484796</v>
          </cell>
          <cell r="O5687">
            <v>333201132264</v>
          </cell>
          <cell r="P5687">
            <v>16535000000</v>
          </cell>
          <cell r="Q5687">
            <v>4663000000</v>
          </cell>
          <cell r="R5687">
            <v>11066814728</v>
          </cell>
          <cell r="S5687">
            <v>30000000</v>
          </cell>
          <cell r="T5687">
            <v>133567827630</v>
          </cell>
          <cell r="U5687">
            <v>0</v>
          </cell>
          <cell r="V5687">
            <v>3486096538251</v>
          </cell>
          <cell r="W5687">
            <v>308308128712</v>
          </cell>
          <cell r="X5687">
            <v>91515816407</v>
          </cell>
          <cell r="Y5687">
            <v>685999974</v>
          </cell>
          <cell r="Z5687">
            <v>1132300002</v>
          </cell>
          <cell r="AA5687">
            <v>69609423534</v>
          </cell>
          <cell r="AB5687">
            <v>333893184243</v>
          </cell>
          <cell r="AC5687">
            <v>0</v>
          </cell>
          <cell r="AD5687">
            <v>246400989654</v>
          </cell>
          <cell r="AE5687">
            <v>2064390601548</v>
          </cell>
          <cell r="AF5687">
            <v>30372920000</v>
          </cell>
          <cell r="AG5687">
            <v>33484125700</v>
          </cell>
          <cell r="AH5687">
            <v>95785566000</v>
          </cell>
          <cell r="AI5687">
            <v>138749221550</v>
          </cell>
        </row>
        <row r="5688">
          <cell r="A5688">
            <v>701010110</v>
          </cell>
          <cell r="C5688">
            <v>10923306831151</v>
          </cell>
          <cell r="D5688">
            <v>26310741023</v>
          </cell>
          <cell r="E5688">
            <v>54420705872</v>
          </cell>
          <cell r="F5688">
            <v>3609160000</v>
          </cell>
          <cell r="G5688">
            <v>13707140000</v>
          </cell>
          <cell r="H5688">
            <v>66922198979</v>
          </cell>
          <cell r="I5688">
            <v>26939200000</v>
          </cell>
          <cell r="J5688">
            <v>1137139555</v>
          </cell>
          <cell r="K5688">
            <v>450000000</v>
          </cell>
          <cell r="L5688">
            <v>1288000000</v>
          </cell>
          <cell r="M5688">
            <v>500503000</v>
          </cell>
          <cell r="N5688">
            <v>2946522967</v>
          </cell>
          <cell r="O5688">
            <v>30312643900</v>
          </cell>
          <cell r="P5688">
            <v>3981000000</v>
          </cell>
          <cell r="Q5688">
            <v>18318840000</v>
          </cell>
          <cell r="R5688">
            <v>26586128676</v>
          </cell>
          <cell r="S5688">
            <v>1729950000</v>
          </cell>
          <cell r="T5688">
            <v>87700255130</v>
          </cell>
          <cell r="U5688">
            <v>0</v>
          </cell>
          <cell r="V5688">
            <v>8415393567758</v>
          </cell>
          <cell r="W5688">
            <v>6361375000</v>
          </cell>
          <cell r="X5688">
            <v>30213307632</v>
          </cell>
          <cell r="Y5688">
            <v>1090000000</v>
          </cell>
          <cell r="Z5688">
            <v>19762250000</v>
          </cell>
          <cell r="AA5688">
            <v>11622000000</v>
          </cell>
          <cell r="AB5688">
            <v>39362206667</v>
          </cell>
          <cell r="AC5688">
            <v>0</v>
          </cell>
          <cell r="AD5688">
            <v>10626650000</v>
          </cell>
          <cell r="AE5688">
            <v>14269545387458</v>
          </cell>
          <cell r="AF5688">
            <v>8796620000</v>
          </cell>
          <cell r="AG5688">
            <v>9950800000</v>
          </cell>
          <cell r="AH5688">
            <v>2575624477</v>
          </cell>
          <cell r="AI5688">
            <v>3290200000</v>
          </cell>
        </row>
        <row r="5689">
          <cell r="A5689">
            <v>701010111</v>
          </cell>
          <cell r="C5689">
            <v>2452200000</v>
          </cell>
          <cell r="D5689">
            <v>44868394000</v>
          </cell>
          <cell r="E5689">
            <v>238200000</v>
          </cell>
          <cell r="F5689">
            <v>0</v>
          </cell>
          <cell r="G5689">
            <v>24829000000</v>
          </cell>
          <cell r="H5689">
            <v>29640020000</v>
          </cell>
          <cell r="I5689">
            <v>366450000</v>
          </cell>
          <cell r="J5689">
            <v>1608517810</v>
          </cell>
          <cell r="K5689">
            <v>0</v>
          </cell>
          <cell r="L5689">
            <v>1469834000</v>
          </cell>
          <cell r="M5689">
            <v>0</v>
          </cell>
          <cell r="N5689">
            <v>-429936500</v>
          </cell>
          <cell r="O5689">
            <v>780000000</v>
          </cell>
          <cell r="P5689">
            <v>6467502500</v>
          </cell>
          <cell r="Q5689">
            <v>2427720000</v>
          </cell>
          <cell r="R5689">
            <v>3594900000</v>
          </cell>
          <cell r="S5689">
            <v>0</v>
          </cell>
          <cell r="T5689">
            <v>7737750000</v>
          </cell>
          <cell r="U5689">
            <v>0</v>
          </cell>
          <cell r="V5689">
            <v>2704060004</v>
          </cell>
          <cell r="W5689">
            <v>2251600002</v>
          </cell>
          <cell r="X5689">
            <v>10895852964</v>
          </cell>
          <cell r="Y5689">
            <v>0</v>
          </cell>
          <cell r="Z5689">
            <v>1400799999</v>
          </cell>
          <cell r="AA5689">
            <v>0</v>
          </cell>
          <cell r="AB5689">
            <v>14639520002</v>
          </cell>
          <cell r="AC5689">
            <v>0</v>
          </cell>
          <cell r="AD5689">
            <v>0</v>
          </cell>
          <cell r="AE5689">
            <v>49833368000</v>
          </cell>
          <cell r="AF5689">
            <v>0</v>
          </cell>
          <cell r="AG5689">
            <v>1198800000</v>
          </cell>
          <cell r="AH5689">
            <v>0</v>
          </cell>
          <cell r="AI5689">
            <v>3567000000</v>
          </cell>
        </row>
        <row r="5690">
          <cell r="A5690">
            <v>701010112</v>
          </cell>
          <cell r="C5690">
            <v>478275718435</v>
          </cell>
          <cell r="D5690">
            <v>28301782194</v>
          </cell>
          <cell r="E5690">
            <v>44050596851</v>
          </cell>
          <cell r="F5690">
            <v>316107776234</v>
          </cell>
          <cell r="G5690">
            <v>108130776030</v>
          </cell>
          <cell r="H5690">
            <v>370947107251</v>
          </cell>
          <cell r="I5690">
            <v>18634798449</v>
          </cell>
          <cell r="J5690">
            <v>21677754</v>
          </cell>
          <cell r="K5690">
            <v>1618000000</v>
          </cell>
          <cell r="L5690">
            <v>1011911080</v>
          </cell>
          <cell r="M5690">
            <v>201413000</v>
          </cell>
          <cell r="N5690">
            <v>26547766472</v>
          </cell>
          <cell r="O5690">
            <v>469094854279</v>
          </cell>
          <cell r="P5690">
            <v>7227708688</v>
          </cell>
          <cell r="Q5690">
            <v>45946272292</v>
          </cell>
          <cell r="R5690">
            <v>1566004090073</v>
          </cell>
          <cell r="S5690">
            <v>844000000</v>
          </cell>
          <cell r="T5690">
            <v>149999852807</v>
          </cell>
          <cell r="U5690">
            <v>0</v>
          </cell>
          <cell r="V5690">
            <v>132180149856</v>
          </cell>
          <cell r="W5690">
            <v>6880978650</v>
          </cell>
          <cell r="X5690">
            <v>86186707148</v>
          </cell>
          <cell r="Y5690">
            <v>150000000</v>
          </cell>
          <cell r="Z5690">
            <v>14179432901</v>
          </cell>
          <cell r="AA5690">
            <v>718278689</v>
          </cell>
          <cell r="AB5690">
            <v>164468697469</v>
          </cell>
          <cell r="AC5690">
            <v>0</v>
          </cell>
          <cell r="AD5690">
            <v>192091752257</v>
          </cell>
          <cell r="AE5690">
            <v>255740973128</v>
          </cell>
          <cell r="AF5690">
            <v>14807555349</v>
          </cell>
          <cell r="AG5690">
            <v>1541900000</v>
          </cell>
          <cell r="AH5690">
            <v>27407831114</v>
          </cell>
          <cell r="AI5690">
            <v>78326944480</v>
          </cell>
        </row>
        <row r="5691">
          <cell r="A5691">
            <v>701010113</v>
          </cell>
          <cell r="C5691">
            <v>553688360114</v>
          </cell>
          <cell r="D5691">
            <v>52051815316</v>
          </cell>
          <cell r="E5691">
            <v>1064409065065</v>
          </cell>
          <cell r="F5691">
            <v>55727041176</v>
          </cell>
          <cell r="G5691">
            <v>38120714727</v>
          </cell>
          <cell r="H5691">
            <v>617746416534</v>
          </cell>
          <cell r="I5691">
            <v>5615516347</v>
          </cell>
          <cell r="J5691">
            <v>629300996</v>
          </cell>
          <cell r="K5691">
            <v>257345714</v>
          </cell>
          <cell r="L5691">
            <v>19744939772</v>
          </cell>
          <cell r="M5691">
            <v>2672984707</v>
          </cell>
          <cell r="N5691">
            <v>24794608814</v>
          </cell>
          <cell r="O5691">
            <v>122866947340</v>
          </cell>
          <cell r="P5691">
            <v>9130828851</v>
          </cell>
          <cell r="Q5691">
            <v>85042717021</v>
          </cell>
          <cell r="R5691">
            <v>233320974742</v>
          </cell>
          <cell r="S5691">
            <v>9070404222</v>
          </cell>
          <cell r="T5691">
            <v>82403746161</v>
          </cell>
          <cell r="U5691">
            <v>0</v>
          </cell>
          <cell r="V5691">
            <v>33300570399</v>
          </cell>
          <cell r="W5691">
            <v>10660811152</v>
          </cell>
          <cell r="X5691">
            <v>74427257751</v>
          </cell>
          <cell r="Y5691">
            <v>8437966061</v>
          </cell>
          <cell r="Z5691">
            <v>2040001168</v>
          </cell>
          <cell r="AA5691">
            <v>12675302163</v>
          </cell>
          <cell r="AB5691">
            <v>97104877950</v>
          </cell>
          <cell r="AC5691">
            <v>0</v>
          </cell>
          <cell r="AD5691">
            <v>34323740033</v>
          </cell>
          <cell r="AE5691">
            <v>51321881393</v>
          </cell>
          <cell r="AF5691">
            <v>15406769193</v>
          </cell>
          <cell r="AG5691">
            <v>97241135344</v>
          </cell>
          <cell r="AH5691">
            <v>13644214872</v>
          </cell>
          <cell r="AI5691">
            <v>21802574346</v>
          </cell>
        </row>
        <row r="5692">
          <cell r="A5692">
            <v>701010200</v>
          </cell>
          <cell r="C5692">
            <v>160318609785</v>
          </cell>
          <cell r="D5692">
            <v>195145011603</v>
          </cell>
          <cell r="E5692">
            <v>354597685000</v>
          </cell>
          <cell r="F5692">
            <v>32921740232</v>
          </cell>
          <cell r="G5692">
            <v>252939000000</v>
          </cell>
          <cell r="H5692">
            <v>19430066726</v>
          </cell>
          <cell r="I5692">
            <v>196008844096</v>
          </cell>
          <cell r="J5692">
            <v>0</v>
          </cell>
          <cell r="K5692">
            <v>362860746121</v>
          </cell>
          <cell r="L5692">
            <v>378476533385</v>
          </cell>
          <cell r="M5692">
            <v>0</v>
          </cell>
          <cell r="N5692">
            <v>330949181000</v>
          </cell>
          <cell r="O5692">
            <v>3000000000</v>
          </cell>
          <cell r="P5692">
            <v>0</v>
          </cell>
          <cell r="Q5692">
            <v>0</v>
          </cell>
          <cell r="R5692">
            <v>4705324351</v>
          </cell>
          <cell r="S5692">
            <v>0</v>
          </cell>
          <cell r="T5692">
            <v>301498005821</v>
          </cell>
          <cell r="U5692">
            <v>0</v>
          </cell>
          <cell r="V5692">
            <v>887744855394</v>
          </cell>
          <cell r="W5692">
            <v>7056797158</v>
          </cell>
          <cell r="X5692">
            <v>144858382048</v>
          </cell>
          <cell r="Y5692">
            <v>0</v>
          </cell>
          <cell r="Z5692">
            <v>926755009201</v>
          </cell>
          <cell r="AA5692">
            <v>2881803118</v>
          </cell>
          <cell r="AB5692">
            <v>2243038845227</v>
          </cell>
          <cell r="AC5692">
            <v>0</v>
          </cell>
          <cell r="AD5692">
            <v>834583488099</v>
          </cell>
          <cell r="AE5692">
            <v>1342427641347</v>
          </cell>
          <cell r="AF5692">
            <v>84803828692</v>
          </cell>
          <cell r="AG5692">
            <v>3838689847</v>
          </cell>
          <cell r="AH5692">
            <v>7219737893846</v>
          </cell>
          <cell r="AI5692">
            <v>8975631108</v>
          </cell>
        </row>
        <row r="5693">
          <cell r="A5693">
            <v>701010201</v>
          </cell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R5693">
            <v>0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  <cell r="AE5693">
            <v>0</v>
          </cell>
          <cell r="AF5693">
            <v>0</v>
          </cell>
          <cell r="AG5693">
            <v>3838689847</v>
          </cell>
          <cell r="AH5693">
            <v>0</v>
          </cell>
          <cell r="AI5693">
            <v>0</v>
          </cell>
        </row>
        <row r="5694">
          <cell r="A5694">
            <v>701010202</v>
          </cell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R5694">
            <v>0</v>
          </cell>
          <cell r="S5694">
            <v>0</v>
          </cell>
          <cell r="T5694">
            <v>-13259443715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</row>
        <row r="5695">
          <cell r="A5695">
            <v>701010203</v>
          </cell>
          <cell r="C5695">
            <v>160318609785</v>
          </cell>
          <cell r="D5695">
            <v>195145011603</v>
          </cell>
          <cell r="E5695">
            <v>354597685000</v>
          </cell>
          <cell r="F5695">
            <v>32921740232</v>
          </cell>
          <cell r="G5695">
            <v>252939000000</v>
          </cell>
          <cell r="H5695">
            <v>19430066726</v>
          </cell>
          <cell r="I5695">
            <v>196008844096</v>
          </cell>
          <cell r="J5695">
            <v>0</v>
          </cell>
          <cell r="K5695">
            <v>312964728534</v>
          </cell>
          <cell r="L5695">
            <v>378476533385</v>
          </cell>
          <cell r="M5695">
            <v>0</v>
          </cell>
          <cell r="N5695">
            <v>330949181000</v>
          </cell>
          <cell r="O5695">
            <v>3000000000</v>
          </cell>
          <cell r="P5695">
            <v>0</v>
          </cell>
          <cell r="Q5695">
            <v>0</v>
          </cell>
          <cell r="R5695">
            <v>4705324351</v>
          </cell>
          <cell r="S5695">
            <v>0</v>
          </cell>
          <cell r="T5695">
            <v>316078784536</v>
          </cell>
          <cell r="U5695">
            <v>0</v>
          </cell>
          <cell r="V5695">
            <v>887744855394</v>
          </cell>
          <cell r="W5695">
            <v>7056797158</v>
          </cell>
          <cell r="X5695">
            <v>144858382048</v>
          </cell>
          <cell r="Y5695">
            <v>0</v>
          </cell>
          <cell r="Z5695">
            <v>926755009201</v>
          </cell>
          <cell r="AA5695">
            <v>2881803118</v>
          </cell>
          <cell r="AB5695">
            <v>2243038845227</v>
          </cell>
          <cell r="AC5695">
            <v>0</v>
          </cell>
          <cell r="AD5695">
            <v>834583488099</v>
          </cell>
          <cell r="AE5695">
            <v>1342427641347</v>
          </cell>
          <cell r="AF5695">
            <v>84803828692</v>
          </cell>
          <cell r="AG5695">
            <v>0</v>
          </cell>
          <cell r="AH5695">
            <v>7219737893846</v>
          </cell>
          <cell r="AI5695">
            <v>8975631108</v>
          </cell>
        </row>
        <row r="5696">
          <cell r="A5696">
            <v>701010204</v>
          </cell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R5696">
            <v>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  <cell r="AE5696">
            <v>0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</row>
        <row r="5697">
          <cell r="A5697">
            <v>701010205</v>
          </cell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R5697">
            <v>0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  <cell r="AE5697">
            <v>0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</row>
        <row r="5698">
          <cell r="A5698">
            <v>701010206</v>
          </cell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49896017587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R5698">
            <v>0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  <cell r="AE5698">
            <v>0</v>
          </cell>
          <cell r="AF5698">
            <v>0</v>
          </cell>
          <cell r="AG5698">
            <v>0</v>
          </cell>
          <cell r="AH5698">
            <v>0</v>
          </cell>
          <cell r="AI5698">
            <v>0</v>
          </cell>
        </row>
        <row r="5699">
          <cell r="A5699">
            <v>701010207</v>
          </cell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  <cell r="AE5699">
            <v>0</v>
          </cell>
          <cell r="AF5699">
            <v>0</v>
          </cell>
          <cell r="AG5699">
            <v>0</v>
          </cell>
          <cell r="AH5699">
            <v>0</v>
          </cell>
          <cell r="AI5699">
            <v>0</v>
          </cell>
        </row>
        <row r="5700">
          <cell r="A5700">
            <v>701010208</v>
          </cell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R5700">
            <v>0</v>
          </cell>
          <cell r="S5700">
            <v>0</v>
          </cell>
          <cell r="T5700">
            <v>-1321335000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  <cell r="AE5700">
            <v>0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</row>
        <row r="5701">
          <cell r="A5701">
            <v>701010209</v>
          </cell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R5701">
            <v>0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  <cell r="AE5701">
            <v>0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</row>
        <row r="5702">
          <cell r="A5702">
            <v>701020000</v>
          </cell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0</v>
          </cell>
          <cell r="AE5702">
            <v>0</v>
          </cell>
          <cell r="AF5702">
            <v>0</v>
          </cell>
          <cell r="AG5702">
            <v>0</v>
          </cell>
          <cell r="AH5702">
            <v>0</v>
          </cell>
          <cell r="AI5702">
            <v>0</v>
          </cell>
        </row>
        <row r="5703">
          <cell r="A5703">
            <v>701020100</v>
          </cell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R5703">
            <v>0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  <cell r="AE5703">
            <v>0</v>
          </cell>
          <cell r="AF5703">
            <v>0</v>
          </cell>
          <cell r="AG5703">
            <v>0</v>
          </cell>
          <cell r="AH5703">
            <v>0</v>
          </cell>
          <cell r="AI5703">
            <v>0</v>
          </cell>
        </row>
        <row r="5704">
          <cell r="A5704">
            <v>701020101</v>
          </cell>
          <cell r="C5704">
            <v>0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R5704">
            <v>0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  <cell r="AE5704">
            <v>0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</row>
        <row r="5705">
          <cell r="A5705">
            <v>701020102</v>
          </cell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R5705">
            <v>0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  <cell r="AE5705">
            <v>0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</row>
        <row r="5706">
          <cell r="A5706">
            <v>701020103</v>
          </cell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R5706">
            <v>0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  <cell r="AE5706">
            <v>0</v>
          </cell>
          <cell r="AF5706">
            <v>0</v>
          </cell>
          <cell r="AG5706">
            <v>0</v>
          </cell>
          <cell r="AH5706">
            <v>0</v>
          </cell>
          <cell r="AI5706">
            <v>0</v>
          </cell>
        </row>
        <row r="5707">
          <cell r="A5707">
            <v>701020104</v>
          </cell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G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R5707">
            <v>0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  <cell r="AE5707">
            <v>0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</row>
        <row r="5708">
          <cell r="A5708">
            <v>701020105</v>
          </cell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  <cell r="AE5708">
            <v>0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</row>
        <row r="5709">
          <cell r="A5709">
            <v>701020106</v>
          </cell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R5709">
            <v>0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0</v>
          </cell>
          <cell r="AE5709">
            <v>0</v>
          </cell>
          <cell r="AF5709">
            <v>0</v>
          </cell>
          <cell r="AG5709">
            <v>0</v>
          </cell>
          <cell r="AH5709">
            <v>0</v>
          </cell>
          <cell r="AI5709">
            <v>0</v>
          </cell>
        </row>
        <row r="5710">
          <cell r="A5710">
            <v>701020107</v>
          </cell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R5710">
            <v>0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  <cell r="AE5710">
            <v>0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</row>
        <row r="5711">
          <cell r="A5711">
            <v>701020108</v>
          </cell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R5711">
            <v>0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  <cell r="AE5711">
            <v>0</v>
          </cell>
          <cell r="AF5711">
            <v>0</v>
          </cell>
          <cell r="AG5711">
            <v>0</v>
          </cell>
          <cell r="AH5711">
            <v>0</v>
          </cell>
          <cell r="AI5711">
            <v>0</v>
          </cell>
        </row>
        <row r="5712">
          <cell r="A5712">
            <v>701020109</v>
          </cell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R5712">
            <v>0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  <cell r="AE5712">
            <v>0</v>
          </cell>
          <cell r="AF5712">
            <v>0</v>
          </cell>
          <cell r="AG5712">
            <v>0</v>
          </cell>
          <cell r="AH5712">
            <v>0</v>
          </cell>
          <cell r="AI5712">
            <v>0</v>
          </cell>
        </row>
        <row r="5713">
          <cell r="A5713">
            <v>701020110</v>
          </cell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R5713">
            <v>0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0</v>
          </cell>
          <cell r="AE5713">
            <v>0</v>
          </cell>
          <cell r="AF5713">
            <v>0</v>
          </cell>
          <cell r="AG5713">
            <v>0</v>
          </cell>
          <cell r="AH5713">
            <v>0</v>
          </cell>
          <cell r="AI5713">
            <v>0</v>
          </cell>
        </row>
        <row r="5714">
          <cell r="A5714">
            <v>701020111</v>
          </cell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R5714">
            <v>0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  <cell r="AE5714">
            <v>0</v>
          </cell>
          <cell r="AF5714">
            <v>0</v>
          </cell>
          <cell r="AG5714">
            <v>0</v>
          </cell>
          <cell r="AH5714">
            <v>0</v>
          </cell>
          <cell r="AI5714">
            <v>0</v>
          </cell>
        </row>
        <row r="5715">
          <cell r="A5715">
            <v>701020112</v>
          </cell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R5715">
            <v>0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  <cell r="AE5715">
            <v>0</v>
          </cell>
          <cell r="AF5715">
            <v>0</v>
          </cell>
          <cell r="AG5715">
            <v>0</v>
          </cell>
          <cell r="AH5715">
            <v>0</v>
          </cell>
          <cell r="AI5715">
            <v>0</v>
          </cell>
        </row>
        <row r="5716">
          <cell r="A5716">
            <v>701020113</v>
          </cell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R5716">
            <v>0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  <cell r="AE5716">
            <v>0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</row>
        <row r="5717">
          <cell r="A5717">
            <v>701020120</v>
          </cell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R5717">
            <v>0</v>
          </cell>
          <cell r="S5717">
            <v>0</v>
          </cell>
          <cell r="T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  <cell r="AE5717">
            <v>0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</row>
        <row r="5718">
          <cell r="A5718">
            <v>701020200</v>
          </cell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R5718">
            <v>0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  <cell r="AE5718">
            <v>0</v>
          </cell>
          <cell r="AF5718">
            <v>0</v>
          </cell>
          <cell r="AG5718">
            <v>0</v>
          </cell>
          <cell r="AH5718">
            <v>0</v>
          </cell>
          <cell r="AI5718">
            <v>0</v>
          </cell>
        </row>
        <row r="5719">
          <cell r="A5719">
            <v>701020201</v>
          </cell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0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0</v>
          </cell>
          <cell r="AE5719">
            <v>0</v>
          </cell>
          <cell r="AF5719">
            <v>0</v>
          </cell>
          <cell r="AG5719">
            <v>0</v>
          </cell>
          <cell r="AH5719">
            <v>0</v>
          </cell>
          <cell r="AI5719">
            <v>0</v>
          </cell>
        </row>
        <row r="5720">
          <cell r="A5720">
            <v>701020202</v>
          </cell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R5720">
            <v>0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  <cell r="AE5720">
            <v>0</v>
          </cell>
          <cell r="AF5720">
            <v>0</v>
          </cell>
          <cell r="AG5720">
            <v>0</v>
          </cell>
          <cell r="AH5720">
            <v>0</v>
          </cell>
          <cell r="AI5720">
            <v>0</v>
          </cell>
        </row>
        <row r="5721">
          <cell r="A5721">
            <v>701020203</v>
          </cell>
          <cell r="C5721">
            <v>0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R5721">
            <v>0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  <cell r="AE5721">
            <v>0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</row>
        <row r="5722">
          <cell r="A5722">
            <v>701020204</v>
          </cell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  <cell r="AE5722">
            <v>0</v>
          </cell>
          <cell r="AF5722">
            <v>0</v>
          </cell>
          <cell r="AG5722">
            <v>0</v>
          </cell>
          <cell r="AH5722">
            <v>0</v>
          </cell>
          <cell r="AI5722">
            <v>0</v>
          </cell>
        </row>
        <row r="5723">
          <cell r="A5723">
            <v>701020205</v>
          </cell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R5723">
            <v>0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  <cell r="AE5723">
            <v>0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</row>
        <row r="5724">
          <cell r="A5724">
            <v>701020206</v>
          </cell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R5724">
            <v>0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  <cell r="AE5724">
            <v>0</v>
          </cell>
          <cell r="AF5724">
            <v>0</v>
          </cell>
          <cell r="AG5724">
            <v>0</v>
          </cell>
          <cell r="AH5724">
            <v>0</v>
          </cell>
          <cell r="AI5724">
            <v>0</v>
          </cell>
        </row>
        <row r="5725">
          <cell r="A5725">
            <v>701020207</v>
          </cell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R5725">
            <v>0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0</v>
          </cell>
          <cell r="AC5725">
            <v>0</v>
          </cell>
          <cell r="AD5725">
            <v>0</v>
          </cell>
          <cell r="AE5725">
            <v>0</v>
          </cell>
          <cell r="AF5725">
            <v>0</v>
          </cell>
          <cell r="AG5725">
            <v>0</v>
          </cell>
          <cell r="AH5725">
            <v>0</v>
          </cell>
          <cell r="AI5725">
            <v>0</v>
          </cell>
        </row>
        <row r="5726">
          <cell r="A5726">
            <v>701020208</v>
          </cell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R5726">
            <v>0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0</v>
          </cell>
          <cell r="AE5726">
            <v>0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</row>
        <row r="5727">
          <cell r="A5727">
            <v>701020209</v>
          </cell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G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R5727">
            <v>0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0</v>
          </cell>
          <cell r="AC5727">
            <v>0</v>
          </cell>
          <cell r="AD5727">
            <v>0</v>
          </cell>
          <cell r="AE5727">
            <v>0</v>
          </cell>
          <cell r="AF5727">
            <v>0</v>
          </cell>
          <cell r="AG5727">
            <v>0</v>
          </cell>
          <cell r="AH5727">
            <v>0</v>
          </cell>
          <cell r="AI5727">
            <v>0</v>
          </cell>
        </row>
        <row r="5728">
          <cell r="A5728">
            <v>701030000</v>
          </cell>
          <cell r="C5728">
            <v>0</v>
          </cell>
          <cell r="D5728">
            <v>755357201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  <cell r="T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  <cell r="AE5728">
            <v>0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</row>
        <row r="5729">
          <cell r="A5729">
            <v>701030100</v>
          </cell>
          <cell r="C5729">
            <v>0</v>
          </cell>
          <cell r="D5729">
            <v>753917201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R5729">
            <v>0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  <cell r="AE5729">
            <v>0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</row>
        <row r="5730">
          <cell r="A5730">
            <v>701030101</v>
          </cell>
          <cell r="C5730">
            <v>0</v>
          </cell>
          <cell r="D5730">
            <v>1880000</v>
          </cell>
          <cell r="E5730">
            <v>0</v>
          </cell>
          <cell r="F5730">
            <v>0</v>
          </cell>
          <cell r="G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R5730">
            <v>0</v>
          </cell>
          <cell r="S5730">
            <v>0</v>
          </cell>
          <cell r="T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  <cell r="AE5730">
            <v>0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</row>
        <row r="5731">
          <cell r="A5731">
            <v>701030102</v>
          </cell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R5731">
            <v>0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  <cell r="AE5731">
            <v>0</v>
          </cell>
          <cell r="AF5731">
            <v>0</v>
          </cell>
          <cell r="AG5731">
            <v>0</v>
          </cell>
          <cell r="AH5731">
            <v>0</v>
          </cell>
          <cell r="AI5731">
            <v>0</v>
          </cell>
        </row>
        <row r="5732">
          <cell r="A5732">
            <v>701030103</v>
          </cell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R5732">
            <v>0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  <cell r="AE5732">
            <v>0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</row>
        <row r="5733">
          <cell r="A5733">
            <v>701030104</v>
          </cell>
          <cell r="C5733">
            <v>0</v>
          </cell>
          <cell r="D5733">
            <v>153288993</v>
          </cell>
          <cell r="E5733">
            <v>0</v>
          </cell>
          <cell r="F5733">
            <v>0</v>
          </cell>
          <cell r="G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R5733">
            <v>0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</v>
          </cell>
          <cell r="AE5733">
            <v>0</v>
          </cell>
          <cell r="AF5733">
            <v>0</v>
          </cell>
          <cell r="AG5733">
            <v>0</v>
          </cell>
          <cell r="AH5733">
            <v>0</v>
          </cell>
          <cell r="AI5733">
            <v>0</v>
          </cell>
        </row>
        <row r="5734">
          <cell r="A5734">
            <v>701030105</v>
          </cell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R5734">
            <v>0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  <cell r="AE5734">
            <v>0</v>
          </cell>
          <cell r="AF5734">
            <v>0</v>
          </cell>
          <cell r="AG5734">
            <v>0</v>
          </cell>
          <cell r="AH5734">
            <v>0</v>
          </cell>
          <cell r="AI5734">
            <v>0</v>
          </cell>
        </row>
        <row r="5735">
          <cell r="A5735">
            <v>701030106</v>
          </cell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R5735">
            <v>0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  <cell r="AE5735">
            <v>0</v>
          </cell>
          <cell r="AF5735">
            <v>0</v>
          </cell>
          <cell r="AG5735">
            <v>0</v>
          </cell>
          <cell r="AH5735">
            <v>0</v>
          </cell>
          <cell r="AI5735">
            <v>0</v>
          </cell>
        </row>
        <row r="5736">
          <cell r="A5736">
            <v>701030107</v>
          </cell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R5736">
            <v>0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  <cell r="AE5736">
            <v>0</v>
          </cell>
          <cell r="AF5736">
            <v>0</v>
          </cell>
          <cell r="AG5736">
            <v>0</v>
          </cell>
          <cell r="AH5736">
            <v>0</v>
          </cell>
          <cell r="AI5736">
            <v>0</v>
          </cell>
        </row>
        <row r="5737">
          <cell r="A5737">
            <v>701030108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R5737">
            <v>0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  <cell r="AE5737">
            <v>0</v>
          </cell>
          <cell r="AF5737">
            <v>0</v>
          </cell>
          <cell r="AG5737">
            <v>0</v>
          </cell>
          <cell r="AH5737">
            <v>0</v>
          </cell>
          <cell r="AI5737">
            <v>0</v>
          </cell>
        </row>
        <row r="5738">
          <cell r="A5738">
            <v>701030109</v>
          </cell>
          <cell r="C5738">
            <v>0</v>
          </cell>
          <cell r="D5738">
            <v>259675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R5738">
            <v>0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  <cell r="AE5738">
            <v>0</v>
          </cell>
          <cell r="AF5738">
            <v>0</v>
          </cell>
          <cell r="AG5738">
            <v>0</v>
          </cell>
          <cell r="AH5738">
            <v>0</v>
          </cell>
          <cell r="AI5738">
            <v>0</v>
          </cell>
        </row>
        <row r="5739">
          <cell r="A5739">
            <v>701030110</v>
          </cell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R5739">
            <v>0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  <cell r="AE5739">
            <v>0</v>
          </cell>
          <cell r="AF5739">
            <v>0</v>
          </cell>
          <cell r="AG5739">
            <v>0</v>
          </cell>
          <cell r="AH5739">
            <v>0</v>
          </cell>
          <cell r="AI5739">
            <v>0</v>
          </cell>
        </row>
        <row r="5740">
          <cell r="A5740">
            <v>701030111</v>
          </cell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R5740">
            <v>0</v>
          </cell>
          <cell r="S5740">
            <v>0</v>
          </cell>
          <cell r="T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  <cell r="AE5740">
            <v>0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</row>
        <row r="5741">
          <cell r="A5741">
            <v>701030112</v>
          </cell>
          <cell r="C5741">
            <v>0</v>
          </cell>
          <cell r="D5741">
            <v>597988533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R5741">
            <v>0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  <cell r="AE5741">
            <v>0</v>
          </cell>
          <cell r="AF5741">
            <v>0</v>
          </cell>
          <cell r="AG5741">
            <v>0</v>
          </cell>
          <cell r="AH5741">
            <v>0</v>
          </cell>
          <cell r="AI5741">
            <v>0</v>
          </cell>
        </row>
        <row r="5742">
          <cell r="A5742">
            <v>701030113</v>
          </cell>
          <cell r="C5742">
            <v>0</v>
          </cell>
          <cell r="D5742">
            <v>500000</v>
          </cell>
          <cell r="E5742">
            <v>0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  <cell r="AI5742">
            <v>0</v>
          </cell>
        </row>
        <row r="5743">
          <cell r="A5743">
            <v>701030200</v>
          </cell>
          <cell r="C5743">
            <v>0</v>
          </cell>
          <cell r="D5743">
            <v>1440000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R5743">
            <v>0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  <cell r="AI5743">
            <v>0</v>
          </cell>
        </row>
        <row r="5744">
          <cell r="A5744">
            <v>701030201</v>
          </cell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R5744">
            <v>0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</row>
        <row r="5745">
          <cell r="A5745">
            <v>701030202</v>
          </cell>
          <cell r="C5745">
            <v>0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</row>
        <row r="5746">
          <cell r="A5746">
            <v>701030203</v>
          </cell>
          <cell r="C5746">
            <v>0</v>
          </cell>
          <cell r="D5746">
            <v>1440000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R5746">
            <v>0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  <cell r="AI5746">
            <v>0</v>
          </cell>
        </row>
        <row r="5747">
          <cell r="A5747">
            <v>701030204</v>
          </cell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R5747">
            <v>0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</row>
        <row r="5748">
          <cell r="A5748">
            <v>701030205</v>
          </cell>
          <cell r="C5748">
            <v>0</v>
          </cell>
          <cell r="D5748">
            <v>0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</row>
        <row r="5749">
          <cell r="A5749">
            <v>701030206</v>
          </cell>
          <cell r="C5749">
            <v>0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R5749">
            <v>0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  <cell r="AI5749">
            <v>0</v>
          </cell>
        </row>
        <row r="5750">
          <cell r="A5750">
            <v>701030207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R5750">
            <v>0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</row>
        <row r="5751">
          <cell r="A5751">
            <v>701030208</v>
          </cell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</row>
        <row r="5752">
          <cell r="A5752">
            <v>701030209</v>
          </cell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</row>
        <row r="5753">
          <cell r="A5753">
            <v>701040000</v>
          </cell>
          <cell r="C5753">
            <v>0</v>
          </cell>
          <cell r="D5753">
            <v>125577646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R5753">
            <v>0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  <cell r="AE5753">
            <v>0</v>
          </cell>
          <cell r="AF5753">
            <v>0</v>
          </cell>
          <cell r="AG5753">
            <v>0</v>
          </cell>
          <cell r="AH5753">
            <v>0</v>
          </cell>
          <cell r="AI5753">
            <v>0</v>
          </cell>
        </row>
        <row r="5754">
          <cell r="A5754">
            <v>701040100</v>
          </cell>
          <cell r="C5754">
            <v>0</v>
          </cell>
          <cell r="D5754">
            <v>125577646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</row>
        <row r="5755">
          <cell r="A5755">
            <v>701040101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  <cell r="AE5755">
            <v>0</v>
          </cell>
          <cell r="AF5755">
            <v>0</v>
          </cell>
          <cell r="AG5755">
            <v>0</v>
          </cell>
          <cell r="AH5755">
            <v>0</v>
          </cell>
          <cell r="AI5755">
            <v>0</v>
          </cell>
        </row>
        <row r="5756">
          <cell r="A5756">
            <v>701040102</v>
          </cell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</row>
        <row r="5757">
          <cell r="A5757">
            <v>701040103</v>
          </cell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</row>
        <row r="5758">
          <cell r="A5758">
            <v>701040104</v>
          </cell>
          <cell r="C5758">
            <v>0</v>
          </cell>
          <cell r="D5758">
            <v>125577646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R5758">
            <v>0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</row>
        <row r="5759">
          <cell r="A5759">
            <v>701040105</v>
          </cell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</row>
        <row r="5760">
          <cell r="A5760">
            <v>701040106</v>
          </cell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G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</row>
        <row r="5761">
          <cell r="A5761">
            <v>701040107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  <cell r="AI5761">
            <v>0</v>
          </cell>
        </row>
        <row r="5762">
          <cell r="A5762">
            <v>701040108</v>
          </cell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G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</row>
        <row r="5763">
          <cell r="A5763">
            <v>701040109</v>
          </cell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  <cell r="AI5763">
            <v>0</v>
          </cell>
        </row>
        <row r="5764">
          <cell r="A5764">
            <v>701040110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  <cell r="AI5764">
            <v>0</v>
          </cell>
        </row>
        <row r="5765">
          <cell r="A5765">
            <v>701040111</v>
          </cell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R5765">
            <v>0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  <cell r="AI5765">
            <v>0</v>
          </cell>
        </row>
        <row r="5766">
          <cell r="A5766">
            <v>701040112</v>
          </cell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R5766">
            <v>0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</row>
        <row r="5767">
          <cell r="A5767">
            <v>701040113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R5767">
            <v>0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</row>
        <row r="5768">
          <cell r="A5768">
            <v>701040200</v>
          </cell>
          <cell r="C5768">
            <v>0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  <cell r="S5768">
            <v>0</v>
          </cell>
          <cell r="T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0</v>
          </cell>
          <cell r="AF5768">
            <v>0</v>
          </cell>
          <cell r="AG5768">
            <v>0</v>
          </cell>
          <cell r="AH5768">
            <v>0</v>
          </cell>
          <cell r="AI5768">
            <v>0</v>
          </cell>
        </row>
        <row r="5769">
          <cell r="A5769">
            <v>701040201</v>
          </cell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G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R5769">
            <v>0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</row>
        <row r="5770">
          <cell r="A5770">
            <v>701040202</v>
          </cell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R5770">
            <v>0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  <cell r="AI5770">
            <v>0</v>
          </cell>
        </row>
        <row r="5771">
          <cell r="A5771">
            <v>701040203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R5771">
            <v>0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0</v>
          </cell>
          <cell r="AF5771">
            <v>0</v>
          </cell>
          <cell r="AG5771">
            <v>0</v>
          </cell>
          <cell r="AH5771">
            <v>0</v>
          </cell>
          <cell r="AI5771">
            <v>0</v>
          </cell>
        </row>
        <row r="5772">
          <cell r="A5772">
            <v>701040204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R5772">
            <v>0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  <cell r="AE5772">
            <v>0</v>
          </cell>
          <cell r="AF5772">
            <v>0</v>
          </cell>
          <cell r="AG5772">
            <v>0</v>
          </cell>
          <cell r="AH5772">
            <v>0</v>
          </cell>
          <cell r="AI5772">
            <v>0</v>
          </cell>
        </row>
        <row r="5773">
          <cell r="A5773">
            <v>701040205</v>
          </cell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R5773">
            <v>0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0</v>
          </cell>
          <cell r="AD5773">
            <v>0</v>
          </cell>
          <cell r="AE5773">
            <v>0</v>
          </cell>
          <cell r="AF5773">
            <v>0</v>
          </cell>
          <cell r="AG5773">
            <v>0</v>
          </cell>
          <cell r="AH5773">
            <v>0</v>
          </cell>
          <cell r="AI5773">
            <v>0</v>
          </cell>
        </row>
        <row r="5774">
          <cell r="A5774">
            <v>701040206</v>
          </cell>
          <cell r="C5774">
            <v>0</v>
          </cell>
          <cell r="D5774">
            <v>0</v>
          </cell>
          <cell r="E5774">
            <v>0</v>
          </cell>
          <cell r="F5774">
            <v>0</v>
          </cell>
          <cell r="G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R5774">
            <v>0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  <cell r="AE5774">
            <v>0</v>
          </cell>
          <cell r="AF5774">
            <v>0</v>
          </cell>
          <cell r="AG5774">
            <v>0</v>
          </cell>
          <cell r="AH5774">
            <v>0</v>
          </cell>
          <cell r="AI5774">
            <v>0</v>
          </cell>
        </row>
        <row r="5775">
          <cell r="A5775">
            <v>701040207</v>
          </cell>
          <cell r="C5775">
            <v>0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R5775">
            <v>0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0</v>
          </cell>
          <cell r="AD5775">
            <v>0</v>
          </cell>
          <cell r="AE5775">
            <v>0</v>
          </cell>
          <cell r="AF5775">
            <v>0</v>
          </cell>
          <cell r="AG5775">
            <v>0</v>
          </cell>
          <cell r="AH5775">
            <v>0</v>
          </cell>
          <cell r="AI5775">
            <v>0</v>
          </cell>
        </row>
        <row r="5776">
          <cell r="A5776">
            <v>701040208</v>
          </cell>
          <cell r="C5776">
            <v>0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R5776">
            <v>0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  <cell r="AE5776">
            <v>0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</row>
        <row r="5777">
          <cell r="A5777">
            <v>701040209</v>
          </cell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R5777">
            <v>0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0</v>
          </cell>
          <cell r="AE5777">
            <v>0</v>
          </cell>
          <cell r="AF5777">
            <v>0</v>
          </cell>
          <cell r="AG5777">
            <v>0</v>
          </cell>
          <cell r="AH5777">
            <v>0</v>
          </cell>
          <cell r="AI5777">
            <v>0</v>
          </cell>
        </row>
        <row r="5778">
          <cell r="A5778">
            <v>701050000</v>
          </cell>
          <cell r="C5778">
            <v>0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R5778">
            <v>0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  <cell r="AE5778">
            <v>0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</row>
        <row r="5779">
          <cell r="A5779">
            <v>701050100</v>
          </cell>
          <cell r="C5779">
            <v>0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R5779">
            <v>0</v>
          </cell>
          <cell r="S5779">
            <v>0</v>
          </cell>
          <cell r="T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0</v>
          </cell>
          <cell r="AE5779">
            <v>0</v>
          </cell>
          <cell r="AF5779">
            <v>0</v>
          </cell>
          <cell r="AG5779">
            <v>0</v>
          </cell>
          <cell r="AH5779">
            <v>0</v>
          </cell>
          <cell r="AI5779">
            <v>0</v>
          </cell>
        </row>
        <row r="5780">
          <cell r="A5780">
            <v>701050101</v>
          </cell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R5780">
            <v>0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0</v>
          </cell>
          <cell r="AE5780">
            <v>0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</row>
        <row r="5781">
          <cell r="A5781">
            <v>701050102</v>
          </cell>
          <cell r="C5781">
            <v>0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R5781">
            <v>0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  <cell r="AE5781">
            <v>0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</row>
        <row r="5782">
          <cell r="A5782">
            <v>701050103</v>
          </cell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  <cell r="AE5782">
            <v>0</v>
          </cell>
          <cell r="AF5782">
            <v>0</v>
          </cell>
          <cell r="AG5782">
            <v>0</v>
          </cell>
          <cell r="AH5782">
            <v>0</v>
          </cell>
          <cell r="AI5782">
            <v>0</v>
          </cell>
        </row>
        <row r="5783">
          <cell r="A5783">
            <v>701050104</v>
          </cell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R5783">
            <v>0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  <cell r="AE5783">
            <v>0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</row>
        <row r="5784">
          <cell r="A5784">
            <v>701050105</v>
          </cell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G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R5784">
            <v>0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  <cell r="AE5784">
            <v>0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</row>
        <row r="5785">
          <cell r="A5785">
            <v>701050106</v>
          </cell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R5785">
            <v>0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</v>
          </cell>
          <cell r="AE5785">
            <v>0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</row>
        <row r="5786">
          <cell r="A5786">
            <v>701050107</v>
          </cell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R5786">
            <v>0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  <cell r="AE5786">
            <v>0</v>
          </cell>
          <cell r="AF5786">
            <v>0</v>
          </cell>
          <cell r="AG5786">
            <v>0</v>
          </cell>
          <cell r="AH5786">
            <v>0</v>
          </cell>
          <cell r="AI5786">
            <v>0</v>
          </cell>
        </row>
        <row r="5787">
          <cell r="A5787">
            <v>701050108</v>
          </cell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R5787">
            <v>0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0</v>
          </cell>
          <cell r="AE5787">
            <v>0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</row>
        <row r="5788">
          <cell r="A5788">
            <v>701050109</v>
          </cell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G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  <cell r="AE5788">
            <v>0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</row>
        <row r="5789">
          <cell r="A5789">
            <v>701050110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R5789">
            <v>0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  <cell r="AE5789">
            <v>0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</row>
        <row r="5790">
          <cell r="A5790">
            <v>701050111</v>
          </cell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R5790">
            <v>0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  <cell r="AE5790">
            <v>0</v>
          </cell>
          <cell r="AF5790">
            <v>0</v>
          </cell>
          <cell r="AG5790">
            <v>0</v>
          </cell>
          <cell r="AH5790">
            <v>0</v>
          </cell>
          <cell r="AI5790">
            <v>0</v>
          </cell>
        </row>
        <row r="5791">
          <cell r="A5791">
            <v>701050112</v>
          </cell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G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R5791">
            <v>0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0</v>
          </cell>
          <cell r="AE5791">
            <v>0</v>
          </cell>
          <cell r="AF5791">
            <v>0</v>
          </cell>
          <cell r="AG5791">
            <v>0</v>
          </cell>
          <cell r="AH5791">
            <v>0</v>
          </cell>
          <cell r="AI5791">
            <v>0</v>
          </cell>
        </row>
        <row r="5792">
          <cell r="A5792">
            <v>701050113</v>
          </cell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R5792">
            <v>0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  <cell r="AE5792">
            <v>0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</row>
        <row r="5793">
          <cell r="A5793">
            <v>701060000</v>
          </cell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7944187822</v>
          </cell>
          <cell r="I5793">
            <v>10000000000</v>
          </cell>
          <cell r="J5793">
            <v>0</v>
          </cell>
          <cell r="K5793">
            <v>0</v>
          </cell>
          <cell r="L5793">
            <v>0</v>
          </cell>
          <cell r="M5793">
            <v>6000000000</v>
          </cell>
          <cell r="N5793">
            <v>0</v>
          </cell>
          <cell r="O5793">
            <v>15000000000</v>
          </cell>
          <cell r="P5793">
            <v>10000000000</v>
          </cell>
          <cell r="Q5793">
            <v>0</v>
          </cell>
          <cell r="R5793">
            <v>10000000000</v>
          </cell>
          <cell r="S5793">
            <v>0</v>
          </cell>
          <cell r="T5793">
            <v>0</v>
          </cell>
          <cell r="U5793">
            <v>0</v>
          </cell>
          <cell r="V5793">
            <v>25000000000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10000000000</v>
          </cell>
          <cell r="AC5793">
            <v>0</v>
          </cell>
          <cell r="AD5793">
            <v>0</v>
          </cell>
          <cell r="AE5793">
            <v>0</v>
          </cell>
          <cell r="AF5793">
            <v>8000000000</v>
          </cell>
          <cell r="AG5793">
            <v>0</v>
          </cell>
          <cell r="AH5793">
            <v>14000000000</v>
          </cell>
          <cell r="AI5793">
            <v>0</v>
          </cell>
        </row>
        <row r="5794">
          <cell r="A5794">
            <v>701060100</v>
          </cell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7944187822</v>
          </cell>
          <cell r="I5794">
            <v>10000000000</v>
          </cell>
          <cell r="J5794">
            <v>0</v>
          </cell>
          <cell r="K5794">
            <v>0</v>
          </cell>
          <cell r="L5794">
            <v>0</v>
          </cell>
          <cell r="M5794">
            <v>6000000000</v>
          </cell>
          <cell r="N5794">
            <v>0</v>
          </cell>
          <cell r="O5794">
            <v>15000000000</v>
          </cell>
          <cell r="P5794">
            <v>10000000000</v>
          </cell>
          <cell r="Q5794">
            <v>0</v>
          </cell>
          <cell r="R5794">
            <v>10000000000</v>
          </cell>
          <cell r="S5794">
            <v>0</v>
          </cell>
          <cell r="T5794">
            <v>0</v>
          </cell>
          <cell r="U5794">
            <v>0</v>
          </cell>
          <cell r="V5794">
            <v>25000000000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10000000000</v>
          </cell>
          <cell r="AC5794">
            <v>0</v>
          </cell>
          <cell r="AD5794">
            <v>0</v>
          </cell>
          <cell r="AE5794">
            <v>0</v>
          </cell>
          <cell r="AF5794">
            <v>8000000000</v>
          </cell>
          <cell r="AG5794">
            <v>0</v>
          </cell>
          <cell r="AH5794">
            <v>14000000000</v>
          </cell>
          <cell r="AI5794">
            <v>0</v>
          </cell>
        </row>
        <row r="5795">
          <cell r="A5795">
            <v>701060101</v>
          </cell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7944187822</v>
          </cell>
          <cell r="I5795">
            <v>10000000000</v>
          </cell>
          <cell r="J5795">
            <v>0</v>
          </cell>
          <cell r="K5795">
            <v>0</v>
          </cell>
          <cell r="L5795">
            <v>0</v>
          </cell>
          <cell r="M5795">
            <v>6000000000</v>
          </cell>
          <cell r="N5795">
            <v>0</v>
          </cell>
          <cell r="O5795">
            <v>15000000000</v>
          </cell>
          <cell r="P5795">
            <v>10000000000</v>
          </cell>
          <cell r="Q5795">
            <v>0</v>
          </cell>
          <cell r="R5795">
            <v>10000000000</v>
          </cell>
          <cell r="S5795">
            <v>0</v>
          </cell>
          <cell r="T5795">
            <v>0</v>
          </cell>
          <cell r="U5795">
            <v>0</v>
          </cell>
          <cell r="V5795">
            <v>25000000000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10000000000</v>
          </cell>
          <cell r="AC5795">
            <v>0</v>
          </cell>
          <cell r="AD5795">
            <v>0</v>
          </cell>
          <cell r="AE5795">
            <v>0</v>
          </cell>
          <cell r="AF5795">
            <v>8000000000</v>
          </cell>
          <cell r="AG5795">
            <v>0</v>
          </cell>
          <cell r="AH5795">
            <v>14000000000</v>
          </cell>
          <cell r="AI5795">
            <v>0</v>
          </cell>
        </row>
        <row r="5796">
          <cell r="A5796">
            <v>701070000</v>
          </cell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G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R5796">
            <v>0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  <cell r="AE5796">
            <v>0</v>
          </cell>
          <cell r="AF5796">
            <v>0</v>
          </cell>
          <cell r="AG5796">
            <v>0</v>
          </cell>
          <cell r="AH5796">
            <v>0</v>
          </cell>
          <cell r="AI5796">
            <v>0</v>
          </cell>
        </row>
        <row r="5797">
          <cell r="A5797">
            <v>701070100</v>
          </cell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R5797">
            <v>0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  <cell r="AE5797">
            <v>0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</row>
        <row r="5798">
          <cell r="A5798">
            <v>701070101</v>
          </cell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R5798">
            <v>0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  <cell r="AE5798">
            <v>0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</row>
        <row r="5799">
          <cell r="A5799">
            <v>701070102</v>
          </cell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  <cell r="AE5799">
            <v>0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</row>
        <row r="5800">
          <cell r="A5800">
            <v>701070103</v>
          </cell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G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R5800">
            <v>0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  <cell r="AE5800">
            <v>0</v>
          </cell>
          <cell r="AF5800">
            <v>0</v>
          </cell>
          <cell r="AG5800">
            <v>0</v>
          </cell>
          <cell r="AH5800">
            <v>0</v>
          </cell>
          <cell r="AI5800">
            <v>0</v>
          </cell>
        </row>
        <row r="5801">
          <cell r="A5801">
            <v>701070104</v>
          </cell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R5801">
            <v>0</v>
          </cell>
          <cell r="S5801">
            <v>0</v>
          </cell>
          <cell r="T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</v>
          </cell>
          <cell r="AE5801">
            <v>0</v>
          </cell>
          <cell r="AF5801">
            <v>0</v>
          </cell>
          <cell r="AG5801">
            <v>0</v>
          </cell>
          <cell r="AH5801">
            <v>0</v>
          </cell>
          <cell r="AI5801">
            <v>0</v>
          </cell>
        </row>
        <row r="5802">
          <cell r="A5802">
            <v>701070105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  <cell r="AE5802">
            <v>0</v>
          </cell>
          <cell r="AF5802">
            <v>0</v>
          </cell>
          <cell r="AG5802">
            <v>0</v>
          </cell>
          <cell r="AH5802">
            <v>0</v>
          </cell>
          <cell r="AI5802">
            <v>0</v>
          </cell>
        </row>
        <row r="5803">
          <cell r="A5803">
            <v>701070106</v>
          </cell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G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R5803">
            <v>0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0</v>
          </cell>
          <cell r="AD5803">
            <v>0</v>
          </cell>
          <cell r="AE5803">
            <v>0</v>
          </cell>
          <cell r="AF5803">
            <v>0</v>
          </cell>
          <cell r="AG5803">
            <v>0</v>
          </cell>
          <cell r="AH5803">
            <v>0</v>
          </cell>
          <cell r="AI5803">
            <v>0</v>
          </cell>
        </row>
        <row r="5804">
          <cell r="A5804">
            <v>701070107</v>
          </cell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G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R5804">
            <v>0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0</v>
          </cell>
          <cell r="AE5804">
            <v>0</v>
          </cell>
          <cell r="AF5804">
            <v>0</v>
          </cell>
          <cell r="AG5804">
            <v>0</v>
          </cell>
          <cell r="AH5804">
            <v>0</v>
          </cell>
          <cell r="AI5804">
            <v>0</v>
          </cell>
        </row>
        <row r="5805">
          <cell r="A5805">
            <v>701070108</v>
          </cell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R5805">
            <v>0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  <cell r="AE5805">
            <v>0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</row>
        <row r="5806">
          <cell r="A5806">
            <v>701070109</v>
          </cell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R5806">
            <v>0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  <cell r="AE5806">
            <v>0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</row>
        <row r="5807">
          <cell r="A5807">
            <v>701070110</v>
          </cell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0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  <cell r="AE5807">
            <v>0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</row>
        <row r="5808">
          <cell r="A5808">
            <v>701070111</v>
          </cell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  <cell r="AE5808">
            <v>0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</row>
        <row r="5809">
          <cell r="A5809">
            <v>701070112</v>
          </cell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R5809">
            <v>0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  <cell r="AE5809">
            <v>0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</row>
        <row r="5810">
          <cell r="A5810">
            <v>701070113</v>
          </cell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G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R5810">
            <v>0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  <cell r="AE5810">
            <v>0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</row>
        <row r="5811">
          <cell r="A5811">
            <v>701070200</v>
          </cell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R5811">
            <v>0</v>
          </cell>
          <cell r="S5811">
            <v>0</v>
          </cell>
          <cell r="T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0</v>
          </cell>
          <cell r="AE5811">
            <v>0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</row>
        <row r="5812">
          <cell r="A5812">
            <v>701070201</v>
          </cell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R5812">
            <v>0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  <cell r="AE5812">
            <v>0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</row>
        <row r="5813">
          <cell r="A5813">
            <v>701070202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R5813">
            <v>0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  <cell r="AE5813">
            <v>0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</row>
        <row r="5814">
          <cell r="A5814">
            <v>701070203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R5814">
            <v>0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  <cell r="AE5814">
            <v>0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</row>
        <row r="5815">
          <cell r="A5815">
            <v>701070204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R5815">
            <v>0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  <cell r="AE5815">
            <v>0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</row>
        <row r="5816">
          <cell r="A5816">
            <v>701070205</v>
          </cell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R5816">
            <v>0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  <cell r="AE5816">
            <v>0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</row>
        <row r="5817">
          <cell r="A5817">
            <v>701070206</v>
          </cell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R5817">
            <v>0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  <cell r="AE5817">
            <v>0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</row>
        <row r="5818">
          <cell r="A5818">
            <v>701070207</v>
          </cell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R5818">
            <v>0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  <cell r="AE5818">
            <v>0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</row>
        <row r="5819">
          <cell r="A5819">
            <v>701070208</v>
          </cell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  <cell r="AE5819">
            <v>0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</row>
        <row r="5820">
          <cell r="A5820">
            <v>701070209</v>
          </cell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R5820">
            <v>0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  <cell r="AE5820">
            <v>0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</row>
        <row r="5821">
          <cell r="A5821">
            <v>702000000</v>
          </cell>
          <cell r="C5821">
            <v>0</v>
          </cell>
          <cell r="D5821">
            <v>0</v>
          </cell>
          <cell r="E5821">
            <v>18823932533</v>
          </cell>
          <cell r="F5821">
            <v>98222569</v>
          </cell>
          <cell r="G5821">
            <v>264593000</v>
          </cell>
          <cell r="H5821">
            <v>1124543118</v>
          </cell>
          <cell r="I5821">
            <v>13341666066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6460000</v>
          </cell>
          <cell r="P5821">
            <v>0</v>
          </cell>
          <cell r="Q5821">
            <v>0</v>
          </cell>
          <cell r="R5821">
            <v>1350000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>
            <v>10000000</v>
          </cell>
          <cell r="X5821">
            <v>0</v>
          </cell>
          <cell r="Y5821">
            <v>15000000</v>
          </cell>
          <cell r="Z5821">
            <v>0</v>
          </cell>
          <cell r="AA5821">
            <v>0</v>
          </cell>
          <cell r="AB5821">
            <v>0</v>
          </cell>
          <cell r="AC5821">
            <v>0</v>
          </cell>
          <cell r="AD5821">
            <v>0</v>
          </cell>
          <cell r="AE5821">
            <v>0</v>
          </cell>
          <cell r="AF5821">
            <v>141392050</v>
          </cell>
          <cell r="AG5821">
            <v>23698410192</v>
          </cell>
          <cell r="AH5821">
            <v>1392011283</v>
          </cell>
          <cell r="AI5821">
            <v>0</v>
          </cell>
        </row>
        <row r="5822">
          <cell r="A5822">
            <v>702010000</v>
          </cell>
          <cell r="C5822">
            <v>0</v>
          </cell>
          <cell r="D5822">
            <v>0</v>
          </cell>
          <cell r="E5822">
            <v>18823932533</v>
          </cell>
          <cell r="F5822">
            <v>98222569</v>
          </cell>
          <cell r="G5822">
            <v>264593000</v>
          </cell>
          <cell r="H5822">
            <v>1124543118</v>
          </cell>
          <cell r="I5822">
            <v>13341666066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6460000</v>
          </cell>
          <cell r="P5822">
            <v>0</v>
          </cell>
          <cell r="Q5822">
            <v>0</v>
          </cell>
          <cell r="R5822">
            <v>1350000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10000000</v>
          </cell>
          <cell r="X5822">
            <v>0</v>
          </cell>
          <cell r="Y5822">
            <v>15000000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  <cell r="AE5822">
            <v>0</v>
          </cell>
          <cell r="AF5822">
            <v>141392050</v>
          </cell>
          <cell r="AG5822">
            <v>23698410192</v>
          </cell>
          <cell r="AH5822">
            <v>1392011283</v>
          </cell>
          <cell r="AI5822">
            <v>0</v>
          </cell>
        </row>
        <row r="5823">
          <cell r="A5823">
            <v>702010100</v>
          </cell>
          <cell r="C5823">
            <v>0</v>
          </cell>
          <cell r="D5823">
            <v>0</v>
          </cell>
          <cell r="E5823">
            <v>18823932533</v>
          </cell>
          <cell r="F5823">
            <v>98222569</v>
          </cell>
          <cell r="G5823">
            <v>264593000</v>
          </cell>
          <cell r="H5823">
            <v>1124543118</v>
          </cell>
          <cell r="I5823">
            <v>13341666066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6460000</v>
          </cell>
          <cell r="P5823">
            <v>0</v>
          </cell>
          <cell r="Q5823">
            <v>0</v>
          </cell>
          <cell r="R5823">
            <v>1350000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10000000</v>
          </cell>
          <cell r="X5823">
            <v>0</v>
          </cell>
          <cell r="Y5823">
            <v>15000000</v>
          </cell>
          <cell r="Z5823">
            <v>0</v>
          </cell>
          <cell r="AA5823">
            <v>0</v>
          </cell>
          <cell r="AB5823">
            <v>0</v>
          </cell>
          <cell r="AC5823">
            <v>0</v>
          </cell>
          <cell r="AD5823">
            <v>0</v>
          </cell>
          <cell r="AE5823">
            <v>0</v>
          </cell>
          <cell r="AF5823">
            <v>141392050</v>
          </cell>
          <cell r="AG5823">
            <v>23698410192</v>
          </cell>
          <cell r="AH5823">
            <v>1392011283</v>
          </cell>
          <cell r="AI5823">
            <v>0</v>
          </cell>
        </row>
        <row r="5824">
          <cell r="A5824">
            <v>702010101</v>
          </cell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1124543118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R5824">
            <v>0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  <cell r="AE5824">
            <v>0</v>
          </cell>
          <cell r="AF5824">
            <v>141392050</v>
          </cell>
          <cell r="AG5824">
            <v>0</v>
          </cell>
          <cell r="AH5824">
            <v>0</v>
          </cell>
          <cell r="AI5824">
            <v>0</v>
          </cell>
        </row>
        <row r="5825">
          <cell r="A5825">
            <v>702010102</v>
          </cell>
          <cell r="C5825">
            <v>0</v>
          </cell>
          <cell r="D5825">
            <v>0</v>
          </cell>
          <cell r="E5825">
            <v>0</v>
          </cell>
          <cell r="F5825">
            <v>98222569</v>
          </cell>
          <cell r="G5825">
            <v>264593000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R5825">
            <v>0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  <cell r="AE5825">
            <v>0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</row>
        <row r="5826">
          <cell r="A5826">
            <v>702010103</v>
          </cell>
          <cell r="C5826">
            <v>0</v>
          </cell>
          <cell r="D5826">
            <v>0</v>
          </cell>
          <cell r="E5826">
            <v>18823932533</v>
          </cell>
          <cell r="F5826">
            <v>0</v>
          </cell>
          <cell r="G5826">
            <v>0</v>
          </cell>
          <cell r="H5826">
            <v>0</v>
          </cell>
          <cell r="I5826">
            <v>13320666066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R5826">
            <v>0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  <cell r="AE5826">
            <v>0</v>
          </cell>
          <cell r="AF5826">
            <v>0</v>
          </cell>
          <cell r="AG5826">
            <v>23698410192</v>
          </cell>
          <cell r="AH5826">
            <v>1392011283</v>
          </cell>
          <cell r="AI5826">
            <v>0</v>
          </cell>
        </row>
        <row r="5827">
          <cell r="A5827">
            <v>702010104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0</v>
          </cell>
          <cell r="H5827">
            <v>0</v>
          </cell>
          <cell r="I5827">
            <v>21000000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R5827">
            <v>0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  <cell r="AE5827">
            <v>0</v>
          </cell>
          <cell r="AF5827">
            <v>0</v>
          </cell>
          <cell r="AG5827">
            <v>0</v>
          </cell>
          <cell r="AH5827">
            <v>0</v>
          </cell>
          <cell r="AI5827">
            <v>0</v>
          </cell>
        </row>
        <row r="5828">
          <cell r="A5828">
            <v>702010105</v>
          </cell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0</v>
          </cell>
          <cell r="AE5828">
            <v>0</v>
          </cell>
          <cell r="AF5828">
            <v>0</v>
          </cell>
          <cell r="AG5828">
            <v>0</v>
          </cell>
          <cell r="AH5828">
            <v>0</v>
          </cell>
          <cell r="AI5828">
            <v>0</v>
          </cell>
        </row>
        <row r="5829">
          <cell r="A5829">
            <v>702010106</v>
          </cell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6460000</v>
          </cell>
          <cell r="P5829">
            <v>0</v>
          </cell>
          <cell r="Q5829">
            <v>0</v>
          </cell>
          <cell r="R5829">
            <v>1350000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10000000</v>
          </cell>
          <cell r="X5829">
            <v>0</v>
          </cell>
          <cell r="Y5829">
            <v>15000000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  <cell r="AE5829">
            <v>0</v>
          </cell>
          <cell r="AF5829">
            <v>0</v>
          </cell>
          <cell r="AG5829">
            <v>0</v>
          </cell>
          <cell r="AH5829">
            <v>0</v>
          </cell>
          <cell r="AI5829">
            <v>0</v>
          </cell>
        </row>
        <row r="5830">
          <cell r="A5830">
            <v>703000000</v>
          </cell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  <cell r="I5830">
            <v>361408984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R5830">
            <v>15734883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46738150</v>
          </cell>
          <cell r="AD5830">
            <v>0</v>
          </cell>
          <cell r="AE5830">
            <v>0</v>
          </cell>
          <cell r="AF5830">
            <v>0</v>
          </cell>
          <cell r="AG5830">
            <v>1135867700</v>
          </cell>
          <cell r="AH5830">
            <v>212821049</v>
          </cell>
          <cell r="AI5830">
            <v>0</v>
          </cell>
        </row>
        <row r="5831">
          <cell r="A5831">
            <v>703010000</v>
          </cell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  <cell r="I5831">
            <v>361408984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R5831">
            <v>15734883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46738150</v>
          </cell>
          <cell r="AD5831">
            <v>0</v>
          </cell>
          <cell r="AE5831">
            <v>0</v>
          </cell>
          <cell r="AF5831">
            <v>0</v>
          </cell>
          <cell r="AG5831">
            <v>1135867700</v>
          </cell>
          <cell r="AH5831">
            <v>212821049</v>
          </cell>
          <cell r="AI5831">
            <v>0</v>
          </cell>
        </row>
        <row r="5832">
          <cell r="A5832">
            <v>703010100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0</v>
          </cell>
          <cell r="H5832">
            <v>0</v>
          </cell>
          <cell r="I5832">
            <v>361408984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R5832">
            <v>15734883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46738150</v>
          </cell>
          <cell r="AD5832">
            <v>0</v>
          </cell>
          <cell r="AE5832">
            <v>0</v>
          </cell>
          <cell r="AF5832">
            <v>0</v>
          </cell>
          <cell r="AG5832">
            <v>1135867700</v>
          </cell>
          <cell r="AH5832">
            <v>212821049</v>
          </cell>
          <cell r="AI5832">
            <v>0</v>
          </cell>
        </row>
        <row r="5833">
          <cell r="A5833">
            <v>703010101</v>
          </cell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  <cell r="I5833">
            <v>361408984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R5833">
            <v>0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  <cell r="AE5833">
            <v>0</v>
          </cell>
          <cell r="AF5833">
            <v>0</v>
          </cell>
          <cell r="AG5833">
            <v>1135867700</v>
          </cell>
          <cell r="AH5833">
            <v>0</v>
          </cell>
          <cell r="AI5833">
            <v>0</v>
          </cell>
        </row>
        <row r="5834">
          <cell r="A5834">
            <v>703010102</v>
          </cell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R5834">
            <v>0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  <cell r="AE5834">
            <v>0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</row>
        <row r="5835">
          <cell r="A5835">
            <v>703010103</v>
          </cell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R5835">
            <v>15734883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46738150</v>
          </cell>
          <cell r="AD5835">
            <v>0</v>
          </cell>
          <cell r="AE5835">
            <v>0</v>
          </cell>
          <cell r="AF5835">
            <v>0</v>
          </cell>
          <cell r="AG5835">
            <v>0</v>
          </cell>
          <cell r="AH5835">
            <v>212821049</v>
          </cell>
          <cell r="AI5835">
            <v>0</v>
          </cell>
        </row>
        <row r="5836">
          <cell r="A5836">
            <v>703010104</v>
          </cell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R5836">
            <v>0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  <cell r="AE5836">
            <v>0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</row>
        <row r="5837">
          <cell r="A5837">
            <v>704000000</v>
          </cell>
          <cell r="C5837">
            <v>11447891450468</v>
          </cell>
          <cell r="D5837">
            <v>4161172689696</v>
          </cell>
          <cell r="E5837">
            <v>1532031519890</v>
          </cell>
          <cell r="F5837">
            <v>1719101411132</v>
          </cell>
          <cell r="G5837">
            <v>466780307316</v>
          </cell>
          <cell r="H5837">
            <v>4469430603846</v>
          </cell>
          <cell r="I5837">
            <v>3079469727175</v>
          </cell>
          <cell r="J5837">
            <v>178150936536</v>
          </cell>
          <cell r="K5837">
            <v>679343438616</v>
          </cell>
          <cell r="L5837">
            <v>729455107524</v>
          </cell>
          <cell r="M5837">
            <v>151937091792</v>
          </cell>
          <cell r="N5837">
            <v>1174378218778</v>
          </cell>
          <cell r="O5837">
            <v>3450725761754</v>
          </cell>
          <cell r="P5837">
            <v>926673726040</v>
          </cell>
          <cell r="Q5837">
            <v>178086870254</v>
          </cell>
          <cell r="R5837">
            <v>2609358443503</v>
          </cell>
          <cell r="S5837">
            <v>51907986052</v>
          </cell>
          <cell r="T5837">
            <v>1980037770118</v>
          </cell>
          <cell r="U5837">
            <v>2711044254</v>
          </cell>
          <cell r="V5837">
            <v>11766713695662</v>
          </cell>
          <cell r="W5837">
            <v>2070508871968</v>
          </cell>
          <cell r="X5837">
            <v>3285200876172</v>
          </cell>
          <cell r="Y5837">
            <v>345418995209</v>
          </cell>
          <cell r="Z5837">
            <v>1559768106409</v>
          </cell>
          <cell r="AA5837">
            <v>509324152844</v>
          </cell>
          <cell r="AB5837">
            <v>5213825604979</v>
          </cell>
          <cell r="AC5837">
            <v>0</v>
          </cell>
          <cell r="AD5837">
            <v>3314557484553</v>
          </cell>
          <cell r="AE5837">
            <v>36198064629924</v>
          </cell>
          <cell r="AF5837">
            <v>2917647307408</v>
          </cell>
          <cell r="AG5837">
            <v>545238528</v>
          </cell>
          <cell r="AH5837">
            <v>1263476768604</v>
          </cell>
          <cell r="AI5837">
            <v>409702522828</v>
          </cell>
        </row>
        <row r="5838">
          <cell r="A5838">
            <v>704010000</v>
          </cell>
          <cell r="C5838">
            <v>11447891450468</v>
          </cell>
          <cell r="D5838">
            <v>4161172689696</v>
          </cell>
          <cell r="E5838">
            <v>1532031519890</v>
          </cell>
          <cell r="F5838">
            <v>1719101411132</v>
          </cell>
          <cell r="G5838">
            <v>466780307316</v>
          </cell>
          <cell r="H5838">
            <v>4469430603846</v>
          </cell>
          <cell r="I5838">
            <v>3079469727175</v>
          </cell>
          <cell r="J5838">
            <v>178150936536</v>
          </cell>
          <cell r="K5838">
            <v>679343438616</v>
          </cell>
          <cell r="L5838">
            <v>729455107524</v>
          </cell>
          <cell r="M5838">
            <v>151937091792</v>
          </cell>
          <cell r="N5838">
            <v>1174378218778</v>
          </cell>
          <cell r="O5838">
            <v>3450725761754</v>
          </cell>
          <cell r="P5838">
            <v>926673726040</v>
          </cell>
          <cell r="Q5838">
            <v>178086870254</v>
          </cell>
          <cell r="R5838">
            <v>2609358443503</v>
          </cell>
          <cell r="S5838">
            <v>51907986052</v>
          </cell>
          <cell r="T5838">
            <v>1980037770118</v>
          </cell>
          <cell r="U5838">
            <v>2711044254</v>
          </cell>
          <cell r="V5838">
            <v>11766713695662</v>
          </cell>
          <cell r="W5838">
            <v>2070508871968</v>
          </cell>
          <cell r="X5838">
            <v>3285200876172</v>
          </cell>
          <cell r="Y5838">
            <v>345418995209</v>
          </cell>
          <cell r="Z5838">
            <v>1559768106409</v>
          </cell>
          <cell r="AA5838">
            <v>509324152844</v>
          </cell>
          <cell r="AB5838">
            <v>5213825604979</v>
          </cell>
          <cell r="AC5838">
            <v>0</v>
          </cell>
          <cell r="AD5838">
            <v>3314557484553</v>
          </cell>
          <cell r="AE5838">
            <v>36198064629924</v>
          </cell>
          <cell r="AF5838">
            <v>2917647307408</v>
          </cell>
          <cell r="AG5838">
            <v>545238528</v>
          </cell>
          <cell r="AH5838">
            <v>1263476768604</v>
          </cell>
          <cell r="AI5838">
            <v>409702522828</v>
          </cell>
        </row>
        <row r="5839">
          <cell r="A5839">
            <v>704010100</v>
          </cell>
          <cell r="C5839">
            <v>11447891450468</v>
          </cell>
          <cell r="D5839">
            <v>4161172689696</v>
          </cell>
          <cell r="E5839">
            <v>1530940381389</v>
          </cell>
          <cell r="F5839">
            <v>1719003192751</v>
          </cell>
          <cell r="G5839">
            <v>466780307316</v>
          </cell>
          <cell r="H5839">
            <v>4469430603846</v>
          </cell>
          <cell r="I5839">
            <v>3078234755788</v>
          </cell>
          <cell r="J5839">
            <v>178150936536</v>
          </cell>
          <cell r="K5839">
            <v>679343438616</v>
          </cell>
          <cell r="L5839">
            <v>729455107524</v>
          </cell>
          <cell r="M5839">
            <v>151937091792</v>
          </cell>
          <cell r="N5839">
            <v>1174378218778</v>
          </cell>
          <cell r="O5839">
            <v>3450725761754</v>
          </cell>
          <cell r="P5839">
            <v>926673726040</v>
          </cell>
          <cell r="Q5839">
            <v>177036130423</v>
          </cell>
          <cell r="R5839">
            <v>2608562057974</v>
          </cell>
          <cell r="S5839">
            <v>51907986052</v>
          </cell>
          <cell r="T5839">
            <v>1980037770118</v>
          </cell>
          <cell r="U5839">
            <v>0</v>
          </cell>
          <cell r="V5839">
            <v>11766700198662</v>
          </cell>
          <cell r="W5839">
            <v>2070472409821</v>
          </cell>
          <cell r="X5839">
            <v>3262900376293</v>
          </cell>
          <cell r="Y5839">
            <v>345418995209</v>
          </cell>
          <cell r="Z5839">
            <v>1559749339323</v>
          </cell>
          <cell r="AA5839">
            <v>509324152844</v>
          </cell>
          <cell r="AB5839">
            <v>5213806228479</v>
          </cell>
          <cell r="AC5839">
            <v>0</v>
          </cell>
          <cell r="AD5839">
            <v>3314557484553</v>
          </cell>
          <cell r="AE5839">
            <v>36198064629924</v>
          </cell>
          <cell r="AF5839">
            <v>2917479183201</v>
          </cell>
          <cell r="AG5839">
            <v>0</v>
          </cell>
          <cell r="AH5839">
            <v>1261476768604</v>
          </cell>
          <cell r="AI5839">
            <v>409702522828</v>
          </cell>
        </row>
        <row r="5840">
          <cell r="A5840">
            <v>704010101</v>
          </cell>
          <cell r="C5840">
            <v>11447891450468</v>
          </cell>
          <cell r="D5840">
            <v>4161172689696</v>
          </cell>
          <cell r="E5840">
            <v>1530940381389</v>
          </cell>
          <cell r="F5840">
            <v>1719003192751</v>
          </cell>
          <cell r="G5840">
            <v>466780307316</v>
          </cell>
          <cell r="H5840">
            <v>4469430603846</v>
          </cell>
          <cell r="I5840">
            <v>3078234755788</v>
          </cell>
          <cell r="J5840">
            <v>178150936536</v>
          </cell>
          <cell r="K5840">
            <v>679343438616</v>
          </cell>
          <cell r="L5840">
            <v>729455107524</v>
          </cell>
          <cell r="M5840">
            <v>151937091792</v>
          </cell>
          <cell r="N5840">
            <v>1174378218778</v>
          </cell>
          <cell r="O5840">
            <v>3450725761754</v>
          </cell>
          <cell r="P5840">
            <v>926673726040</v>
          </cell>
          <cell r="Q5840">
            <v>177036130423</v>
          </cell>
          <cell r="R5840">
            <v>2608562057974</v>
          </cell>
          <cell r="S5840">
            <v>51907986052</v>
          </cell>
          <cell r="T5840">
            <v>1980037770118</v>
          </cell>
          <cell r="U5840">
            <v>0</v>
          </cell>
          <cell r="V5840">
            <v>11766700198662</v>
          </cell>
          <cell r="W5840">
            <v>2070472409821</v>
          </cell>
          <cell r="X5840">
            <v>3262900376293</v>
          </cell>
          <cell r="Y5840">
            <v>345418995209</v>
          </cell>
          <cell r="Z5840">
            <v>1559749339323</v>
          </cell>
          <cell r="AA5840">
            <v>509324152844</v>
          </cell>
          <cell r="AB5840">
            <v>5213806228479</v>
          </cell>
          <cell r="AC5840">
            <v>0</v>
          </cell>
          <cell r="AD5840">
            <v>3314557484553</v>
          </cell>
          <cell r="AE5840">
            <v>36198064629924</v>
          </cell>
          <cell r="AF5840">
            <v>2917479183201</v>
          </cell>
          <cell r="AG5840">
            <v>0</v>
          </cell>
          <cell r="AH5840">
            <v>1261476768604</v>
          </cell>
          <cell r="AI5840">
            <v>409702522828</v>
          </cell>
        </row>
        <row r="5841">
          <cell r="A5841">
            <v>704010200</v>
          </cell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G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R5841">
            <v>36385529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36462147</v>
          </cell>
          <cell r="X5841">
            <v>22300499879</v>
          </cell>
          <cell r="Y5841">
            <v>0</v>
          </cell>
          <cell r="Z5841">
            <v>0</v>
          </cell>
          <cell r="AA5841">
            <v>0</v>
          </cell>
          <cell r="AB5841">
            <v>19376500</v>
          </cell>
          <cell r="AC5841">
            <v>0</v>
          </cell>
          <cell r="AD5841">
            <v>0</v>
          </cell>
          <cell r="AE5841">
            <v>0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</row>
        <row r="5842">
          <cell r="A5842">
            <v>704010201</v>
          </cell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36385529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36462147</v>
          </cell>
          <cell r="X5842">
            <v>22300499879</v>
          </cell>
          <cell r="Y5842">
            <v>0</v>
          </cell>
          <cell r="Z5842">
            <v>0</v>
          </cell>
          <cell r="AA5842">
            <v>0</v>
          </cell>
          <cell r="AB5842">
            <v>19376500</v>
          </cell>
          <cell r="AC5842">
            <v>0</v>
          </cell>
          <cell r="AD5842">
            <v>0</v>
          </cell>
          <cell r="AE5842">
            <v>0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</row>
        <row r="5843">
          <cell r="A5843">
            <v>704010300</v>
          </cell>
          <cell r="C5843">
            <v>0</v>
          </cell>
          <cell r="D5843">
            <v>0</v>
          </cell>
          <cell r="E5843">
            <v>1091138501</v>
          </cell>
          <cell r="F5843">
            <v>0</v>
          </cell>
          <cell r="G5843">
            <v>0</v>
          </cell>
          <cell r="H5843">
            <v>0</v>
          </cell>
          <cell r="I5843">
            <v>813276192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1050739831</v>
          </cell>
          <cell r="R5843">
            <v>760000000</v>
          </cell>
          <cell r="S5843">
            <v>0</v>
          </cell>
          <cell r="T5843">
            <v>0</v>
          </cell>
          <cell r="U5843">
            <v>2711044254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18767086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  <cell r="AE5843">
            <v>0</v>
          </cell>
          <cell r="AF5843">
            <v>168124207</v>
          </cell>
          <cell r="AG5843">
            <v>242853415</v>
          </cell>
          <cell r="AH5843">
            <v>2000000000</v>
          </cell>
          <cell r="AI5843">
            <v>0</v>
          </cell>
        </row>
        <row r="5844">
          <cell r="A5844">
            <v>704010301</v>
          </cell>
          <cell r="C5844">
            <v>0</v>
          </cell>
          <cell r="D5844">
            <v>0</v>
          </cell>
          <cell r="E5844">
            <v>1091138501</v>
          </cell>
          <cell r="F5844">
            <v>0</v>
          </cell>
          <cell r="G5844">
            <v>0</v>
          </cell>
          <cell r="H5844">
            <v>0</v>
          </cell>
          <cell r="I5844">
            <v>813276192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1050739831</v>
          </cell>
          <cell r="R5844">
            <v>760000000</v>
          </cell>
          <cell r="S5844">
            <v>0</v>
          </cell>
          <cell r="T5844">
            <v>0</v>
          </cell>
          <cell r="U5844">
            <v>2711044254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18767086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  <cell r="AE5844">
            <v>0</v>
          </cell>
          <cell r="AF5844">
            <v>168124207</v>
          </cell>
          <cell r="AG5844">
            <v>242853415</v>
          </cell>
          <cell r="AH5844">
            <v>2000000000</v>
          </cell>
          <cell r="AI5844">
            <v>0</v>
          </cell>
        </row>
        <row r="5845">
          <cell r="A5845">
            <v>704010400</v>
          </cell>
          <cell r="C5845">
            <v>0</v>
          </cell>
          <cell r="D5845">
            <v>0</v>
          </cell>
          <cell r="E5845">
            <v>0</v>
          </cell>
          <cell r="F5845">
            <v>98218381</v>
          </cell>
          <cell r="G5845">
            <v>0</v>
          </cell>
          <cell r="H5845">
            <v>0</v>
          </cell>
          <cell r="I5845">
            <v>421695195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R5845">
            <v>0</v>
          </cell>
          <cell r="S5845">
            <v>0</v>
          </cell>
          <cell r="T5845">
            <v>0</v>
          </cell>
          <cell r="U5845">
            <v>0</v>
          </cell>
          <cell r="V5845">
            <v>13497000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0</v>
          </cell>
          <cell r="AE5845">
            <v>0</v>
          </cell>
          <cell r="AF5845">
            <v>0</v>
          </cell>
          <cell r="AG5845">
            <v>302385113</v>
          </cell>
          <cell r="AH5845">
            <v>0</v>
          </cell>
          <cell r="AI5845">
            <v>0</v>
          </cell>
        </row>
        <row r="5846">
          <cell r="A5846">
            <v>704010401</v>
          </cell>
          <cell r="C5846">
            <v>0</v>
          </cell>
          <cell r="D5846">
            <v>0</v>
          </cell>
          <cell r="E5846">
            <v>0</v>
          </cell>
          <cell r="F5846">
            <v>98218381</v>
          </cell>
          <cell r="G5846">
            <v>0</v>
          </cell>
          <cell r="H5846">
            <v>0</v>
          </cell>
          <cell r="I5846">
            <v>421695195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R5846">
            <v>0</v>
          </cell>
          <cell r="S5846">
            <v>0</v>
          </cell>
          <cell r="T5846">
            <v>0</v>
          </cell>
          <cell r="U5846">
            <v>0</v>
          </cell>
          <cell r="V5846">
            <v>13497000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  <cell r="AE5846">
            <v>0</v>
          </cell>
          <cell r="AF5846">
            <v>0</v>
          </cell>
          <cell r="AG5846">
            <v>302385113</v>
          </cell>
          <cell r="AH5846">
            <v>0</v>
          </cell>
          <cell r="AI5846">
            <v>0</v>
          </cell>
        </row>
        <row r="5847">
          <cell r="A5847">
            <v>900000000</v>
          </cell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R5847">
            <v>0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0</v>
          </cell>
          <cell r="AE5847">
            <v>0</v>
          </cell>
          <cell r="AF5847">
            <v>0</v>
          </cell>
          <cell r="AG5847">
            <v>0</v>
          </cell>
          <cell r="AH5847">
            <v>0</v>
          </cell>
          <cell r="AI5847">
            <v>0</v>
          </cell>
        </row>
        <row r="5848">
          <cell r="A5848">
            <v>900000001</v>
          </cell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  <cell r="AE5848">
            <v>0</v>
          </cell>
          <cell r="AF5848">
            <v>0</v>
          </cell>
          <cell r="AG5848">
            <v>0</v>
          </cell>
          <cell r="AH5848">
            <v>0</v>
          </cell>
          <cell r="AI5848">
            <v>0</v>
          </cell>
        </row>
        <row r="5849">
          <cell r="A5849">
            <v>900000002</v>
          </cell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R5849">
            <v>0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  <cell r="AE5849">
            <v>0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</row>
        <row r="5850">
          <cell r="A5850">
            <v>900000003</v>
          </cell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R5850">
            <v>0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  <cell r="AE5850">
            <v>0</v>
          </cell>
          <cell r="AF5850">
            <v>0</v>
          </cell>
          <cell r="AG5850">
            <v>0</v>
          </cell>
          <cell r="AH5850">
            <v>0</v>
          </cell>
          <cell r="AI5850">
            <v>0</v>
          </cell>
        </row>
        <row r="5851">
          <cell r="A5851">
            <v>900000004</v>
          </cell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R5851">
            <v>0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  <cell r="AE5851">
            <v>0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</row>
        <row r="5852">
          <cell r="A5852">
            <v>900000005</v>
          </cell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R5852">
            <v>0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0</v>
          </cell>
          <cell r="AE5852">
            <v>0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</row>
        <row r="5853">
          <cell r="A5853">
            <v>900000006</v>
          </cell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R5853">
            <v>0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0</v>
          </cell>
          <cell r="AD5853">
            <v>0</v>
          </cell>
          <cell r="AE5853">
            <v>0</v>
          </cell>
          <cell r="AF5853">
            <v>0</v>
          </cell>
          <cell r="AG5853">
            <v>0</v>
          </cell>
          <cell r="AH5853">
            <v>0</v>
          </cell>
          <cell r="AI5853">
            <v>0</v>
          </cell>
        </row>
        <row r="5854">
          <cell r="A5854">
            <v>900000007</v>
          </cell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R5854">
            <v>0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  <cell r="AE5854">
            <v>0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</row>
        <row r="5855">
          <cell r="A5855">
            <v>900000008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R5855">
            <v>0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0</v>
          </cell>
          <cell r="AE5855">
            <v>0</v>
          </cell>
          <cell r="AF5855">
            <v>0</v>
          </cell>
          <cell r="AG5855">
            <v>0</v>
          </cell>
          <cell r="AH5855">
            <v>0</v>
          </cell>
          <cell r="AI5855">
            <v>0</v>
          </cell>
        </row>
        <row r="5856">
          <cell r="A5856">
            <v>900000009</v>
          </cell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R5856">
            <v>0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  <cell r="AE5856">
            <v>0</v>
          </cell>
          <cell r="AF5856">
            <v>0</v>
          </cell>
          <cell r="AG5856">
            <v>0</v>
          </cell>
          <cell r="AH5856">
            <v>0</v>
          </cell>
          <cell r="AI5856">
            <v>0</v>
          </cell>
        </row>
        <row r="5857">
          <cell r="A5857">
            <v>900000010</v>
          </cell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R5857">
            <v>0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  <cell r="AE5857">
            <v>0</v>
          </cell>
          <cell r="AF5857">
            <v>0</v>
          </cell>
          <cell r="AG5857">
            <v>0</v>
          </cell>
          <cell r="AH5857">
            <v>0</v>
          </cell>
          <cell r="AI5857">
            <v>0</v>
          </cell>
        </row>
        <row r="5858">
          <cell r="A5858">
            <v>900000011</v>
          </cell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R5858">
            <v>0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  <cell r="AE5858">
            <v>0</v>
          </cell>
          <cell r="AF5858">
            <v>0</v>
          </cell>
          <cell r="AG5858">
            <v>0</v>
          </cell>
          <cell r="AH5858">
            <v>0</v>
          </cell>
          <cell r="AI5858">
            <v>0</v>
          </cell>
        </row>
        <row r="5859">
          <cell r="A5859">
            <v>900000012</v>
          </cell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  <cell r="AE5859">
            <v>0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</row>
        <row r="5860">
          <cell r="A5860">
            <v>900000013</v>
          </cell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R5860">
            <v>0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  <cell r="AE5860">
            <v>0</v>
          </cell>
          <cell r="AF5860">
            <v>0</v>
          </cell>
          <cell r="AG5860">
            <v>0</v>
          </cell>
          <cell r="AH5860">
            <v>0</v>
          </cell>
          <cell r="AI5860">
            <v>0</v>
          </cell>
        </row>
        <row r="5861">
          <cell r="A5861">
            <v>900000014</v>
          </cell>
          <cell r="C5861">
            <v>0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R5861">
            <v>0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  <cell r="AE5861">
            <v>0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</row>
        <row r="5862">
          <cell r="A5862">
            <v>900000015</v>
          </cell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  <cell r="AE5862">
            <v>0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</row>
        <row r="5863">
          <cell r="A5863">
            <v>900000016</v>
          </cell>
          <cell r="C5863">
            <v>0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R5863">
            <v>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  <cell r="AE5863">
            <v>0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</row>
        <row r="5864">
          <cell r="A5864">
            <v>900000017</v>
          </cell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G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R5864">
            <v>0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0</v>
          </cell>
          <cell r="AE5864">
            <v>0</v>
          </cell>
          <cell r="AF5864">
            <v>0</v>
          </cell>
          <cell r="AG5864">
            <v>0</v>
          </cell>
          <cell r="AH5864">
            <v>0</v>
          </cell>
          <cell r="AI5864">
            <v>0</v>
          </cell>
        </row>
        <row r="5865">
          <cell r="A5865">
            <v>900000018</v>
          </cell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R5865">
            <v>0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0</v>
          </cell>
          <cell r="AE5865">
            <v>0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</row>
        <row r="5866">
          <cell r="A5866">
            <v>900000019</v>
          </cell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R5866">
            <v>0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  <cell r="AE5866">
            <v>0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</row>
        <row r="5867">
          <cell r="A5867">
            <v>900000020</v>
          </cell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  <cell r="AE5867">
            <v>0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</row>
        <row r="5868">
          <cell r="A5868">
            <v>900000021</v>
          </cell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  <cell r="AE5868">
            <v>0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</row>
        <row r="5869">
          <cell r="A5869" t="str">
            <v>Total</v>
          </cell>
          <cell r="C5869">
            <v>267457690325580</v>
          </cell>
          <cell r="D5869">
            <v>95012335836800</v>
          </cell>
          <cell r="E5869">
            <v>71543824724860</v>
          </cell>
          <cell r="F5869">
            <v>35856442832930</v>
          </cell>
          <cell r="G5869">
            <v>45455222160570</v>
          </cell>
          <cell r="H5869">
            <v>164900491010870</v>
          </cell>
          <cell r="I5869">
            <v>78922011891570</v>
          </cell>
          <cell r="J5869">
            <v>4688069518580</v>
          </cell>
          <cell r="K5869">
            <v>15603180571660</v>
          </cell>
          <cell r="L5869">
            <v>17370687844220</v>
          </cell>
          <cell r="M5869">
            <v>3732886605780</v>
          </cell>
          <cell r="N5869">
            <v>24073652935440</v>
          </cell>
          <cell r="O5869">
            <v>75567474045710</v>
          </cell>
          <cell r="P5869">
            <v>22610271877430</v>
          </cell>
          <cell r="Q5869">
            <v>19502631755730</v>
          </cell>
          <cell r="R5869">
            <v>55703994614210</v>
          </cell>
          <cell r="S5869">
            <v>1176669319320</v>
          </cell>
          <cell r="T5869">
            <v>75586911126920</v>
          </cell>
          <cell r="U5869">
            <v>95710009410</v>
          </cell>
          <cell r="V5869">
            <v>321756083320670</v>
          </cell>
          <cell r="W5869">
            <v>44208985913930</v>
          </cell>
          <cell r="X5869">
            <v>73172511610560</v>
          </cell>
          <cell r="Y5869">
            <v>8729271175800</v>
          </cell>
          <cell r="Z5869">
            <v>41408466528660</v>
          </cell>
          <cell r="AA5869">
            <v>11854665419840</v>
          </cell>
          <cell r="AB5869">
            <v>135219275371930</v>
          </cell>
          <cell r="AC5869">
            <v>207102942610</v>
          </cell>
          <cell r="AD5869">
            <v>77637733175360</v>
          </cell>
          <cell r="AE5869">
            <v>1077557184620640</v>
          </cell>
          <cell r="AF5869">
            <v>60945502931050</v>
          </cell>
          <cell r="AG5869">
            <v>20305191228600</v>
          </cell>
          <cell r="AH5869">
            <v>107063211764560</v>
          </cell>
          <cell r="AI5869">
            <v>9552641039350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">
          <cell r="B2" t="str">
            <v>El Comercio Paraguayo S.A. de Seguros</v>
          </cell>
        </row>
        <row r="3">
          <cell r="B3" t="str">
            <v>La Rural S.A de Seguros</v>
          </cell>
        </row>
        <row r="4">
          <cell r="B4" t="str">
            <v>La Paraguaya S.A de Seguros</v>
          </cell>
        </row>
        <row r="5">
          <cell r="B5" t="str">
            <v>Seguros Generales S. A (SEGESA)</v>
          </cell>
        </row>
        <row r="6">
          <cell r="B6" t="str">
            <v>Rumbos S.A de Seguros</v>
          </cell>
        </row>
        <row r="7">
          <cell r="B7" t="str">
            <v>La Consolidada S.A de Seguros</v>
          </cell>
        </row>
        <row r="8">
          <cell r="B8" t="str">
            <v>El Productor S.A de Seguros y Reaseguros</v>
          </cell>
        </row>
        <row r="9">
          <cell r="B9" t="str">
            <v>Atalaya S.A de Seguros Generales</v>
          </cell>
        </row>
        <row r="10">
          <cell r="B10" t="str">
            <v>La Independencia de Seguros S.A.</v>
          </cell>
        </row>
        <row r="11">
          <cell r="B11" t="str">
            <v>Patria S.A de Seguros y Reaseguros</v>
          </cell>
        </row>
        <row r="12">
          <cell r="B12" t="str">
            <v>Garantía S.A de Seguros y Reaseguros</v>
          </cell>
        </row>
        <row r="13">
          <cell r="B13" t="str">
            <v>Aseguradora Paraguaya S.A.</v>
          </cell>
        </row>
        <row r="14">
          <cell r="B14" t="str">
            <v>Fénix S.A de Seguros y Reaseguros</v>
          </cell>
        </row>
        <row r="15">
          <cell r="B15" t="str">
            <v>Central S.A de Seguros</v>
          </cell>
        </row>
        <row r="16">
          <cell r="B16" t="str">
            <v>Seguros Chaco S.A de Seguros y Reaseguros</v>
          </cell>
        </row>
        <row r="17">
          <cell r="B17" t="str">
            <v>El Sol Del Paraguay Compañía de Seguros y Reaseguros S.A.</v>
          </cell>
        </row>
        <row r="18">
          <cell r="B18" t="str">
            <v>Intercontinental de Seguros y Reaseguros S.A.</v>
          </cell>
        </row>
        <row r="19">
          <cell r="B19" t="str">
            <v>Seguridad S.A Compañía de Seguros</v>
          </cell>
        </row>
        <row r="20">
          <cell r="B20" t="str">
            <v>Universo de Seguros y Reaseguros S.A.</v>
          </cell>
        </row>
        <row r="21">
          <cell r="B21" t="str">
            <v>Aseguradora Yacyreta S.A de Seguros y Reaseguros</v>
          </cell>
        </row>
        <row r="22">
          <cell r="B22" t="str">
            <v>La Agricola S.A de Seguros y Reaseguros</v>
          </cell>
        </row>
        <row r="23">
          <cell r="B23" t="str">
            <v>Grupo General de Seguros y Reaseguros S.A.</v>
          </cell>
        </row>
        <row r="24">
          <cell r="B24" t="str">
            <v>Alfa S.A de Seguros y Reaseguros</v>
          </cell>
        </row>
        <row r="25">
          <cell r="B25" t="str">
            <v>Cenit de Seguros S.A.</v>
          </cell>
        </row>
        <row r="26">
          <cell r="B26" t="str">
            <v>La Meridional Paraguaya S.A de Seguros</v>
          </cell>
        </row>
        <row r="27">
          <cell r="B27" t="str">
            <v>Aseguradora Del Este S.A de Seguros y Reaseguros</v>
          </cell>
        </row>
        <row r="28">
          <cell r="B28" t="str">
            <v>Imperio S.A de Seguros y Reaseguros</v>
          </cell>
        </row>
        <row r="29">
          <cell r="B29" t="str">
            <v>Regional S.A de Seguros y Reaseguros</v>
          </cell>
        </row>
        <row r="30">
          <cell r="B30" t="str">
            <v>Mapfre Paraguay Compañía de Seguros S.A.</v>
          </cell>
        </row>
        <row r="31">
          <cell r="B31" t="str">
            <v>Aseguradora Tajy Propiedad Cooperativa S.A. de Seguros</v>
          </cell>
        </row>
        <row r="32">
          <cell r="B32" t="str">
            <v>Aseguradora del Sur S.A. Seguros Generales - ASUR</v>
          </cell>
        </row>
        <row r="33">
          <cell r="B33" t="str">
            <v>Panal Compañía De Seguros Generales S.A.</v>
          </cell>
        </row>
        <row r="34">
          <cell r="B34" t="str">
            <v>Sancor Seguros del Paraguay S.A.</v>
          </cell>
        </row>
      </sheetData>
      <sheetData sheetId="16"/>
      <sheetData sheetId="17"/>
      <sheetData sheetId="18"/>
      <sheetData sheetId="19"/>
    </sheetDataSet>
  </externalBook>
</externalLink>
</file>

<file path=xl/tables/table1.xml><?xml version="1.0" encoding="utf-8"?>
<table xmlns="http://schemas.openxmlformats.org/spreadsheetml/2006/main" id="1" name="Tabla101286409663" displayName="Tabla101286409663" ref="A39:Q73" totalsRowCount="1" headerRowDxfId="1442" dataDxfId="1440" totalsRowDxfId="1438" headerRowBorderDxfId="1441" tableBorderDxfId="1439" totalsRowBorderDxfId="1437">
  <sortState ref="A40:Q72">
    <sortCondition ref="A2:A34"/>
  </sortState>
  <tableColumns count="17">
    <tableColumn id="1" name="Nº" dataDxfId="1436" totalsRowDxfId="1435"/>
    <tableColumn id="2" name="COMPAÑÍAS" totalsRowLabel="TOTAL" dataDxfId="1434" totalsRowDxfId="1433">
      <calculatedColumnFormula>[1]Aseguradoras!B2</calculatedColumnFormula>
    </tableColumn>
    <tableColumn id="3" name="INCENDIOS" totalsRowFunction="sum" dataDxfId="1432" totalsRowDxfId="1431"/>
    <tableColumn id="4" name="TRANSPORTES" totalsRowFunction="sum" dataDxfId="1430" totalsRowDxfId="1429"/>
    <tableColumn id="5" name="ACCIDENTES PERSONALES" totalsRowFunction="sum" dataDxfId="1428" totalsRowDxfId="1427"/>
    <tableColumn id="6" name="AUTOMÓVILES" totalsRowFunction="sum" dataDxfId="1426" totalsRowDxfId="1425"/>
    <tableColumn id="7" name="ACCIDENTES A PASAJEROS" totalsRowFunction="sum" dataDxfId="1424" totalsRowDxfId="1423"/>
    <tableColumn id="8" name="ROBO Y ASALTO" totalsRowFunction="sum" dataDxfId="1422" totalsRowDxfId="1421"/>
    <tableColumn id="9" name="CRISTALES\, VIDRIOS Y ESPEJOS" totalsRowFunction="sum" dataDxfId="1420" totalsRowDxfId="1419"/>
    <tableColumn id="10" name="AGROPECUARIO" totalsRowFunction="sum" dataDxfId="1418" totalsRowDxfId="1417"/>
    <tableColumn id="11" name="RIESGOS VARIOS" totalsRowFunction="sum" dataDxfId="1416" totalsRowDxfId="1415"/>
    <tableColumn id="12" name="RESPONSABILIDAD CIVIL" totalsRowFunction="sum" dataDxfId="1414" totalsRowDxfId="1413"/>
    <tableColumn id="13" name="AERONAVEGACIÓN" totalsRowFunction="sum" dataDxfId="1412" totalsRowDxfId="1411"/>
    <tableColumn id="14" name="RIESGOS TÉCNICOS" totalsRowFunction="sum" dataDxfId="1410" totalsRowDxfId="1409"/>
    <tableColumn id="15" name="CAUCIÓN" totalsRowFunction="sum" dataDxfId="1408" totalsRowDxfId="1407"/>
    <tableColumn id="16" name="VIDA" totalsRowFunction="sum" dataDxfId="1406" totalsRowDxfId="1405"/>
    <tableColumn id="17" name="TOTAL" totalsRowFunction="sum" dataDxfId="1404" totalsRowDxfId="1403">
      <calculatedColumnFormula>SUM(C40:P40)</calculatedColumnFormula>
    </tableColumn>
  </tableColumns>
  <tableStyleInfo name="TableStyleMedium9" showFirstColumn="1" showLastColumn="1" showRowStripes="0" showColumnStripes="1"/>
</table>
</file>

<file path=xl/tables/table10.xml><?xml version="1.0" encoding="utf-8"?>
<table xmlns="http://schemas.openxmlformats.org/spreadsheetml/2006/main" id="10" name="Tabla101286409413415416417443483485487674" displayName="Tabla101286409413415416417443483485487674" ref="A524:Q558" totalsRowCount="1" headerRowDxfId="1084" dataDxfId="1082" totalsRowDxfId="1080" headerRowBorderDxfId="1083" tableBorderDxfId="1081" totalsRowBorderDxfId="1079">
  <sortState ref="A525:Q557">
    <sortCondition ref="A2:A34"/>
  </sortState>
  <tableColumns count="17">
    <tableColumn id="1" name="Nº" dataDxfId="1078" totalsRowDxfId="1077"/>
    <tableColumn id="2" name="COMPAÑÍAS" totalsRowLabel="TOTAL" dataDxfId="1076" totalsRowDxfId="1075">
      <calculatedColumnFormula>[1]Aseguradoras!B2</calculatedColumnFormula>
    </tableColumn>
    <tableColumn id="3" name="INCENDIOS" totalsRowFunction="sum" dataDxfId="1074" totalsRowDxfId="1073"/>
    <tableColumn id="4" name="TRANSPORTES" totalsRowFunction="sum" dataDxfId="1072" totalsRowDxfId="1071"/>
    <tableColumn id="5" name="ACCIDENTES PERSONALES" totalsRowFunction="sum" dataDxfId="1070" totalsRowDxfId="1069"/>
    <tableColumn id="6" name="AUTOMÓVILES" totalsRowFunction="sum" dataDxfId="1068" totalsRowDxfId="1067"/>
    <tableColumn id="7" name="ACCIDENTES A PASAJEROS" totalsRowFunction="sum" dataDxfId="1066" totalsRowDxfId="1065"/>
    <tableColumn id="8" name="ROBO Y ASALTO" totalsRowFunction="sum" dataDxfId="1064" totalsRowDxfId="1063"/>
    <tableColumn id="9" name="CRISTALES\, VIDRIOS Y ESPEJOS" totalsRowFunction="sum" dataDxfId="1062" totalsRowDxfId="1061"/>
    <tableColumn id="10" name="AGROPECUARIO" totalsRowFunction="sum" dataDxfId="1060" totalsRowDxfId="1059"/>
    <tableColumn id="11" name="RIESGOS VARIOS" totalsRowFunction="sum" dataDxfId="1058" totalsRowDxfId="1057"/>
    <tableColumn id="12" name="RESPONSABILIDAD CIVIL" totalsRowFunction="sum" dataDxfId="1056" totalsRowDxfId="1055"/>
    <tableColumn id="13" name="AERONAVEGACIÓN" totalsRowFunction="sum" dataDxfId="1054" totalsRowDxfId="1053"/>
    <tableColumn id="14" name="RIESGOS TÉCNICOS" totalsRowFunction="sum" dataDxfId="1052" totalsRowDxfId="1051"/>
    <tableColumn id="15" name="CAUCIÓN" totalsRowFunction="sum" dataDxfId="1050" totalsRowDxfId="1049"/>
    <tableColumn id="16" name="VIDA" totalsRowFunction="sum" dataDxfId="1048" totalsRowDxfId="1047"/>
    <tableColumn id="17" name="TOTAL" totalsRowFunction="sum" dataDxfId="1046" totalsRowDxfId="1045">
      <calculatedColumnFormula>SUM(C525:P525)</calculatedColumnFormula>
    </tableColumn>
  </tableColumns>
  <tableStyleInfo name="TableStyleMedium9" showFirstColumn="1" showLastColumn="1" showRowStripes="0" showColumnStripes="1"/>
</table>
</file>

<file path=xl/tables/table11.xml><?xml version="1.0" encoding="utf-8"?>
<table xmlns="http://schemas.openxmlformats.org/spreadsheetml/2006/main" id="11" name="Tabla101286409413415416417443483485487489675" displayName="Tabla101286409413415416417443483485487489675" ref="A561:Q595" totalsRowCount="1" headerRowDxfId="1044" dataDxfId="1042" totalsRowDxfId="1040" headerRowBorderDxfId="1043" tableBorderDxfId="1041" totalsRowBorderDxfId="1039">
  <sortState ref="A562:Q594">
    <sortCondition ref="A2:A34"/>
  </sortState>
  <tableColumns count="17">
    <tableColumn id="1" name="Nº" dataDxfId="1038" totalsRowDxfId="1037"/>
    <tableColumn id="2" name="COMPAÑÍAS" totalsRowLabel="TOTAL" dataDxfId="1036" totalsRowDxfId="1035">
      <calculatedColumnFormula>[1]Aseguradoras!B2</calculatedColumnFormula>
    </tableColumn>
    <tableColumn id="3" name="INCENDIOS" totalsRowFunction="sum" dataDxfId="1034" totalsRowDxfId="1033"/>
    <tableColumn id="4" name="TRANSPORTES" totalsRowFunction="sum" dataDxfId="1032" totalsRowDxfId="1031"/>
    <tableColumn id="5" name="ACCIDENTES PERSONALES" totalsRowFunction="sum" dataDxfId="1030" totalsRowDxfId="1029"/>
    <tableColumn id="6" name="AUTOMÓVILES" totalsRowFunction="sum" dataDxfId="1028" totalsRowDxfId="1027"/>
    <tableColumn id="7" name="ACCIDENTES A PASAJEROS" totalsRowFunction="sum" dataDxfId="1026" totalsRowDxfId="1025"/>
    <tableColumn id="8" name="ROBO Y ASALTO" totalsRowFunction="sum" dataDxfId="1024" totalsRowDxfId="1023"/>
    <tableColumn id="9" name="CRISTALES\, VIDRIOS Y ESPEJOS" totalsRowFunction="sum" dataDxfId="1022" totalsRowDxfId="1021"/>
    <tableColumn id="10" name="AGROPECUARIO" totalsRowFunction="sum" dataDxfId="1020" totalsRowDxfId="1019"/>
    <tableColumn id="11" name="RIESGOS VARIOS" totalsRowFunction="sum" dataDxfId="1018" totalsRowDxfId="1017"/>
    <tableColumn id="12" name="RESPONSABILIDAD CIVIL" totalsRowFunction="sum" dataDxfId="1016" totalsRowDxfId="1015"/>
    <tableColumn id="13" name="AERONAVEGACIÓN" totalsRowFunction="sum" dataDxfId="1014" totalsRowDxfId="1013"/>
    <tableColumn id="14" name="RIESGOS TÉCNICOS" totalsRowFunction="sum" dataDxfId="1012" totalsRowDxfId="1011"/>
    <tableColumn id="15" name="CAUCIÓN" totalsRowFunction="sum" dataDxfId="1010" totalsRowDxfId="1009"/>
    <tableColumn id="16" name="VIDA" totalsRowFunction="sum" dataDxfId="1008" totalsRowDxfId="1007"/>
    <tableColumn id="17" name="TOTAL" totalsRowFunction="sum" dataDxfId="1006" totalsRowDxfId="1005">
      <calculatedColumnFormula>SUM(C562:P562)</calculatedColumnFormula>
    </tableColumn>
  </tableColumns>
  <tableStyleInfo name="TableStyleMedium9" showFirstColumn="1" showLastColumn="1" showRowStripes="0" showColumnStripes="1"/>
</table>
</file>

<file path=xl/tables/table12.xml><?xml version="1.0" encoding="utf-8"?>
<table xmlns="http://schemas.openxmlformats.org/spreadsheetml/2006/main" id="12" name="Tabla101286409413415416417443483485487489491676" displayName="Tabla101286409413415416417443483485487489491676" ref="A598:Q632" totalsRowCount="1" headerRowDxfId="1004" dataDxfId="1002" totalsRowDxfId="1000" headerRowBorderDxfId="1003" tableBorderDxfId="1001" totalsRowBorderDxfId="999">
  <sortState ref="A599:Q631">
    <sortCondition ref="A2:A34"/>
  </sortState>
  <tableColumns count="17">
    <tableColumn id="1" name="Nº" dataDxfId="998" totalsRowDxfId="997"/>
    <tableColumn id="2" name="COMPAÑÍAS" totalsRowLabel="TOTAL" dataDxfId="996" totalsRowDxfId="995">
      <calculatedColumnFormula>[1]Aseguradoras!B2</calculatedColumnFormula>
    </tableColumn>
    <tableColumn id="3" name="INCENDIOS" totalsRowFunction="sum" dataDxfId="994" totalsRowDxfId="993"/>
    <tableColumn id="4" name="TRANSPORTES" totalsRowFunction="sum" dataDxfId="992" totalsRowDxfId="991"/>
    <tableColumn id="5" name="ACCIDENTES PERSONALES" totalsRowFunction="sum" dataDxfId="990" totalsRowDxfId="989"/>
    <tableColumn id="6" name="AUTOMÓVILES" totalsRowFunction="sum" dataDxfId="988" totalsRowDxfId="987"/>
    <tableColumn id="7" name="ACCIDENTES A PASAJEROS" totalsRowFunction="sum" dataDxfId="986" totalsRowDxfId="985"/>
    <tableColumn id="8" name="ROBO Y ASALTO" totalsRowFunction="sum" dataDxfId="984" totalsRowDxfId="983"/>
    <tableColumn id="9" name="CRISTALES\, VIDRIOS Y ESPEJOS" totalsRowFunction="sum" dataDxfId="982" totalsRowDxfId="981"/>
    <tableColumn id="10" name="AGROPECUARIO" totalsRowFunction="sum" dataDxfId="980" totalsRowDxfId="979"/>
    <tableColumn id="11" name="RIESGOS VARIOS" totalsRowFunction="sum" dataDxfId="978" totalsRowDxfId="977"/>
    <tableColumn id="12" name="RESPONSABILIDAD CIVIL" totalsRowFunction="sum" dataDxfId="976" totalsRowDxfId="975"/>
    <tableColumn id="13" name="AERONAVEGACIÓN" totalsRowFunction="sum" dataDxfId="974" totalsRowDxfId="973"/>
    <tableColumn id="14" name="RIESGOS TÉCNICOS" totalsRowFunction="sum" dataDxfId="972" totalsRowDxfId="971"/>
    <tableColumn id="15" name="CAUCIÓN" totalsRowFunction="sum" dataDxfId="970" totalsRowDxfId="969"/>
    <tableColumn id="16" name="VIDA" totalsRowFunction="sum" dataDxfId="968" totalsRowDxfId="967"/>
    <tableColumn id="17" name="TOTAL" totalsRowFunction="sum" dataDxfId="966" totalsRowDxfId="965">
      <calculatedColumnFormula>SUM(C599:P599)</calculatedColumnFormula>
    </tableColumn>
  </tableColumns>
  <tableStyleInfo name="TableStyleMedium9" showFirstColumn="1" showLastColumn="1" showRowStripes="0" showColumnStripes="1"/>
</table>
</file>

<file path=xl/tables/table13.xml><?xml version="1.0" encoding="utf-8"?>
<table xmlns="http://schemas.openxmlformats.org/spreadsheetml/2006/main" id="13" name="Tabla101286409413415416417443483485487489493677" displayName="Tabla101286409413415416417443483485487489493677" ref="A635:Q669" totalsRowCount="1" headerRowDxfId="964" dataDxfId="962" totalsRowDxfId="960" headerRowBorderDxfId="963" tableBorderDxfId="961" totalsRowBorderDxfId="959">
  <sortState ref="A636:Q668">
    <sortCondition ref="A2:A34"/>
  </sortState>
  <tableColumns count="17">
    <tableColumn id="1" name="Nº" dataDxfId="958" totalsRowDxfId="957"/>
    <tableColumn id="2" name="COMPAÑÍAS" totalsRowLabel="TOTAL" dataDxfId="956" totalsRowDxfId="955">
      <calculatedColumnFormula>[1]Aseguradoras!B2</calculatedColumnFormula>
    </tableColumn>
    <tableColumn id="3" name="INCENDIOS" totalsRowFunction="sum" dataDxfId="954" totalsRowDxfId="953"/>
    <tableColumn id="4" name="TRANSPORTES" totalsRowFunction="sum" dataDxfId="952" totalsRowDxfId="951"/>
    <tableColumn id="5" name="ACCIDENTES PERSONALES" totalsRowFunction="sum" dataDxfId="950" totalsRowDxfId="949"/>
    <tableColumn id="6" name="AUTOMÓVILES" totalsRowFunction="sum" dataDxfId="948" totalsRowDxfId="947"/>
    <tableColumn id="7" name="ACCIDENTES A PASAJEROS" totalsRowFunction="sum" dataDxfId="946" totalsRowDxfId="945"/>
    <tableColumn id="8" name="ROBO Y ASALTO" totalsRowFunction="sum" dataDxfId="944" totalsRowDxfId="943"/>
    <tableColumn id="9" name="CRISTALES\, VIDRIOS Y ESPEJOS" totalsRowFunction="sum" dataDxfId="942" totalsRowDxfId="941"/>
    <tableColumn id="10" name="AGROPECUARIO" totalsRowFunction="sum" dataDxfId="940" totalsRowDxfId="939"/>
    <tableColumn id="11" name="RIESGOS VARIOS" totalsRowFunction="sum" dataDxfId="938" totalsRowDxfId="937"/>
    <tableColumn id="12" name="RESPONSABILIDAD CIVIL" totalsRowFunction="sum" dataDxfId="936" totalsRowDxfId="935"/>
    <tableColumn id="13" name="AERONAVEGACIÓN" totalsRowFunction="sum" dataDxfId="934" totalsRowDxfId="933"/>
    <tableColumn id="14" name="RIESGOS TÉCNICOS" totalsRowFunction="sum" dataDxfId="932" totalsRowDxfId="931"/>
    <tableColumn id="15" name="CAUCIÓN" totalsRowFunction="sum" dataDxfId="930" totalsRowDxfId="929"/>
    <tableColumn id="16" name="VIDA" totalsRowFunction="sum" dataDxfId="928" totalsRowDxfId="927"/>
    <tableColumn id="17" name="TOTAL" totalsRowFunction="sum" dataDxfId="926" totalsRowDxfId="925">
      <calculatedColumnFormula>SUM(C636:P636)</calculatedColumnFormula>
    </tableColumn>
  </tableColumns>
  <tableStyleInfo name="TableStyleMedium9" showFirstColumn="1" showLastColumn="1" showRowStripes="0" showColumnStripes="1"/>
</table>
</file>

<file path=xl/tables/table14.xml><?xml version="1.0" encoding="utf-8"?>
<table xmlns="http://schemas.openxmlformats.org/spreadsheetml/2006/main" id="14" name="Tabla101286409413415416417443483485487489493495678" displayName="Tabla101286409413415416417443483485487489493495678" ref="A672:Q706" totalsRowCount="1" headerRowDxfId="924" dataDxfId="922" totalsRowDxfId="920" headerRowBorderDxfId="923" tableBorderDxfId="921" totalsRowBorderDxfId="919">
  <sortState ref="A673:Q705">
    <sortCondition ref="A2:A34"/>
  </sortState>
  <tableColumns count="17">
    <tableColumn id="1" name="Nº" dataDxfId="918" totalsRowDxfId="917"/>
    <tableColumn id="2" name="COMPAÑÍAS" totalsRowLabel="TOTAL" dataDxfId="916" totalsRowDxfId="915">
      <calculatedColumnFormula>[1]Aseguradoras!B2</calculatedColumnFormula>
    </tableColumn>
    <tableColumn id="3" name="INCENDIOS" totalsRowFunction="sum" dataDxfId="914" totalsRowDxfId="913"/>
    <tableColumn id="4" name="TRANSPORTES" totalsRowFunction="sum" dataDxfId="912" totalsRowDxfId="911"/>
    <tableColumn id="5" name="ACCIDENTES PERSONALES" totalsRowFunction="sum" dataDxfId="910" totalsRowDxfId="909"/>
    <tableColumn id="6" name="AUTOMÓVILES" totalsRowFunction="sum" dataDxfId="908" totalsRowDxfId="907"/>
    <tableColumn id="7" name="ACCIDENTES A PASAJEROS" totalsRowFunction="sum" dataDxfId="906" totalsRowDxfId="905"/>
    <tableColumn id="8" name="ROBO Y ASALTO" totalsRowFunction="sum" dataDxfId="904" totalsRowDxfId="903"/>
    <tableColumn id="9" name="CRISTALES\, VIDRIOS Y ESPEJOS" totalsRowFunction="sum" dataDxfId="902" totalsRowDxfId="901"/>
    <tableColumn id="10" name="AGROPECUARIO" totalsRowFunction="sum" dataDxfId="900" totalsRowDxfId="899"/>
    <tableColumn id="11" name="RIESGOS VARIOS" totalsRowFunction="sum" dataDxfId="898" totalsRowDxfId="897"/>
    <tableColumn id="12" name="RESPONSABILIDAD CIVIL" totalsRowFunction="sum" dataDxfId="896" totalsRowDxfId="895"/>
    <tableColumn id="13" name="AERONAVEGACIÓN" totalsRowFunction="sum" dataDxfId="894" totalsRowDxfId="893"/>
    <tableColumn id="14" name="RIESGOS TÉCNICOS" totalsRowFunction="sum" dataDxfId="892" totalsRowDxfId="891"/>
    <tableColumn id="15" name="CAUCIÓN" totalsRowFunction="sum" dataDxfId="890" totalsRowDxfId="889"/>
    <tableColumn id="16" name="VIDA" totalsRowFunction="sum" dataDxfId="888" totalsRowDxfId="887"/>
    <tableColumn id="17" name="TOTAL" totalsRowFunction="sum" dataDxfId="886" totalsRowDxfId="885">
      <calculatedColumnFormula>SUM(C673:P673)</calculatedColumnFormula>
    </tableColumn>
  </tableColumns>
  <tableStyleInfo name="TableStyleMedium9" showFirstColumn="1" showLastColumn="1" showRowStripes="0" showColumnStripes="1"/>
</table>
</file>

<file path=xl/tables/table15.xml><?xml version="1.0" encoding="utf-8"?>
<table xmlns="http://schemas.openxmlformats.org/spreadsheetml/2006/main" id="15" name="Tabla101286409413415416417443483485487489493497679" displayName="Tabla101286409413415416417443483485487489493497679" ref="A709:Q743" totalsRowCount="1" headerRowDxfId="884" dataDxfId="882" totalsRowDxfId="880" headerRowBorderDxfId="883" tableBorderDxfId="881" totalsRowBorderDxfId="879">
  <sortState ref="A710:Q742">
    <sortCondition ref="A2:A34"/>
  </sortState>
  <tableColumns count="17">
    <tableColumn id="1" name="Nº" dataDxfId="878" totalsRowDxfId="877"/>
    <tableColumn id="2" name="COMPAÑÍAS" totalsRowLabel="TOTAL" dataDxfId="876" totalsRowDxfId="875">
      <calculatedColumnFormula>[1]Aseguradoras!B2</calculatedColumnFormula>
    </tableColumn>
    <tableColumn id="3" name="INCENDIOS" totalsRowFunction="sum" dataDxfId="874" totalsRowDxfId="873"/>
    <tableColumn id="4" name="TRANSPORTES" totalsRowFunction="sum" dataDxfId="872" totalsRowDxfId="871"/>
    <tableColumn id="5" name="ACCIDENTES PERSONALES" totalsRowFunction="sum" dataDxfId="870" totalsRowDxfId="869"/>
    <tableColumn id="6" name="AUTOMÓVILES" totalsRowFunction="sum" dataDxfId="868" totalsRowDxfId="867"/>
    <tableColumn id="7" name="ACCIDENTES A PASAJEROS" totalsRowFunction="sum" dataDxfId="866" totalsRowDxfId="865"/>
    <tableColumn id="8" name="ROBO Y ASALTO" totalsRowFunction="sum" dataDxfId="864" totalsRowDxfId="863"/>
    <tableColumn id="9" name="CRISTALES\, VIDRIOS Y ESPEJOS" totalsRowFunction="sum" dataDxfId="862" totalsRowDxfId="861"/>
    <tableColumn id="10" name="AGROPECUARIO" totalsRowFunction="sum" dataDxfId="860" totalsRowDxfId="859"/>
    <tableColumn id="11" name="RIESGOS VARIOS" totalsRowFunction="sum" dataDxfId="858" totalsRowDxfId="857"/>
    <tableColumn id="12" name="RESPONSABILIDAD CIVIL" totalsRowFunction="sum" dataDxfId="856" totalsRowDxfId="855"/>
    <tableColumn id="13" name="AERONAVEGACIÓN" totalsRowFunction="sum" dataDxfId="854" totalsRowDxfId="853"/>
    <tableColumn id="14" name="RIESGOS TÉCNICOS" totalsRowFunction="sum" dataDxfId="852" totalsRowDxfId="851"/>
    <tableColumn id="15" name="CAUCIÓN" totalsRowFunction="sum" dataDxfId="850" totalsRowDxfId="849"/>
    <tableColumn id="16" name="VIDA" totalsRowFunction="sum" dataDxfId="848" totalsRowDxfId="847"/>
    <tableColumn id="17" name="TOTAL" totalsRowFunction="sum" dataDxfId="846" totalsRowDxfId="845">
      <calculatedColumnFormula>SUM(C710:P710)</calculatedColumnFormula>
    </tableColumn>
  </tableColumns>
  <tableStyleInfo name="TableStyleMedium9" showFirstColumn="1" showLastColumn="1" showRowStripes="0" showColumnStripes="1"/>
</table>
</file>

<file path=xl/tables/table16.xml><?xml version="1.0" encoding="utf-8"?>
<table xmlns="http://schemas.openxmlformats.org/spreadsheetml/2006/main" id="16" name="Tabla101286409413415416417443483485487489493497499680" displayName="Tabla101286409413415416417443483485487489493497499680" ref="A746:Q780" totalsRowCount="1" headerRowDxfId="844" dataDxfId="842" totalsRowDxfId="840" headerRowBorderDxfId="843" tableBorderDxfId="841" totalsRowBorderDxfId="839">
  <sortState ref="A747:Q779">
    <sortCondition ref="A2:A34"/>
  </sortState>
  <tableColumns count="17">
    <tableColumn id="1" name="Nº" dataDxfId="838" totalsRowDxfId="837"/>
    <tableColumn id="2" name="COMPAÑÍAS" totalsRowLabel="TOTAL" dataDxfId="836" totalsRowDxfId="835">
      <calculatedColumnFormula>[1]Aseguradoras!B2</calculatedColumnFormula>
    </tableColumn>
    <tableColumn id="3" name="INCENDIOS" totalsRowFunction="sum" dataDxfId="834" totalsRowDxfId="833"/>
    <tableColumn id="4" name="TRANSPORTES" totalsRowFunction="sum" dataDxfId="832" totalsRowDxfId="831"/>
    <tableColumn id="5" name="ACCIDENTES PERSONALES" totalsRowFunction="sum" dataDxfId="830" totalsRowDxfId="829"/>
    <tableColumn id="6" name="AUTOMÓVILES" totalsRowFunction="sum" dataDxfId="828" totalsRowDxfId="827"/>
    <tableColumn id="7" name="ACCIDENTES A PASAJEROS" totalsRowFunction="sum" dataDxfId="826" totalsRowDxfId="825"/>
    <tableColumn id="8" name="ROBO Y ASALTO" totalsRowFunction="sum" dataDxfId="824" totalsRowDxfId="823"/>
    <tableColumn id="9" name="CRISTALES\, VIDRIOS Y ESPEJOS" totalsRowFunction="sum" dataDxfId="822" totalsRowDxfId="821"/>
    <tableColumn id="10" name="AGROPECUARIO" totalsRowFunction="sum" dataDxfId="820" totalsRowDxfId="819"/>
    <tableColumn id="11" name="RIESGOS VARIOS" totalsRowFunction="sum" dataDxfId="818" totalsRowDxfId="817"/>
    <tableColumn id="12" name="RESPONSABILIDAD CIVIL" totalsRowFunction="sum" dataDxfId="816" totalsRowDxfId="815"/>
    <tableColumn id="13" name="AERONAVEGACIÓN" totalsRowFunction="sum" dataDxfId="814" totalsRowDxfId="813"/>
    <tableColumn id="14" name="RIESGOS TÉCNICOS" totalsRowFunction="sum" dataDxfId="812" totalsRowDxfId="811"/>
    <tableColumn id="15" name="CAUCIÓN" totalsRowFunction="sum" dataDxfId="810" totalsRowDxfId="809"/>
    <tableColumn id="16" name="VIDA" totalsRowFunction="sum" dataDxfId="808" totalsRowDxfId="807"/>
    <tableColumn id="17" name="TOTAL" totalsRowFunction="sum" dataDxfId="806" totalsRowDxfId="805">
      <calculatedColumnFormula>SUM(C747:P747)</calculatedColumnFormula>
    </tableColumn>
  </tableColumns>
  <tableStyleInfo name="TableStyleMedium9" showFirstColumn="1" showLastColumn="1" showRowStripes="0" showColumnStripes="1"/>
</table>
</file>

<file path=xl/tables/table17.xml><?xml version="1.0" encoding="utf-8"?>
<table xmlns="http://schemas.openxmlformats.org/spreadsheetml/2006/main" id="17" name="Tabla101286409413415416417443483485487489493497501681" displayName="Tabla101286409413415416417443483485487489493497501681" ref="A783:Q817" totalsRowCount="1" headerRowDxfId="804" dataDxfId="802" totalsRowDxfId="800" headerRowBorderDxfId="803" tableBorderDxfId="801" totalsRowBorderDxfId="799">
  <sortState ref="A784:Q816">
    <sortCondition ref="A2:A34"/>
  </sortState>
  <tableColumns count="17">
    <tableColumn id="1" name="Nº" dataDxfId="798" totalsRowDxfId="797"/>
    <tableColumn id="2" name="COMPAÑÍAS" totalsRowLabel="TOTAL" dataDxfId="796" totalsRowDxfId="795">
      <calculatedColumnFormula>[1]Aseguradoras!B2</calculatedColumnFormula>
    </tableColumn>
    <tableColumn id="3" name="INCENDIOS" totalsRowFunction="sum" dataDxfId="794" totalsRowDxfId="793"/>
    <tableColumn id="4" name="TRANSPORTES" totalsRowFunction="sum" dataDxfId="792" totalsRowDxfId="791"/>
    <tableColumn id="5" name="ACCIDENTES PERSONALES" totalsRowFunction="sum" dataDxfId="790" totalsRowDxfId="789"/>
    <tableColumn id="6" name="AUTOMÓVILES" totalsRowFunction="sum" dataDxfId="788" totalsRowDxfId="787"/>
    <tableColumn id="7" name="ACCIDENTES A PASAJEROS" totalsRowFunction="sum" dataDxfId="786" totalsRowDxfId="785"/>
    <tableColumn id="8" name="ROBO Y ASALTO" totalsRowFunction="sum" dataDxfId="784" totalsRowDxfId="783"/>
    <tableColumn id="9" name="CRISTALES\, VIDRIOS Y ESPEJOS" totalsRowFunction="sum" dataDxfId="782" totalsRowDxfId="781"/>
    <tableColumn id="10" name="AGROPECUARIO" totalsRowFunction="sum" dataDxfId="780" totalsRowDxfId="779"/>
    <tableColumn id="11" name="RIESGOS VARIOS" totalsRowFunction="sum" dataDxfId="778" totalsRowDxfId="777"/>
    <tableColumn id="12" name="RESPONSABILIDAD CIVIL" totalsRowFunction="sum" dataDxfId="776" totalsRowDxfId="775"/>
    <tableColumn id="13" name="AERONAVEGACIÓN" totalsRowFunction="sum" dataDxfId="774" totalsRowDxfId="773"/>
    <tableColumn id="14" name="RIESGOS TÉCNICOS" totalsRowFunction="sum" dataDxfId="772" totalsRowDxfId="771"/>
    <tableColumn id="15" name="CAUCIÓN" totalsRowFunction="sum" dataDxfId="770" totalsRowDxfId="769"/>
    <tableColumn id="16" name="VIDA" totalsRowFunction="sum" dataDxfId="768" totalsRowDxfId="767"/>
    <tableColumn id="17" name="TOTAL" totalsRowFunction="sum" dataDxfId="766" totalsRowDxfId="765">
      <calculatedColumnFormula>SUM(C784:P784)</calculatedColumnFormula>
    </tableColumn>
  </tableColumns>
  <tableStyleInfo name="TableStyleMedium9" showFirstColumn="1" showLastColumn="1" showRowStripes="0" showColumnStripes="1"/>
</table>
</file>

<file path=xl/tables/table18.xml><?xml version="1.0" encoding="utf-8"?>
<table xmlns="http://schemas.openxmlformats.org/spreadsheetml/2006/main" id="18" name="Tabla101286409413415416417443483485487489493497501503682" displayName="Tabla101286409413415416417443483485487489493497501503682" ref="A820:Q854" totalsRowCount="1" headerRowDxfId="764" dataDxfId="762" totalsRowDxfId="760" headerRowBorderDxfId="763" tableBorderDxfId="761" totalsRowBorderDxfId="759">
  <sortState ref="A821:Q853">
    <sortCondition ref="A2:A34"/>
  </sortState>
  <tableColumns count="17">
    <tableColumn id="1" name="Nº" dataDxfId="758" totalsRowDxfId="757"/>
    <tableColumn id="2" name="COMPAÑÍAS" totalsRowLabel="TOTAL" dataDxfId="756" totalsRowDxfId="755">
      <calculatedColumnFormula>[1]Aseguradoras!B2</calculatedColumnFormula>
    </tableColumn>
    <tableColumn id="3" name="INCENDIOS" totalsRowFunction="sum" dataDxfId="754" totalsRowDxfId="753"/>
    <tableColumn id="4" name="TRANSPORTES" totalsRowFunction="sum" dataDxfId="752" totalsRowDxfId="751"/>
    <tableColumn id="5" name="ACCIDENTES PERSONALES" totalsRowFunction="sum" dataDxfId="750" totalsRowDxfId="749"/>
    <tableColumn id="6" name="AUTOMÓVILES" totalsRowFunction="sum" dataDxfId="748" totalsRowDxfId="747"/>
    <tableColumn id="7" name="ACCIDENTES A PASAJEROS" totalsRowFunction="sum" dataDxfId="746" totalsRowDxfId="745"/>
    <tableColumn id="8" name="ROBO Y ASALTO" totalsRowFunction="sum" dataDxfId="744" totalsRowDxfId="743"/>
    <tableColumn id="9" name="CRISTALES\, VIDRIOS Y ESPEJOS" totalsRowFunction="sum" dataDxfId="742" totalsRowDxfId="741"/>
    <tableColumn id="10" name="AGROPECUARIO" totalsRowFunction="sum" dataDxfId="740" totalsRowDxfId="739"/>
    <tableColumn id="11" name="RIESGOS VARIOS" totalsRowFunction="sum" dataDxfId="738" totalsRowDxfId="737"/>
    <tableColumn id="12" name="RESPONSABILIDAD CIVIL" totalsRowFunction="sum" dataDxfId="736" totalsRowDxfId="735"/>
    <tableColumn id="13" name="AERONAVEGACIÓN" totalsRowFunction="sum" dataDxfId="734" totalsRowDxfId="733"/>
    <tableColumn id="14" name="RIESGOS TÉCNICOS" totalsRowFunction="sum" dataDxfId="732" totalsRowDxfId="731"/>
    <tableColumn id="15" name="CAUCIÓN" totalsRowFunction="sum" dataDxfId="730" totalsRowDxfId="729"/>
    <tableColumn id="16" name="VIDA" totalsRowFunction="sum" dataDxfId="728" totalsRowDxfId="727"/>
    <tableColumn id="17" name="TOTAL" totalsRowFunction="sum" dataDxfId="726" totalsRowDxfId="725">
      <calculatedColumnFormula>SUM(C821:P821)</calculatedColumnFormula>
    </tableColumn>
  </tableColumns>
  <tableStyleInfo name="TableStyleMedium9" showFirstColumn="1" showLastColumn="1" showRowStripes="0" showColumnStripes="1"/>
</table>
</file>

<file path=xl/tables/table19.xml><?xml version="1.0" encoding="utf-8"?>
<table xmlns="http://schemas.openxmlformats.org/spreadsheetml/2006/main" id="19" name="Tabla101286409413415416417443483485487489493497501503504683" displayName="Tabla101286409413415416417443483485487489493497501503504683" ref="A857:Q891" totalsRowCount="1" headerRowDxfId="724" dataDxfId="722" totalsRowDxfId="720" headerRowBorderDxfId="723" tableBorderDxfId="721" totalsRowBorderDxfId="719">
  <sortState ref="A858:Q890">
    <sortCondition ref="A2:A34"/>
  </sortState>
  <tableColumns count="17">
    <tableColumn id="1" name="Nº" dataDxfId="718" totalsRowDxfId="717"/>
    <tableColumn id="2" name="COMPAÑÍAS" totalsRowLabel="TOTAL" dataDxfId="716" totalsRowDxfId="715">
      <calculatedColumnFormula>[1]Aseguradoras!B2</calculatedColumnFormula>
    </tableColumn>
    <tableColumn id="3" name="INCENDIOS" totalsRowFunction="sum" dataDxfId="714" totalsRowDxfId="713"/>
    <tableColumn id="4" name="TRANSPORTES" totalsRowFunction="sum" dataDxfId="712" totalsRowDxfId="711"/>
    <tableColumn id="5" name="ACCIDENTES PERSONALES" totalsRowFunction="sum" dataDxfId="710" totalsRowDxfId="709"/>
    <tableColumn id="6" name="AUTOMÓVILES" totalsRowFunction="sum" dataDxfId="708" totalsRowDxfId="707"/>
    <tableColumn id="7" name="ACCIDENTES A PASAJEROS" totalsRowFunction="sum" dataDxfId="706" totalsRowDxfId="705"/>
    <tableColumn id="8" name="ROBO Y ASALTO" totalsRowFunction="sum" dataDxfId="704" totalsRowDxfId="703"/>
    <tableColumn id="9" name="CRISTALES\, VIDRIOS Y ESPEJOS" totalsRowFunction="sum" dataDxfId="702" totalsRowDxfId="701"/>
    <tableColumn id="10" name="AGROPECUARIO" totalsRowFunction="sum" dataDxfId="700" totalsRowDxfId="699"/>
    <tableColumn id="11" name="RIESGOS VARIOS" totalsRowFunction="sum" dataDxfId="698" totalsRowDxfId="697"/>
    <tableColumn id="12" name="RESPONSABILIDAD CIVIL" totalsRowFunction="sum" dataDxfId="696" totalsRowDxfId="695"/>
    <tableColumn id="13" name="AERONAVEGACIÓN" totalsRowFunction="sum" dataDxfId="694" totalsRowDxfId="693"/>
    <tableColumn id="14" name="RIESGOS TÉCNICOS" totalsRowFunction="sum" dataDxfId="692" totalsRowDxfId="691"/>
    <tableColumn id="15" name="CAUCIÓN" totalsRowFunction="sum" dataDxfId="690" totalsRowDxfId="689"/>
    <tableColumn id="16" name="VIDA" totalsRowFunction="sum" dataDxfId="688" totalsRowDxfId="687"/>
    <tableColumn id="17" name="TOTAL" totalsRowFunction="sum" dataDxfId="686" totalsRowDxfId="685">
      <calculatedColumnFormula>SUM(C858:P858)</calculatedColumnFormula>
    </tableColumn>
  </tableColumns>
  <tableStyleInfo name="TableStyleMedium9" showFirstColumn="1" showLastColumn="1" showRowStripes="0" showColumnStripes="1"/>
</table>
</file>

<file path=xl/tables/table2.xml><?xml version="1.0" encoding="utf-8"?>
<table xmlns="http://schemas.openxmlformats.org/spreadsheetml/2006/main" id="2" name="Tabla101286409410664" displayName="Tabla101286409410664" ref="A76:Q110" totalsRowCount="1" headerRowDxfId="1402" dataDxfId="1400" totalsRowDxfId="1398" headerRowBorderDxfId="1401" tableBorderDxfId="1399" totalsRowBorderDxfId="1397">
  <sortState ref="A77:Q109">
    <sortCondition ref="A2:A34"/>
  </sortState>
  <tableColumns count="17">
    <tableColumn id="1" name="Nº" dataDxfId="1396" totalsRowDxfId="1395"/>
    <tableColumn id="2" name="COMPAÑÍAS" totalsRowLabel="TOTAL" dataDxfId="1394" totalsRowDxfId="1393">
      <calculatedColumnFormula>[1]Aseguradoras!B2</calculatedColumnFormula>
    </tableColumn>
    <tableColumn id="3" name="INCENDIOS" totalsRowFunction="sum" dataDxfId="1392" totalsRowDxfId="1391"/>
    <tableColumn id="4" name="TRANSPORTES" totalsRowFunction="sum" dataDxfId="1390" totalsRowDxfId="1389"/>
    <tableColumn id="5" name="ACCIDENTES PERSONALES" totalsRowFunction="sum" dataDxfId="1388" totalsRowDxfId="1387"/>
    <tableColumn id="6" name="AUTOMÓVILES" totalsRowFunction="sum" dataDxfId="1386" totalsRowDxfId="1385"/>
    <tableColumn id="7" name="ACCIDENTES A PASAJEROS" totalsRowFunction="sum" dataDxfId="1384" totalsRowDxfId="1383"/>
    <tableColumn id="8" name="ROBO Y ASALTO" totalsRowFunction="sum" dataDxfId="1382" totalsRowDxfId="1381"/>
    <tableColumn id="9" name="CRISTALES\, VIDRIOS Y ESPEJOS" totalsRowFunction="sum" dataDxfId="1380" totalsRowDxfId="1379"/>
    <tableColumn id="10" name="AGROPECUARIO" totalsRowFunction="sum" dataDxfId="1378" totalsRowDxfId="1377"/>
    <tableColumn id="11" name="RIESGOS VARIOS" totalsRowFunction="sum" dataDxfId="1376" totalsRowDxfId="1375"/>
    <tableColumn id="12" name="RESPONSABILIDAD CIVIL" totalsRowFunction="sum" dataDxfId="1374" totalsRowDxfId="1373"/>
    <tableColumn id="13" name="AERONAVEGACIÓN" totalsRowFunction="sum" dataDxfId="1372" totalsRowDxfId="1371"/>
    <tableColumn id="14" name="RIESGOS TÉCNICOS" totalsRowFunction="sum" dataDxfId="1370" totalsRowDxfId="1369"/>
    <tableColumn id="15" name="CAUCIÓN" totalsRowFunction="sum" dataDxfId="1368" totalsRowDxfId="1367"/>
    <tableColumn id="16" name="VIDA" totalsRowFunction="sum" dataDxfId="1366" totalsRowDxfId="1365"/>
    <tableColumn id="17" name="TOTAL" totalsRowFunction="sum" dataDxfId="1364" totalsRowDxfId="1363">
      <calculatedColumnFormula>SUM(C77:P77)</calculatedColumnFormula>
    </tableColumn>
  </tableColumns>
  <tableStyleInfo name="TableStyleMedium9" showFirstColumn="1" showLastColumn="1" showRowStripes="0" showColumnStripes="1"/>
</table>
</file>

<file path=xl/tables/table20.xml><?xml version="1.0" encoding="utf-8"?>
<table xmlns="http://schemas.openxmlformats.org/spreadsheetml/2006/main" id="20" name="Tabla101286409413415416417443483485487489493497501503505684" displayName="Tabla101286409413415416417443483485487489493497501503505684" ref="A894:Q928" totalsRowCount="1" headerRowDxfId="684" dataDxfId="682" totalsRowDxfId="680" headerRowBorderDxfId="683" tableBorderDxfId="681" totalsRowBorderDxfId="679">
  <sortState ref="A895:Q927">
    <sortCondition ref="A2:A34"/>
  </sortState>
  <tableColumns count="17">
    <tableColumn id="1" name="Nº" dataDxfId="678" totalsRowDxfId="677"/>
    <tableColumn id="2" name="COMPAÑÍAS" totalsRowLabel="TOTAL" dataDxfId="676" totalsRowDxfId="675">
      <calculatedColumnFormula>[1]Aseguradoras!B2</calculatedColumnFormula>
    </tableColumn>
    <tableColumn id="3" name="INCENDIOS" totalsRowFunction="sum" dataDxfId="674" totalsRowDxfId="673"/>
    <tableColumn id="4" name="TRANSPORTES" totalsRowFunction="sum" dataDxfId="672" totalsRowDxfId="671"/>
    <tableColumn id="5" name="ACCIDENTES PERSONALES" totalsRowFunction="sum" dataDxfId="670" totalsRowDxfId="669"/>
    <tableColumn id="6" name="AUTOMÓVILES" totalsRowFunction="sum" dataDxfId="668" totalsRowDxfId="667"/>
    <tableColumn id="7" name="ACCIDENTES A PASAJEROS" totalsRowFunction="sum" dataDxfId="666" totalsRowDxfId="665"/>
    <tableColumn id="8" name="ROBO Y ASALTO" totalsRowFunction="sum" dataDxfId="664" totalsRowDxfId="663"/>
    <tableColumn id="9" name="CRISTALES\, VIDRIOS Y ESPEJOS" totalsRowFunction="sum" dataDxfId="662" totalsRowDxfId="661"/>
    <tableColumn id="10" name="AGROPECUARIO" totalsRowFunction="sum" dataDxfId="660" totalsRowDxfId="659"/>
    <tableColumn id="11" name="RIESGOS VARIOS" totalsRowFunction="sum" dataDxfId="658" totalsRowDxfId="657"/>
    <tableColumn id="12" name="RESPONSABILIDAD CIVIL" totalsRowFunction="sum" dataDxfId="656" totalsRowDxfId="655"/>
    <tableColumn id="13" name="AERONAVEGACIÓN" totalsRowFunction="sum" dataDxfId="654" totalsRowDxfId="653"/>
    <tableColumn id="14" name="RIESGOS TÉCNICOS" totalsRowFunction="sum" dataDxfId="652" totalsRowDxfId="651"/>
    <tableColumn id="15" name="CAUCIÓN" totalsRowFunction="sum" dataDxfId="650" totalsRowDxfId="649"/>
    <tableColumn id="16" name="VIDA" totalsRowFunction="sum" dataDxfId="648" totalsRowDxfId="647"/>
    <tableColumn id="17" name="TOTAL" totalsRowFunction="sum" dataDxfId="646" totalsRowDxfId="645">
      <calculatedColumnFormula>SUM(C895:P895)</calculatedColumnFormula>
    </tableColumn>
  </tableColumns>
  <tableStyleInfo name="TableStyleMedium9" showFirstColumn="1" showLastColumn="1" showRowStripes="0" showColumnStripes="1"/>
</table>
</file>

<file path=xl/tables/table21.xml><?xml version="1.0" encoding="utf-8"?>
<table xmlns="http://schemas.openxmlformats.org/spreadsheetml/2006/main" id="21" name="Tabla101286409413415416417443483485487489493497501503506685" displayName="Tabla101286409413415416417443483485487489493497501503506685" ref="A931:Q965" totalsRowCount="1" headerRowDxfId="644" dataDxfId="642" totalsRowDxfId="640" headerRowBorderDxfId="643" tableBorderDxfId="641" totalsRowBorderDxfId="639">
  <sortState ref="A932:Q964">
    <sortCondition ref="A2:A34"/>
  </sortState>
  <tableColumns count="17">
    <tableColumn id="1" name="Nº" dataDxfId="638" totalsRowDxfId="637"/>
    <tableColumn id="2" name="COMPAÑÍAS" totalsRowLabel="TOTAL" dataDxfId="636" totalsRowDxfId="635">
      <calculatedColumnFormula>[1]Aseguradoras!B2</calculatedColumnFormula>
    </tableColumn>
    <tableColumn id="3" name="INCENDIOS" totalsRowFunction="sum" dataDxfId="634" totalsRowDxfId="633"/>
    <tableColumn id="4" name="TRANSPORTES" totalsRowFunction="sum" dataDxfId="632" totalsRowDxfId="631"/>
    <tableColumn id="5" name="ACCIDENTES PERSONALES" totalsRowFunction="sum" dataDxfId="630" totalsRowDxfId="629"/>
    <tableColumn id="6" name="AUTOMÓVILES" totalsRowFunction="sum" dataDxfId="628" totalsRowDxfId="627"/>
    <tableColumn id="7" name="ACCIDENTES A PASAJEROS" totalsRowFunction="sum" dataDxfId="626" totalsRowDxfId="625"/>
    <tableColumn id="8" name="ROBO Y ASALTO" totalsRowFunction="sum" dataDxfId="624" totalsRowDxfId="623"/>
    <tableColumn id="9" name="CRISTALES\, VIDRIOS Y ESPEJOS" totalsRowFunction="sum" dataDxfId="622" totalsRowDxfId="621"/>
    <tableColumn id="10" name="AGROPECUARIO" totalsRowFunction="sum" dataDxfId="620" totalsRowDxfId="619"/>
    <tableColumn id="11" name="RIESGOS VARIOS" totalsRowFunction="sum" dataDxfId="618" totalsRowDxfId="617"/>
    <tableColumn id="12" name="RESPONSABILIDAD CIVIL" totalsRowFunction="sum" dataDxfId="616" totalsRowDxfId="615"/>
    <tableColumn id="13" name="AERONAVEGACIÓN" totalsRowFunction="sum" dataDxfId="614" totalsRowDxfId="613"/>
    <tableColumn id="14" name="RIESGOS TÉCNICOS" totalsRowFunction="sum" dataDxfId="612" totalsRowDxfId="611"/>
    <tableColumn id="15" name="CAUCIÓN" totalsRowFunction="sum" dataDxfId="610" totalsRowDxfId="609"/>
    <tableColumn id="16" name="VIDA" totalsRowFunction="sum" dataDxfId="608" totalsRowDxfId="607"/>
    <tableColumn id="17" name="TOTAL" totalsRowFunction="sum" dataDxfId="606" totalsRowDxfId="605">
      <calculatedColumnFormula>SUM(C932:P932)</calculatedColumnFormula>
    </tableColumn>
  </tableColumns>
  <tableStyleInfo name="TableStyleMedium9" showFirstColumn="1" showLastColumn="1" showRowStripes="0" showColumnStripes="1"/>
</table>
</file>

<file path=xl/tables/table22.xml><?xml version="1.0" encoding="utf-8"?>
<table xmlns="http://schemas.openxmlformats.org/spreadsheetml/2006/main" id="22" name="Tabla101286409413415416417443483485487489493497501503506508687" displayName="Tabla101286409413415416417443483485487489493497501503506508687" ref="A1005:Q1039" totalsRowCount="1" headerRowDxfId="604" dataDxfId="602" totalsRowDxfId="600" headerRowBorderDxfId="603" tableBorderDxfId="601" totalsRowBorderDxfId="599">
  <sortState ref="A1006:Q1038">
    <sortCondition ref="A2:A34"/>
  </sortState>
  <tableColumns count="17">
    <tableColumn id="1" name="Nº" dataDxfId="598" totalsRowDxfId="597"/>
    <tableColumn id="2" name="COMPAÑÍAS" totalsRowLabel="TOTAL" dataDxfId="596" totalsRowDxfId="595">
      <calculatedColumnFormula>[1]Aseguradoras!B2</calculatedColumnFormula>
    </tableColumn>
    <tableColumn id="3" name="INCENDIOS" totalsRowFunction="sum" dataDxfId="594" totalsRowDxfId="593"/>
    <tableColumn id="4" name="TRANSPORTES" totalsRowFunction="sum" dataDxfId="592" totalsRowDxfId="591"/>
    <tableColumn id="5" name="ACCIDENTES PERSONALES" totalsRowFunction="sum" dataDxfId="590" totalsRowDxfId="589"/>
    <tableColumn id="6" name="AUTOMÓVILES" totalsRowFunction="sum" dataDxfId="588" totalsRowDxfId="587"/>
    <tableColumn id="7" name="ACCIDENTES A PASAJEROS" totalsRowFunction="sum" dataDxfId="586" totalsRowDxfId="585"/>
    <tableColumn id="8" name="ROBO Y ASALTO" totalsRowFunction="sum" dataDxfId="584" totalsRowDxfId="583"/>
    <tableColumn id="9" name="CRISTALES\, VIDRIOS Y ESPEJOS" totalsRowFunction="sum" dataDxfId="582" totalsRowDxfId="581"/>
    <tableColumn id="10" name="AGROPECUARIO" totalsRowFunction="sum" dataDxfId="580" totalsRowDxfId="579"/>
    <tableColumn id="11" name="RIESGOS VARIOS" totalsRowFunction="sum" dataDxfId="578" totalsRowDxfId="577"/>
    <tableColumn id="12" name="RESPONSABILIDAD CIVIL" totalsRowFunction="sum" dataDxfId="576" totalsRowDxfId="575"/>
    <tableColumn id="13" name="AERONAVEGACIÓN" totalsRowFunction="sum" dataDxfId="574" totalsRowDxfId="573"/>
    <tableColumn id="14" name="RIESGOS TÉCNICOS" totalsRowFunction="sum" dataDxfId="572" totalsRowDxfId="571"/>
    <tableColumn id="15" name="CAUCIÓN" totalsRowFunction="sum" dataDxfId="570" totalsRowDxfId="569"/>
    <tableColumn id="16" name="VIDA" totalsRowFunction="sum" dataDxfId="568" totalsRowDxfId="567"/>
    <tableColumn id="17" name="TOTAL" totalsRowFunction="sum" dataDxfId="566" totalsRowDxfId="565">
      <calculatedColumnFormula>SUM(C1006:P1006)</calculatedColumnFormula>
    </tableColumn>
  </tableColumns>
  <tableStyleInfo name="TableStyleMedium9" showFirstColumn="1" showLastColumn="1" showRowStripes="0" showColumnStripes="1"/>
</table>
</file>

<file path=xl/tables/table23.xml><?xml version="1.0" encoding="utf-8"?>
<table xmlns="http://schemas.openxmlformats.org/spreadsheetml/2006/main" id="23" name="Tabla101286409413415416417443483485487489493497501503504512688" displayName="Tabla101286409413415416417443483485487489493497501503504512688" ref="A1042:Q1076" totalsRowCount="1" headerRowDxfId="564" dataDxfId="562" totalsRowDxfId="560" headerRowBorderDxfId="563" tableBorderDxfId="561" totalsRowBorderDxfId="559">
  <sortState ref="A1043:Q1075">
    <sortCondition ref="A2:A34"/>
  </sortState>
  <tableColumns count="17">
    <tableColumn id="1" name="Nº" dataDxfId="558" totalsRowDxfId="557"/>
    <tableColumn id="2" name="COMPAÑÍAS" totalsRowLabel="TOTAL" dataDxfId="556" totalsRowDxfId="555">
      <calculatedColumnFormula>[1]Aseguradoras!B2</calculatedColumnFormula>
    </tableColumn>
    <tableColumn id="3" name="INCENDIOS" totalsRowFunction="sum" dataDxfId="554" totalsRowDxfId="553"/>
    <tableColumn id="4" name="TRANSPORTES" totalsRowFunction="sum" dataDxfId="552" totalsRowDxfId="551"/>
    <tableColumn id="5" name="ACCIDENTES PERSONALES" totalsRowFunction="sum" dataDxfId="550" totalsRowDxfId="549"/>
    <tableColumn id="6" name="AUTOMÓVILES" totalsRowFunction="sum" dataDxfId="548" totalsRowDxfId="547"/>
    <tableColumn id="7" name="ACCIDENTES A PASAJEROS" totalsRowFunction="sum" dataDxfId="546" totalsRowDxfId="545"/>
    <tableColumn id="8" name="ROBO Y ASALTO" totalsRowFunction="sum" dataDxfId="544" totalsRowDxfId="543"/>
    <tableColumn id="9" name="CRISTALES\, VIDRIOS Y ESPEJOS" totalsRowFunction="sum" dataDxfId="542" totalsRowDxfId="541"/>
    <tableColumn id="10" name="AGROPECUARIO" totalsRowFunction="sum" dataDxfId="540" totalsRowDxfId="539"/>
    <tableColumn id="11" name="RIESGOS VARIOS" totalsRowFunction="sum" dataDxfId="538" totalsRowDxfId="537"/>
    <tableColumn id="12" name="RESPONSABILIDAD CIVIL" totalsRowFunction="sum" dataDxfId="536" totalsRowDxfId="535"/>
    <tableColumn id="13" name="AERONAVEGACIÓN" totalsRowFunction="sum" dataDxfId="534" totalsRowDxfId="533"/>
    <tableColumn id="14" name="RIESGOS TÉCNICOS" totalsRowFunction="sum" dataDxfId="532" totalsRowDxfId="531"/>
    <tableColumn id="15" name="CAUCIÓN" totalsRowFunction="sum" dataDxfId="530" totalsRowDxfId="529"/>
    <tableColumn id="16" name="VIDA" totalsRowFunction="sum" dataDxfId="528" totalsRowDxfId="527"/>
    <tableColumn id="17" name="TOTAL" totalsRowFunction="sum" dataDxfId="526" totalsRowDxfId="525">
      <calculatedColumnFormula>SUM(C1043:P1043)</calculatedColumnFormula>
    </tableColumn>
  </tableColumns>
  <tableStyleInfo name="TableStyleMedium9" showFirstColumn="1" showLastColumn="1" showRowStripes="0" showColumnStripes="1"/>
</table>
</file>

<file path=xl/tables/table24.xml><?xml version="1.0" encoding="utf-8"?>
<table xmlns="http://schemas.openxmlformats.org/spreadsheetml/2006/main" id="24" name="Tabla101286409413415416417443483485487489493497501503506514516558692" displayName="Tabla101286409413415416417443483485487489493497501503506514516558692" ref="A1079:F1113" totalsRowCount="1" headerRowDxfId="524" dataDxfId="522" totalsRowDxfId="520" headerRowBorderDxfId="523" tableBorderDxfId="521" totalsRowBorderDxfId="519">
  <sortState ref="A1080:Q1112">
    <sortCondition ref="A2:A34"/>
  </sortState>
  <tableColumns count="6">
    <tableColumn id="1" name="Nº" dataDxfId="518" totalsRowDxfId="517"/>
    <tableColumn id="2" name="COMPAÑÍAS" totalsRowLabel="TOTAL" dataDxfId="516" totalsRowDxfId="515">
      <calculatedColumnFormula>[1]Aseguradoras!B2</calculatedColumnFormula>
    </tableColumn>
    <tableColumn id="3" name="INTERESES" totalsRowFunction="sum" dataDxfId="514" totalsRowDxfId="513"/>
    <tableColumn id="4" name="GANACIAS POR VENTAS" totalsRowFunction="sum" dataDxfId="512" totalsRowDxfId="511"/>
    <tableColumn id="5" name="DESAFECTACIÓN DE PREVISIONES" totalsRowFunction="sum" dataDxfId="510" totalsRowDxfId="509"/>
    <tableColumn id="17" name="TOTAL" totalsRowFunction="sum" dataDxfId="508" totalsRowDxfId="507">
      <calculatedColumnFormula>SUM(C1080:E1080)</calculatedColumnFormula>
    </tableColumn>
  </tableColumns>
  <tableStyleInfo name="TableStyleMedium9" showFirstColumn="1" showLastColumn="1" showRowStripes="0" showColumnStripes="1"/>
</table>
</file>

<file path=xl/tables/table25.xml><?xml version="1.0" encoding="utf-8"?>
<table xmlns="http://schemas.openxmlformats.org/spreadsheetml/2006/main" id="25" name="Tabla101286409663706" displayName="Tabla101286409663706" ref="A2:Q36" totalsRowCount="1" headerRowDxfId="506" dataDxfId="504" totalsRowDxfId="502" headerRowBorderDxfId="505" tableBorderDxfId="503" totalsRowBorderDxfId="501">
  <sortState ref="A3:Q35">
    <sortCondition ref="A2:A34"/>
  </sortState>
  <tableColumns count="17">
    <tableColumn id="1" name="Nº" dataDxfId="500" totalsRowDxfId="499"/>
    <tableColumn id="2" name="COMPAÑÍAS" totalsRowLabel="TOTAL" dataDxfId="498" totalsRowDxfId="497">
      <calculatedColumnFormula>[1]Aseguradoras!B2</calculatedColumnFormula>
    </tableColumn>
    <tableColumn id="3" name="INCENDIOS" totalsRowFunction="sum" dataDxfId="496" totalsRowDxfId="495"/>
    <tableColumn id="4" name="TRANSPORTES" totalsRowFunction="sum" dataDxfId="494" totalsRowDxfId="493"/>
    <tableColumn id="5" name="ACCIDENTES PERSONALES" totalsRowFunction="sum" dataDxfId="492" totalsRowDxfId="491"/>
    <tableColumn id="6" name="AUTOMÓVILES" totalsRowFunction="sum" dataDxfId="490" totalsRowDxfId="489"/>
    <tableColumn id="7" name="ACCIDENTES A PASAJEROS" totalsRowFunction="sum" dataDxfId="488" totalsRowDxfId="487"/>
    <tableColumn id="8" name="ROBO Y ASALTO" totalsRowFunction="sum" dataDxfId="486" totalsRowDxfId="485"/>
    <tableColumn id="9" name="CRISTALES\, VIDRIOS Y ESPEJOS" totalsRowFunction="sum" dataDxfId="484" totalsRowDxfId="483"/>
    <tableColumn id="10" name="AGROPECUARIO" totalsRowFunction="sum" dataDxfId="482" totalsRowDxfId="481"/>
    <tableColumn id="11" name="RIESGOS VARIOS" totalsRowFunction="sum" dataDxfId="480" totalsRowDxfId="479"/>
    <tableColumn id="12" name="RESPONSABILIDAD CIVIL" totalsRowFunction="sum" dataDxfId="478" totalsRowDxfId="477"/>
    <tableColumn id="13" name="AERONAVEGACIÓN" totalsRowFunction="sum" dataDxfId="476" totalsRowDxfId="475"/>
    <tableColumn id="14" name="RIESGOS TÉCNICOS" totalsRowFunction="sum" dataDxfId="474" totalsRowDxfId="473"/>
    <tableColumn id="15" name="CAUCIÓN" totalsRowFunction="sum" dataDxfId="472" totalsRowDxfId="471"/>
    <tableColumn id="16" name="VIDA" totalsRowFunction="sum" dataDxfId="470" totalsRowDxfId="469"/>
    <tableColumn id="17" name="TOTAL" totalsRowFunction="sum" dataDxfId="468" totalsRowDxfId="467">
      <calculatedColumnFormula>SUM(C3:P3)</calculatedColumnFormula>
    </tableColumn>
  </tableColumns>
  <tableStyleInfo name="TableStyleMedium9" showFirstColumn="1" showLastColumn="1" showRowStripes="0" showColumnStripes="1"/>
</table>
</file>

<file path=xl/tables/table26.xml><?xml version="1.0" encoding="utf-8"?>
<table xmlns="http://schemas.openxmlformats.org/spreadsheetml/2006/main" id="26" name="Tabla101286409663709" displayName="Tabla101286409663709" ref="A114:Q148" totalsRowCount="1" headerRowDxfId="466" dataDxfId="464" totalsRowDxfId="462" headerRowBorderDxfId="465" tableBorderDxfId="463" totalsRowBorderDxfId="461">
  <sortState ref="A115:Q147">
    <sortCondition ref="A2:A34"/>
  </sortState>
  <tableColumns count="17">
    <tableColumn id="1" name="Nº" dataDxfId="460" totalsRowDxfId="459"/>
    <tableColumn id="2" name="COMPAÑÍAS" totalsRowLabel="TOTAL" dataDxfId="458" totalsRowDxfId="457">
      <calculatedColumnFormula>[1]Aseguradoras!B2</calculatedColumnFormula>
    </tableColumn>
    <tableColumn id="3" name="INCENDIOS" totalsRowFunction="sum" dataDxfId="456" totalsRowDxfId="455"/>
    <tableColumn id="4" name="TRANSPORTES" totalsRowFunction="sum" dataDxfId="454" totalsRowDxfId="453"/>
    <tableColumn id="5" name="ACCIDENTES PERSONALES" totalsRowFunction="sum" dataDxfId="452" totalsRowDxfId="451"/>
    <tableColumn id="6" name="AUTOMÓVILES" totalsRowFunction="sum" dataDxfId="450" totalsRowDxfId="449"/>
    <tableColumn id="7" name="ACCIDENTES A PASAJEROS" totalsRowFunction="sum" dataDxfId="448" totalsRowDxfId="447"/>
    <tableColumn id="8" name="ROBO Y ASALTO" totalsRowFunction="sum" dataDxfId="446" totalsRowDxfId="445"/>
    <tableColumn id="9" name="CRISTALES\, VIDRIOS Y ESPEJOS" totalsRowFunction="sum" dataDxfId="444" totalsRowDxfId="443"/>
    <tableColumn id="10" name="AGROPECUARIO" totalsRowFunction="sum" dataDxfId="442" totalsRowDxfId="441"/>
    <tableColumn id="11" name="RIESGOS VARIOS" totalsRowFunction="sum" dataDxfId="440" totalsRowDxfId="439"/>
    <tableColumn id="12" name="RESPONSABILIDAD CIVIL" totalsRowFunction="sum" dataDxfId="438" totalsRowDxfId="437"/>
    <tableColumn id="13" name="AERONAVEGACIÓN" totalsRowFunction="sum" dataDxfId="436" totalsRowDxfId="435"/>
    <tableColumn id="14" name="RIESGOS TÉCNICOS" totalsRowFunction="sum" dataDxfId="434" totalsRowDxfId="433"/>
    <tableColumn id="15" name="CAUCIÓN" totalsRowFunction="sum" dataDxfId="432" totalsRowDxfId="431"/>
    <tableColumn id="16" name="VIDA" totalsRowFunction="sum" dataDxfId="430" totalsRowDxfId="429"/>
    <tableColumn id="17" name="TOTAL" totalsRowFunction="sum" dataDxfId="428" totalsRowDxfId="427">
      <calculatedColumnFormula>SUM(C115:P115)</calculatedColumnFormula>
    </tableColumn>
  </tableColumns>
  <tableStyleInfo name="TableStyleMedium9" showFirstColumn="1" showLastColumn="1" showRowStripes="0" showColumnStripes="1"/>
</table>
</file>

<file path=xl/tables/table27.xml><?xml version="1.0" encoding="utf-8"?>
<table xmlns="http://schemas.openxmlformats.org/spreadsheetml/2006/main" id="27" name="Tabla101286409410664710" displayName="Tabla101286409410664710" ref="A152:Q186" totalsRowCount="1" headerRowDxfId="426" dataDxfId="424" totalsRowDxfId="422" headerRowBorderDxfId="425" tableBorderDxfId="423" totalsRowBorderDxfId="421">
  <sortState ref="A153:Q185">
    <sortCondition ref="A2:A34"/>
  </sortState>
  <tableColumns count="17">
    <tableColumn id="1" name="Nº" dataDxfId="420" totalsRowDxfId="419"/>
    <tableColumn id="2" name="COMPAÑÍAS" totalsRowLabel="TOTAL" dataDxfId="418" totalsRowDxfId="417">
      <calculatedColumnFormula>[1]Aseguradoras!B2</calculatedColumnFormula>
    </tableColumn>
    <tableColumn id="3" name="INCENDIOS" totalsRowFunction="sum" dataDxfId="416" totalsRowDxfId="415"/>
    <tableColumn id="4" name="TRANSPORTES" totalsRowFunction="sum" dataDxfId="414" totalsRowDxfId="413"/>
    <tableColumn id="5" name="ACCIDENTES PERSONALES" totalsRowFunction="sum" dataDxfId="412" totalsRowDxfId="411"/>
    <tableColumn id="6" name="AUTOMÓVILES" totalsRowFunction="sum" dataDxfId="410" totalsRowDxfId="409"/>
    <tableColumn id="7" name="ACCIDENTES A PASAJEROS" totalsRowFunction="sum" dataDxfId="408" totalsRowDxfId="407"/>
    <tableColumn id="8" name="ROBO Y ASALTO" totalsRowFunction="sum" dataDxfId="406" totalsRowDxfId="405"/>
    <tableColumn id="9" name="CRISTALES\, VIDRIOS Y ESPEJOS" totalsRowFunction="sum" dataDxfId="404" totalsRowDxfId="403"/>
    <tableColumn id="10" name="AGROPECUARIO" totalsRowFunction="sum" dataDxfId="402" totalsRowDxfId="401"/>
    <tableColumn id="11" name="RIESGOS VARIOS" totalsRowFunction="sum" dataDxfId="400" totalsRowDxfId="399"/>
    <tableColumn id="12" name="RESPONSABILIDAD CIVIL" totalsRowFunction="sum" dataDxfId="398" totalsRowDxfId="397"/>
    <tableColumn id="13" name="AERONAVEGACIÓN" totalsRowFunction="sum" dataDxfId="396" totalsRowDxfId="395"/>
    <tableColumn id="14" name="RIESGOS TÉCNICOS" totalsRowFunction="sum" dataDxfId="394" totalsRowDxfId="393"/>
    <tableColumn id="15" name="CAUCIÓN" totalsRowFunction="sum" dataDxfId="392" totalsRowDxfId="391"/>
    <tableColumn id="16" name="VIDA" totalsRowFunction="sum" dataDxfId="390" totalsRowDxfId="389"/>
    <tableColumn id="17" name="TOTAL" totalsRowFunction="sum" dataDxfId="388" totalsRowDxfId="387">
      <calculatedColumnFormula>SUM(C153:P153)</calculatedColumnFormula>
    </tableColumn>
  </tableColumns>
  <tableStyleInfo name="TableStyleMedium9" showFirstColumn="1" showLastColumn="1" showRowStripes="0" showColumnStripes="1"/>
</table>
</file>

<file path=xl/tables/table28.xml><?xml version="1.0" encoding="utf-8"?>
<table xmlns="http://schemas.openxmlformats.org/spreadsheetml/2006/main" id="28" name="Tabla101286409413415416417443483485487489493497501503506514516558692998" displayName="Tabla101286409413415416417443483485487489493497501503506514516558692998" ref="A1116:F1150" totalsRowCount="1" headerRowDxfId="386" dataDxfId="384" totalsRowDxfId="382" headerRowBorderDxfId="385" tableBorderDxfId="383" totalsRowBorderDxfId="381">
  <sortState ref="A1117:Q1149">
    <sortCondition ref="A2:A34"/>
  </sortState>
  <tableColumns count="6">
    <tableColumn id="1" name="Nº" dataDxfId="380" totalsRowDxfId="379"/>
    <tableColumn id="2" name="COMPAÑÍAS" totalsRowLabel="TOTAL" dataDxfId="378" totalsRowDxfId="377">
      <calculatedColumnFormula>[1]Aseguradoras!B2</calculatedColumnFormula>
    </tableColumn>
    <tableColumn id="3" name="DIVIDENDOS Y PARTICIPACIONES" totalsRowFunction="sum" dataDxfId="376" totalsRowDxfId="375"/>
    <tableColumn id="4" name="GANACIAS POR VENTAS" totalsRowFunction="sum" dataDxfId="374" totalsRowDxfId="373"/>
    <tableColumn id="5" name="DESAFECTACIÓN DE PREVISIONES" totalsRowFunction="sum" dataDxfId="372" totalsRowDxfId="371"/>
    <tableColumn id="17" name="TOTAL" totalsRowFunction="sum" dataDxfId="370" totalsRowDxfId="369">
      <calculatedColumnFormula>SUM(C1117:E1117)</calculatedColumnFormula>
    </tableColumn>
  </tableColumns>
  <tableStyleInfo name="TableStyleMedium9" showFirstColumn="1" showLastColumn="1" showRowStripes="0" showColumnStripes="1"/>
</table>
</file>

<file path=xl/tables/table29.xml><?xml version="1.0" encoding="utf-8"?>
<table xmlns="http://schemas.openxmlformats.org/spreadsheetml/2006/main" id="29" name="Tabla101286409413415416417443483485487489493497501503506514516558692998999" displayName="Tabla101286409413415416417443483485487489493497501503506514516558692998999" ref="A1153:G1187" totalsRowCount="1" headerRowDxfId="368" dataDxfId="366" totalsRowDxfId="364" headerRowBorderDxfId="367" tableBorderDxfId="365" totalsRowBorderDxfId="363">
  <sortState ref="A1154:Q1186">
    <sortCondition ref="A2:A34"/>
  </sortState>
  <tableColumns count="7">
    <tableColumn id="1" name="Nº" dataDxfId="362" totalsRowDxfId="361"/>
    <tableColumn id="2" name="COMPAÑÍAS" totalsRowLabel="TOTAL" dataDxfId="360" totalsRowDxfId="359">
      <calculatedColumnFormula>[1]Aseguradoras!B2</calculatedColumnFormula>
    </tableColumn>
    <tableColumn id="3" name="ALQUILERES" totalsRowFunction="sum" dataDxfId="358" totalsRowDxfId="357"/>
    <tableColumn id="4" name="GANACIAS POR VENTAS" totalsRowFunction="sum" dataDxfId="356" totalsRowDxfId="355"/>
    <tableColumn id="5" name="INGRESOS POR ADMINISTRACIÓN DE EDIFICIOS" totalsRowFunction="sum" dataDxfId="354" totalsRowDxfId="353"/>
    <tableColumn id="18" name="DESAFECTACIÓN DE PREVISIONES" dataDxfId="352" totalsRowDxfId="351"/>
    <tableColumn id="17" name="TOTAL" totalsRowFunction="sum" dataDxfId="350" totalsRowDxfId="349">
      <calculatedColumnFormula>SUM(C1154:F1154)</calculatedColumnFormula>
    </tableColumn>
  </tableColumns>
  <tableStyleInfo name="TableStyleMedium9" showFirstColumn="1" showLastColumn="1" showRowStripes="0" showColumnStripes="1"/>
</table>
</file>

<file path=xl/tables/table3.xml><?xml version="1.0" encoding="utf-8"?>
<table xmlns="http://schemas.openxmlformats.org/spreadsheetml/2006/main" id="3" name="Tabla101286409410411665" displayName="Tabla101286409410411665" ref="A190:Q224" totalsRowCount="1" headerRowDxfId="1362" dataDxfId="1360" totalsRowDxfId="1358" headerRowBorderDxfId="1361" tableBorderDxfId="1359" totalsRowBorderDxfId="1357">
  <sortState ref="A191:Q223">
    <sortCondition ref="A2:A34"/>
  </sortState>
  <tableColumns count="17">
    <tableColumn id="1" name="Nº" dataDxfId="1356" totalsRowDxfId="1355"/>
    <tableColumn id="2" name="COMPAÑÍAS" totalsRowLabel="TOTAL" dataDxfId="1354" totalsRowDxfId="1353">
      <calculatedColumnFormula>[1]Aseguradoras!B2</calculatedColumnFormula>
    </tableColumn>
    <tableColumn id="3" name="INCENDIOS" totalsRowFunction="sum" dataDxfId="1352" totalsRowDxfId="1351"/>
    <tableColumn id="4" name="TRANSPORTES" totalsRowFunction="sum" dataDxfId="1350" totalsRowDxfId="1349"/>
    <tableColumn id="5" name="ACCIDENTES PERSONALES" totalsRowFunction="sum" dataDxfId="1348" totalsRowDxfId="1347"/>
    <tableColumn id="6" name="AUTOMÓVILES" totalsRowFunction="sum" dataDxfId="1346" totalsRowDxfId="1345"/>
    <tableColumn id="7" name="ACCIDENTES A PASAJEROS" totalsRowFunction="sum" dataDxfId="1344" totalsRowDxfId="1343"/>
    <tableColumn id="8" name="ROBO Y ASALTO" totalsRowFunction="sum" dataDxfId="1342" totalsRowDxfId="1341"/>
    <tableColumn id="9" name="CRISTALES\, VIDRIOS Y ESPEJOS" totalsRowFunction="sum" dataDxfId="1340" totalsRowDxfId="1339"/>
    <tableColumn id="10" name="AGROPECUARIO" totalsRowFunction="sum" dataDxfId="1338" totalsRowDxfId="1337"/>
    <tableColumn id="11" name="RIESGOS VARIOS" totalsRowFunction="sum" dataDxfId="1336" totalsRowDxfId="1335"/>
    <tableColumn id="12" name="RESPONSABILIDAD CIVIL" totalsRowFunction="sum" dataDxfId="1334" totalsRowDxfId="1333"/>
    <tableColumn id="13" name="AERONAVEGACIÓN" totalsRowFunction="sum" dataDxfId="1332" totalsRowDxfId="1331"/>
    <tableColumn id="14" name="RIESGOS TÉCNICOS" totalsRowFunction="sum" dataDxfId="1330" totalsRowDxfId="1329"/>
    <tableColumn id="15" name="CAUCIÓN" totalsRowFunction="sum" dataDxfId="1328" totalsRowDxfId="1327"/>
    <tableColumn id="16" name="VIDA" totalsRowFunction="sum" dataDxfId="1326" totalsRowDxfId="1325"/>
    <tableColumn id="17" name="TOTAL" totalsRowFunction="sum" dataDxfId="1324" totalsRowDxfId="1323">
      <calculatedColumnFormula>SUM(C191:P191)</calculatedColumnFormula>
    </tableColumn>
  </tableColumns>
  <tableStyleInfo name="TableStyleMedium9" showFirstColumn="1" showLastColumn="1" showRowStripes="0" showColumnStripes="1"/>
</table>
</file>

<file path=xl/tables/table30.xml><?xml version="1.0" encoding="utf-8"?>
<table xmlns="http://schemas.openxmlformats.org/spreadsheetml/2006/main" id="30" name="Tabla1012864094134154164174434834854874894934975015035065145165586929989991000" displayName="Tabla1012864094134154164174434834854874894934975015035065145165586929989991000" ref="A1190:G1224" totalsRowCount="1" headerRowDxfId="348" dataDxfId="346" totalsRowDxfId="344" headerRowBorderDxfId="347" tableBorderDxfId="345" totalsRowBorderDxfId="343">
  <sortState ref="A1191:Q1223">
    <sortCondition ref="A2:A34"/>
  </sortState>
  <tableColumns count="7">
    <tableColumn id="1" name="Nº" dataDxfId="342" totalsRowDxfId="341"/>
    <tableColumn id="2" name="COMPAÑÍAS" totalsRowLabel="TOTAL" dataDxfId="340" totalsRowDxfId="339">
      <calculatedColumnFormula>[1]Aseguradoras!B2</calculatedColumnFormula>
    </tableColumn>
    <tableColumn id="3" name="INTERES S/ PRESTAMOS" totalsRowFunction="sum" dataDxfId="338" totalsRowDxfId="337"/>
    <tableColumn id="4" name="INTERES S/ PRSTAMOS CON GARANTÍA PÓLIZAS VIDA" totalsRowFunction="sum" dataDxfId="336" totalsRowDxfId="335"/>
    <tableColumn id="5" name="INTERES S/ VENTA DE BIENES" totalsRowFunction="sum" dataDxfId="334" totalsRowDxfId="333"/>
    <tableColumn id="18" name="DESAFECTACIÓN DE PREVISIONES" dataDxfId="332" totalsRowDxfId="331"/>
    <tableColumn id="17" name="TOTAL" totalsRowFunction="sum" dataDxfId="330" totalsRowDxfId="329">
      <calculatedColumnFormula>SUM(C1191:F1191)</calculatedColumnFormula>
    </tableColumn>
  </tableColumns>
  <tableStyleInfo name="TableStyleMedium9" showFirstColumn="1" showLastColumn="1" showRowStripes="0" showColumnStripes="1"/>
</table>
</file>

<file path=xl/tables/table31.xml><?xml version="1.0" encoding="utf-8"?>
<table xmlns="http://schemas.openxmlformats.org/spreadsheetml/2006/main" id="31" name="Tabla10128640941341541641744348348548748949349750150350651451655869299899910001085" displayName="Tabla10128640941341541641744348348548748949349750150350651451655869299899910001085" ref="A1227:D1261" totalsRowCount="1" headerRowDxfId="328" dataDxfId="326" totalsRowDxfId="324" headerRowBorderDxfId="327" tableBorderDxfId="325" totalsRowBorderDxfId="323">
  <sortState ref="A1228:Q1260">
    <sortCondition ref="A2:A34"/>
  </sortState>
  <tableColumns count="4">
    <tableColumn id="1" name="Nº" dataDxfId="322" totalsRowDxfId="321"/>
    <tableColumn id="2" name="COMPAÑÍAS" totalsRowLabel="TOTAL" dataDxfId="320" totalsRowDxfId="319">
      <calculatedColumnFormula>[1]Aseguradoras!B2</calculatedColumnFormula>
    </tableColumn>
    <tableColumn id="3" name="DIFERENCIA DE CAMBIO" totalsRowFunction="sum" dataDxfId="318" totalsRowDxfId="317"/>
    <tableColumn id="17" name="TOTAL" totalsRowFunction="sum" dataDxfId="316" totalsRowDxfId="315">
      <calculatedColumnFormula>SUM(C1228:C1228)</calculatedColumnFormula>
    </tableColumn>
  </tableColumns>
  <tableStyleInfo name="TableStyleMedium9" showFirstColumn="1" showLastColumn="1" showRowStripes="0" showColumnStripes="1"/>
</table>
</file>

<file path=xl/tables/table32.xml><?xml version="1.0" encoding="utf-8"?>
<table xmlns="http://schemas.openxmlformats.org/spreadsheetml/2006/main" id="32" name="Tabla1012864094134154164174434834854874894934975015035045126881086" displayName="Tabla1012864094134154164174434834854874894934975015035045126881086" ref="A1264:Q1298" totalsRowCount="1" headerRowDxfId="314" dataDxfId="312" totalsRowDxfId="310" headerRowBorderDxfId="313" tableBorderDxfId="311" totalsRowBorderDxfId="309">
  <sortState ref="A1265:Q1297">
    <sortCondition ref="A2:A34"/>
  </sortState>
  <tableColumns count="17">
    <tableColumn id="1" name="Nº" dataDxfId="308" totalsRowDxfId="307"/>
    <tableColumn id="2" name="COMPAÑÍAS" totalsRowLabel="TOTAL" dataDxfId="306" totalsRowDxfId="305">
      <calculatedColumnFormula>[1]Aseguradoras!B2</calculatedColumnFormula>
    </tableColumn>
    <tableColumn id="3" name="INCENDIOS" totalsRowFunction="sum" dataDxfId="304" totalsRowDxfId="303"/>
    <tableColumn id="4" name="TRANSPORTES" totalsRowFunction="sum" dataDxfId="302" totalsRowDxfId="301"/>
    <tableColumn id="5" name="ACCIDENTES PERSONALES" totalsRowFunction="sum" dataDxfId="300" totalsRowDxfId="299"/>
    <tableColumn id="6" name="AUTOMÓVILES" totalsRowFunction="sum" dataDxfId="298" totalsRowDxfId="297"/>
    <tableColumn id="7" name="ACCIDENTES A PASAJEROS" totalsRowFunction="sum" dataDxfId="296" totalsRowDxfId="295"/>
    <tableColumn id="8" name="ROBO Y ASALTO" totalsRowFunction="sum" dataDxfId="294" totalsRowDxfId="293"/>
    <tableColumn id="9" name="CRISTALES\, VIDRIOS Y ESPEJOS" totalsRowFunction="sum" dataDxfId="292" totalsRowDxfId="291"/>
    <tableColumn id="10" name="AGROPECUARIO" totalsRowFunction="sum" dataDxfId="290" totalsRowDxfId="289"/>
    <tableColumn id="11" name="RIESGOS VARIOS" totalsRowFunction="sum" dataDxfId="288" totalsRowDxfId="287"/>
    <tableColumn id="12" name="RESPONSABILIDAD CIVIL" totalsRowFunction="sum" dataDxfId="286" totalsRowDxfId="285"/>
    <tableColumn id="13" name="AERONAVEGACIÓN" totalsRowFunction="sum" dataDxfId="284" totalsRowDxfId="283"/>
    <tableColumn id="14" name="RIESGOS TÉCNICOS" totalsRowFunction="sum" dataDxfId="282" totalsRowDxfId="281"/>
    <tableColumn id="15" name="CAUCIÓN" totalsRowFunction="sum" dataDxfId="280" totalsRowDxfId="279"/>
    <tableColumn id="16" name="VIDA" totalsRowFunction="sum" dataDxfId="278" totalsRowDxfId="277"/>
    <tableColumn id="17" name="TOTAL" totalsRowFunction="sum" dataDxfId="276" totalsRowDxfId="275">
      <calculatedColumnFormula>SUM(C1265:P1265)</calculatedColumnFormula>
    </tableColumn>
  </tableColumns>
  <tableStyleInfo name="TableStyleMedium9" showFirstColumn="1" showLastColumn="1" showRowStripes="0" showColumnStripes="1"/>
</table>
</file>

<file path=xl/tables/table33.xml><?xml version="1.0" encoding="utf-8"?>
<table xmlns="http://schemas.openxmlformats.org/spreadsheetml/2006/main" id="33" name="Tabla10128640941341541641744348348548748949349750150350451268810861087" displayName="Tabla10128640941341541641744348348548748949349750150350451268810861087" ref="A1338:Q1372" totalsRowCount="1" headerRowDxfId="274" dataDxfId="272" totalsRowDxfId="270" headerRowBorderDxfId="273" tableBorderDxfId="271" totalsRowBorderDxfId="269">
  <sortState ref="A1339:Q1371">
    <sortCondition ref="A2:A34"/>
  </sortState>
  <tableColumns count="17">
    <tableColumn id="1" name="Nº" dataDxfId="268" totalsRowDxfId="267"/>
    <tableColumn id="2" name="COMPAÑÍAS" totalsRowLabel="TOTAL" dataDxfId="266" totalsRowDxfId="265">
      <calculatedColumnFormula>[1]Aseguradoras!B2</calculatedColumnFormula>
    </tableColumn>
    <tableColumn id="3" name="INCENDIOS" totalsRowFunction="sum" dataDxfId="264" totalsRowDxfId="263"/>
    <tableColumn id="4" name="TRANSPORTES" totalsRowFunction="sum" dataDxfId="262" totalsRowDxfId="261"/>
    <tableColumn id="5" name="ACCIDENTES PERSONALES" totalsRowFunction="sum" dataDxfId="260" totalsRowDxfId="259"/>
    <tableColumn id="6" name="AUTOMÓVILES" totalsRowFunction="sum" dataDxfId="258" totalsRowDxfId="257"/>
    <tableColumn id="7" name="ACCIDENTES A PASAJEROS" totalsRowFunction="sum" dataDxfId="256" totalsRowDxfId="255"/>
    <tableColumn id="8" name="ROBO Y ASALTO" totalsRowFunction="sum" dataDxfId="254" totalsRowDxfId="253"/>
    <tableColumn id="9" name="CRISTALES\, VIDRIOS Y ESPEJOS" totalsRowFunction="sum" dataDxfId="252" totalsRowDxfId="251"/>
    <tableColumn id="10" name="AGROPECUARIO" totalsRowFunction="sum" dataDxfId="250" totalsRowDxfId="249"/>
    <tableColumn id="11" name="RIESGOS VARIOS" totalsRowFunction="sum" dataDxfId="248" totalsRowDxfId="247"/>
    <tableColumn id="12" name="RESPONSABILIDAD CIVIL" totalsRowFunction="sum" dataDxfId="246" totalsRowDxfId="245"/>
    <tableColumn id="13" name="AERONAVEGACIÓN" totalsRowFunction="sum" dataDxfId="244" totalsRowDxfId="243"/>
    <tableColumn id="14" name="RIESGOS TÉCNICOS" totalsRowFunction="sum" dataDxfId="242" totalsRowDxfId="241"/>
    <tableColumn id="15" name="CAUCIÓN" totalsRowFunction="sum" dataDxfId="240" totalsRowDxfId="239"/>
    <tableColumn id="16" name="VIDA" totalsRowFunction="sum" dataDxfId="238" totalsRowDxfId="237"/>
    <tableColumn id="17" name="TOTAL" totalsRowFunction="sum" dataDxfId="236" totalsRowDxfId="235">
      <calculatedColumnFormula>SUM(C1339:P1339)</calculatedColumnFormula>
    </tableColumn>
  </tableColumns>
  <tableStyleInfo name="TableStyleMedium9" showFirstColumn="1" showLastColumn="1" showRowStripes="0" showColumnStripes="1"/>
</table>
</file>

<file path=xl/tables/table34.xml><?xml version="1.0" encoding="utf-8"?>
<table xmlns="http://schemas.openxmlformats.org/spreadsheetml/2006/main" id="34" name="Tabla10128640941341541641744348348548748949349750150350451268810861088" displayName="Tabla10128640941341541641744348348548748949349750150350451268810861088" ref="A1375:Q1409" totalsRowCount="1" headerRowDxfId="234" dataDxfId="232" totalsRowDxfId="230" headerRowBorderDxfId="233" tableBorderDxfId="231" totalsRowBorderDxfId="229">
  <sortState ref="A1376:Q1408">
    <sortCondition ref="A2:A34"/>
  </sortState>
  <tableColumns count="17">
    <tableColumn id="1" name="Nº" dataDxfId="228" totalsRowDxfId="227"/>
    <tableColumn id="2" name="COMPAÑÍAS" totalsRowLabel="TOTAL" dataDxfId="226" totalsRowDxfId="225">
      <calculatedColumnFormula>[1]Aseguradoras!B2</calculatedColumnFormula>
    </tableColumn>
    <tableColumn id="3" name="INCENDIOS" totalsRowFunction="sum" dataDxfId="224" totalsRowDxfId="223"/>
    <tableColumn id="4" name="TRANSPORTES" totalsRowFunction="sum" dataDxfId="222" totalsRowDxfId="221"/>
    <tableColumn id="5" name="ACCIDENTES PERSONALES" totalsRowFunction="sum" dataDxfId="220" totalsRowDxfId="219"/>
    <tableColumn id="6" name="AUTOMÓVILES" totalsRowFunction="sum" dataDxfId="218" totalsRowDxfId="217"/>
    <tableColumn id="7" name="ACCIDENTES A PASAJEROS" totalsRowFunction="sum" dataDxfId="216" totalsRowDxfId="215"/>
    <tableColumn id="8" name="ROBO Y ASALTO" totalsRowFunction="sum" dataDxfId="214" totalsRowDxfId="213"/>
    <tableColumn id="9" name="CRISTALES\, VIDRIOS Y ESPEJOS" totalsRowFunction="sum" dataDxfId="212" totalsRowDxfId="211"/>
    <tableColumn id="10" name="AGROPECUARIO" totalsRowFunction="sum" dataDxfId="210" totalsRowDxfId="209"/>
    <tableColumn id="11" name="RIESGOS VARIOS" totalsRowFunction="sum" dataDxfId="208" totalsRowDxfId="207"/>
    <tableColumn id="12" name="RESPONSABILIDAD CIVIL" totalsRowFunction="sum" dataDxfId="206" totalsRowDxfId="205"/>
    <tableColumn id="13" name="AERONAVEGACIÓN" totalsRowFunction="sum" dataDxfId="204" totalsRowDxfId="203"/>
    <tableColumn id="14" name="RIESGOS TÉCNICOS" totalsRowFunction="sum" dataDxfId="202" totalsRowDxfId="201"/>
    <tableColumn id="15" name="CAUCIÓN" totalsRowFunction="sum" dataDxfId="200" totalsRowDxfId="199"/>
    <tableColumn id="16" name="VIDA" totalsRowFunction="sum" dataDxfId="198" totalsRowDxfId="197"/>
    <tableColumn id="17" name="TOTAL" totalsRowFunction="sum" dataDxfId="196" totalsRowDxfId="195">
      <calculatedColumnFormula>SUM(C1376:P1376)</calculatedColumnFormula>
    </tableColumn>
  </tableColumns>
  <tableStyleInfo name="TableStyleMedium9" showFirstColumn="1" showLastColumn="1" showRowStripes="0" showColumnStripes="1"/>
</table>
</file>

<file path=xl/tables/table35.xml><?xml version="1.0" encoding="utf-8"?>
<table xmlns="http://schemas.openxmlformats.org/spreadsheetml/2006/main" id="35" name="Tabla101286409413415416417443483485487489493497501503504512688108610871089" displayName="Tabla101286409413415416417443483485487489493497501503504512688108610871089" ref="A1301:E1335" totalsRowCount="1" headerRowDxfId="194" dataDxfId="192" totalsRowDxfId="190" headerRowBorderDxfId="193" tableBorderDxfId="191" totalsRowBorderDxfId="189">
  <sortState ref="A1302:Q1334">
    <sortCondition ref="A2:A34"/>
  </sortState>
  <tableColumns count="5">
    <tableColumn id="1" name="Nº" dataDxfId="188" totalsRowDxfId="187"/>
    <tableColumn id="2" name="COMPAÑÍAS" totalsRowLabel="TOTAL" dataDxfId="186" totalsRowDxfId="185">
      <calculatedColumnFormula>[1]Aseguradoras!B2</calculatedColumnFormula>
    </tableColumn>
    <tableColumn id="3" name="GRUPO COASEGUROR SEGUROS OBLIGATORIOS" totalsRowFunction="sum" dataDxfId="184" totalsRowDxfId="183"/>
    <tableColumn id="4" name="CÑIAS COASEGUROS CTA CTE ACEPTADOS RAMOS GENERALES" totalsRowFunction="sum" dataDxfId="182" totalsRowDxfId="181"/>
    <tableColumn id="17" name="TOTAL" totalsRowFunction="sum" dataDxfId="180" totalsRowDxfId="179">
      <calculatedColumnFormula>SUM(C1302:D1302)</calculatedColumnFormula>
    </tableColumn>
  </tableColumns>
  <tableStyleInfo name="TableStyleMedium9" showFirstColumn="1" showLastColumn="1" showRowStripes="0" showColumnStripes="1"/>
</table>
</file>

<file path=xl/tables/table36.xml><?xml version="1.0" encoding="utf-8"?>
<table xmlns="http://schemas.openxmlformats.org/spreadsheetml/2006/main" id="36" name="Tabla101286409413415416417443483485487489493497501503504512688108610881091" displayName="Tabla101286409413415416417443483485487489493497501503504512688108610881091" ref="A1412:Q1446" totalsRowCount="1" headerRowDxfId="178" dataDxfId="176" totalsRowDxfId="174" headerRowBorderDxfId="177" tableBorderDxfId="175" totalsRowBorderDxfId="173">
  <sortState ref="A1413:Q1445">
    <sortCondition ref="A2:A34"/>
  </sortState>
  <tableColumns count="17">
    <tableColumn id="1" name="Nº" dataDxfId="172" totalsRowDxfId="171"/>
    <tableColumn id="2" name="COMPAÑÍAS" totalsRowLabel="TOTAL" dataDxfId="170" totalsRowDxfId="169">
      <calculatedColumnFormula>[1]Aseguradoras!B2</calculatedColumnFormula>
    </tableColumn>
    <tableColumn id="3" name="INCENDIOS" totalsRowFunction="sum" dataDxfId="168" totalsRowDxfId="167"/>
    <tableColumn id="4" name="TRANSPORTES" totalsRowFunction="sum" dataDxfId="166" totalsRowDxfId="165"/>
    <tableColumn id="5" name="ACCIDENTES PERSONALES" totalsRowFunction="sum" dataDxfId="164" totalsRowDxfId="163"/>
    <tableColumn id="6" name="AUTOMÓVILES" totalsRowFunction="sum" dataDxfId="162" totalsRowDxfId="161"/>
    <tableColumn id="7" name="ACCIDENTES A PASAJEROS" totalsRowFunction="sum" dataDxfId="160" totalsRowDxfId="159"/>
    <tableColumn id="8" name="ROBO Y ASALTO" totalsRowFunction="sum" dataDxfId="158" totalsRowDxfId="157"/>
    <tableColumn id="9" name="CRISTALES\, VIDRIOS Y ESPEJOS" totalsRowFunction="sum" dataDxfId="156" totalsRowDxfId="155"/>
    <tableColumn id="10" name="AGROPECUARIO" totalsRowFunction="sum" dataDxfId="154" totalsRowDxfId="153"/>
    <tableColumn id="11" name="RIESGOS VARIOS" totalsRowFunction="sum" dataDxfId="152" totalsRowDxfId="151"/>
    <tableColumn id="12" name="RESPONSABILIDAD CIVIL" totalsRowFunction="sum" dataDxfId="150" totalsRowDxfId="149"/>
    <tableColumn id="13" name="AERONAVEGACIÓN" totalsRowFunction="sum" dataDxfId="148" totalsRowDxfId="147"/>
    <tableColumn id="14" name="RIESGOS TÉCNICOS" totalsRowFunction="sum" dataDxfId="146" totalsRowDxfId="145"/>
    <tableColumn id="15" name="CAUCIÓN" totalsRowFunction="sum" dataDxfId="144" totalsRowDxfId="143"/>
    <tableColumn id="16" name="VIDA" totalsRowFunction="sum" dataDxfId="142" totalsRowDxfId="141"/>
    <tableColumn id="17" name="TOTAL" totalsRowFunction="sum" dataDxfId="140" totalsRowDxfId="139">
      <calculatedColumnFormula>SUM(C1413:P1413)</calculatedColumnFormula>
    </tableColumn>
  </tableColumns>
  <tableStyleInfo name="TableStyleMedium9" showFirstColumn="1" showLastColumn="1" showRowStripes="0" showColumnStripes="1"/>
</table>
</file>

<file path=xl/tables/table37.xml><?xml version="1.0" encoding="utf-8"?>
<table xmlns="http://schemas.openxmlformats.org/spreadsheetml/2006/main" id="37" name="Tabla1012864094134154164174434834854874894934975015035045126881086108810911093" displayName="Tabla1012864094134154164174434834854874894934975015035045126881086108810911093" ref="A1449:D1483" totalsRowCount="1" headerRowDxfId="138" dataDxfId="136" totalsRowDxfId="134" headerRowBorderDxfId="137" tableBorderDxfId="135" totalsRowBorderDxfId="133">
  <sortState ref="A1450:Q1482">
    <sortCondition ref="A2:A34"/>
  </sortState>
  <tableColumns count="4">
    <tableColumn id="1" name="Nº" dataDxfId="132" totalsRowDxfId="131"/>
    <tableColumn id="2" name="COMPAÑÍAS" totalsRowLabel="TOTAL" dataDxfId="130" totalsRowDxfId="129">
      <calculatedColumnFormula>[1]Aseguradoras!B2</calculatedColumnFormula>
    </tableColumn>
    <tableColumn id="3" name="BIENES Y DERECHOS RECIBIDOS EN PAGO" totalsRowFunction="sum" dataDxfId="128" totalsRowDxfId="127"/>
    <tableColumn id="17" name="TOTAL" totalsRowFunction="sum" dataDxfId="126" totalsRowDxfId="125">
      <calculatedColumnFormula>SUM(C1450)</calculatedColumnFormula>
    </tableColumn>
  </tableColumns>
  <tableStyleInfo name="TableStyleMedium9" showFirstColumn="1" showLastColumn="1" showRowStripes="0" showColumnStripes="1"/>
</table>
</file>

<file path=xl/tables/table38.xml><?xml version="1.0" encoding="utf-8"?>
<table xmlns="http://schemas.openxmlformats.org/spreadsheetml/2006/main" id="38" name="Tabla1012864094134154164174434834854874894934975015035045126881086108810911094" displayName="Tabla1012864094134154164174434834854874894934975015035045126881086108810911094" ref="A1523:E1557" totalsRowCount="1" headerRowDxfId="124" dataDxfId="122" totalsRowDxfId="120" headerRowBorderDxfId="123" tableBorderDxfId="121" totalsRowBorderDxfId="119">
  <sortState ref="A1524:Q1556">
    <sortCondition ref="A2:A34"/>
  </sortState>
  <tableColumns count="5">
    <tableColumn id="1" name="Nº" dataDxfId="118" totalsRowDxfId="117"/>
    <tableColumn id="2" name="COMPAÑÍAS" totalsRowLabel="TOTAL" dataDxfId="116" totalsRowDxfId="115">
      <calculatedColumnFormula>[1]Aseguradoras!B2</calculatedColumnFormula>
    </tableColumn>
    <tableColumn id="3" name="VENTA DE BIENES DE USO" totalsRowFunction="sum" dataDxfId="114" totalsRowDxfId="113"/>
    <tableColumn id="4" name="VENTA DE BIENES RECIBIDOS EN PAGO" totalsRowFunction="sum" dataDxfId="112" totalsRowDxfId="111"/>
    <tableColumn id="17" name="TOTAL" totalsRowFunction="sum" dataDxfId="110" totalsRowDxfId="109">
      <calculatedColumnFormula>SUM(C1524:D1524)</calculatedColumnFormula>
    </tableColumn>
  </tableColumns>
  <tableStyleInfo name="TableStyleMedium9" showFirstColumn="1" showLastColumn="1" showRowStripes="0" showColumnStripes="1"/>
</table>
</file>

<file path=xl/tables/table39.xml><?xml version="1.0" encoding="utf-8"?>
<table xmlns="http://schemas.openxmlformats.org/spreadsheetml/2006/main" id="39" name="Tabla10128640941341541641744348348548748949349750150350451268810861088109110941095" displayName="Tabla10128640941341541641744348348548748949349750150350451268810861088109110941095" ref="A1486:D1520" totalsRowCount="1" headerRowDxfId="108" dataDxfId="106" totalsRowDxfId="104" headerRowBorderDxfId="107" tableBorderDxfId="105" totalsRowBorderDxfId="103">
  <sortState ref="A1487:Q1519">
    <sortCondition ref="A2:A34"/>
  </sortState>
  <tableColumns count="4">
    <tableColumn id="1" name="Nº" dataDxfId="102" totalsRowDxfId="101"/>
    <tableColumn id="2" name="COMPAÑÍAS" totalsRowLabel="TOTAL" dataDxfId="100" totalsRowDxfId="99">
      <calculatedColumnFormula>[1]Aseguradoras!B2</calculatedColumnFormula>
    </tableColumn>
    <tableColumn id="3" name="CUENTAS OPERATIVAS" totalsRowFunction="sum" dataDxfId="98" totalsRowDxfId="97"/>
    <tableColumn id="17" name="TOTAL" totalsRowFunction="sum" dataDxfId="96" totalsRowDxfId="95">
      <calculatedColumnFormula>SUM(C1487:C1487)</calculatedColumnFormula>
    </tableColumn>
  </tableColumns>
  <tableStyleInfo name="TableStyleMedium9" showFirstColumn="1" showLastColumn="1" showRowStripes="0" showColumnStripes="1"/>
</table>
</file>

<file path=xl/tables/table4.xml><?xml version="1.0" encoding="utf-8"?>
<table xmlns="http://schemas.openxmlformats.org/spreadsheetml/2006/main" id="4" name="Tabla101286409413666" displayName="Tabla101286409413666" ref="A302:Q336" totalsRowCount="1" headerRowDxfId="1322" dataDxfId="1320" totalsRowDxfId="1318" headerRowBorderDxfId="1321" tableBorderDxfId="1319" totalsRowBorderDxfId="1317" dataCellStyle="Millares [0]">
  <sortState ref="A303:Q335">
    <sortCondition ref="A2:A34"/>
  </sortState>
  <tableColumns count="17">
    <tableColumn id="1" name="Nº" dataDxfId="1316" totalsRowDxfId="1315"/>
    <tableColumn id="2" name="COMPAÑÍAS" totalsRowLabel="TOTAL" dataDxfId="1314" totalsRowDxfId="1313">
      <calculatedColumnFormula>[1]Aseguradoras!B2</calculatedColumnFormula>
    </tableColumn>
    <tableColumn id="3" name="INCENDIOS" totalsRowFunction="sum" dataDxfId="1312" totalsRowDxfId="1311"/>
    <tableColumn id="4" name="TRANSPORTES" totalsRowFunction="sum" dataDxfId="1310" totalsRowDxfId="1309"/>
    <tableColumn id="5" name="ACCIDENTES PERSONALES" totalsRowFunction="sum" dataDxfId="1308" totalsRowDxfId="1307"/>
    <tableColumn id="6" name="AUTOMÓVILES" totalsRowFunction="sum" dataDxfId="1306" totalsRowDxfId="1305"/>
    <tableColumn id="7" name="ACCIDENTES A PASAJEROS" totalsRowFunction="sum" dataDxfId="1304" totalsRowDxfId="1303"/>
    <tableColumn id="8" name="ROBO Y ASALTO" totalsRowFunction="sum" dataDxfId="1302" totalsRowDxfId="1301"/>
    <tableColumn id="9" name="CRISTALES\, VIDRIOS Y ESPEJOS" totalsRowFunction="sum" dataDxfId="1300" totalsRowDxfId="1299"/>
    <tableColumn id="10" name="AGROPECUARIO" totalsRowFunction="sum" dataDxfId="1298" totalsRowDxfId="1297"/>
    <tableColumn id="11" name="RIESGOS VARIOS" totalsRowFunction="sum" dataDxfId="1296" totalsRowDxfId="1295"/>
    <tableColumn id="12" name="RESPONSABILIDAD CIVIL" totalsRowFunction="sum" dataDxfId="1294" totalsRowDxfId="1293"/>
    <tableColumn id="13" name="AERONAVEGACIÓN" totalsRowFunction="sum" dataDxfId="1292" totalsRowDxfId="1291"/>
    <tableColumn id="14" name="RIESGOS TÉCNICOS" totalsRowFunction="sum" dataDxfId="1290" totalsRowDxfId="1289"/>
    <tableColumn id="15" name="CAUCIÓN" totalsRowFunction="sum" dataDxfId="1288" totalsRowDxfId="1287"/>
    <tableColumn id="16" name="VIDA" totalsRowFunction="sum" dataDxfId="1286" totalsRowDxfId="1285"/>
    <tableColumn id="17" name="TOTAL" totalsRowFunction="sum" dataDxfId="1284" totalsRowDxfId="1283">
      <calculatedColumnFormula>SUM(C303:P303)</calculatedColumnFormula>
    </tableColumn>
  </tableColumns>
  <tableStyleInfo name="TableStyleMedium9" showFirstColumn="1" showLastColumn="1" showRowStripes="0" showColumnStripes="1"/>
</table>
</file>

<file path=xl/tables/table40.xml><?xml version="1.0" encoding="utf-8"?>
<table xmlns="http://schemas.openxmlformats.org/spreadsheetml/2006/main" id="40" name="Tabla10128640941341541641744348348548748949349750150350451268810861088109110941096" displayName="Tabla10128640941341541641744348348548748949349750150350451268810861088109110941096" ref="A1560:D1594" totalsRowCount="1" headerRowDxfId="94" dataDxfId="92" totalsRowDxfId="90" headerRowBorderDxfId="93" tableBorderDxfId="91" totalsRowBorderDxfId="89">
  <sortState ref="A1561:Q1593">
    <sortCondition ref="A2:A34"/>
  </sortState>
  <tableColumns count="4">
    <tableColumn id="1" name="Nº" dataDxfId="88" totalsRowDxfId="87"/>
    <tableColumn id="2" name="COMPAÑÍAS" totalsRowLabel="TOTAL" dataDxfId="86" totalsRowDxfId="85">
      <calculatedColumnFormula>[1]Aseguradoras!B2</calculatedColumnFormula>
    </tableColumn>
    <tableColumn id="3" name="CESIÓN DE CARTERA DE SEGUROS" totalsRowFunction="sum" dataDxfId="84" totalsRowDxfId="83"/>
    <tableColumn id="17" name="TOTAL" totalsRowFunction="sum" dataDxfId="82" totalsRowDxfId="81">
      <calculatedColumnFormula>SUM(C1561:C1561)</calculatedColumnFormula>
    </tableColumn>
  </tableColumns>
  <tableStyleInfo name="TableStyleMedium9" showFirstColumn="1" showLastColumn="1" showRowStripes="0" showColumnStripes="1"/>
</table>
</file>

<file path=xl/tables/table41.xml><?xml version="1.0" encoding="utf-8"?>
<table xmlns="http://schemas.openxmlformats.org/spreadsheetml/2006/main" id="41" name="Tabla101286409413415416417443483485487489493497501503504512688108610881091109410961097" displayName="Tabla101286409413415416417443483485487489493497501503504512688108610881091109410961097" ref="A1597:D1631" totalsRowCount="1" headerRowDxfId="80" dataDxfId="78" totalsRowDxfId="76" headerRowBorderDxfId="79" tableBorderDxfId="77" totalsRowBorderDxfId="75">
  <sortState ref="A1598:Q1630">
    <sortCondition ref="A2:A34"/>
  </sortState>
  <tableColumns count="4">
    <tableColumn id="1" name="Nº" dataDxfId="74" totalsRowDxfId="73"/>
    <tableColumn id="2" name="COMPAÑÍAS" totalsRowLabel="TOTAL" dataDxfId="72" totalsRowDxfId="71">
      <calculatedColumnFormula>[1]Aseguradoras!B2</calculatedColumnFormula>
    </tableColumn>
    <tableColumn id="3" name="OTRAS GANANCIAS OPERATIVAS" totalsRowFunction="sum" dataDxfId="70" totalsRowDxfId="69"/>
    <tableColumn id="17" name="TOTAL" totalsRowFunction="sum" dataDxfId="68" totalsRowDxfId="67">
      <calculatedColumnFormula>SUM(C1598:C1598)</calculatedColumnFormula>
    </tableColumn>
  </tableColumns>
  <tableStyleInfo name="TableStyleMedium9" showFirstColumn="1" showLastColumn="1" showRowStripes="0" showColumnStripes="1"/>
</table>
</file>

<file path=xl/tables/table42.xml><?xml version="1.0" encoding="utf-8"?>
<table xmlns="http://schemas.openxmlformats.org/spreadsheetml/2006/main" id="42" name="Tabla101286409413415416417443483485487489493497501503506507686" displayName="Tabla101286409413415416417443483485487489493497501503506507686" ref="A968:Q1002" totalsRowCount="1" headerRowDxfId="66" dataDxfId="64" totalsRowDxfId="62" headerRowBorderDxfId="65" tableBorderDxfId="63" totalsRowBorderDxfId="61">
  <sortState ref="A969:Q1001">
    <sortCondition ref="A2:A34"/>
  </sortState>
  <tableColumns count="17">
    <tableColumn id="1" name="Nº" dataDxfId="60" totalsRowDxfId="59"/>
    <tableColumn id="2" name="COMPAÑÍAS" totalsRowLabel="TOTAL" dataDxfId="58" totalsRowDxfId="57">
      <calculatedColumnFormula>[1]Aseguradoras!B2</calculatedColumnFormula>
    </tableColumn>
    <tableColumn id="3" name="INCENDIOS" totalsRowFunction="sum" dataDxfId="56" totalsRowDxfId="55"/>
    <tableColumn id="4" name="TRANSPORTES" totalsRowFunction="sum" dataDxfId="54" totalsRowDxfId="53"/>
    <tableColumn id="5" name="ACCIDENTES PERSONALES" totalsRowFunction="sum" dataDxfId="52" totalsRowDxfId="51"/>
    <tableColumn id="6" name="AUTOMÓVILES" totalsRowFunction="sum" dataDxfId="50" totalsRowDxfId="49"/>
    <tableColumn id="7" name="ACCIDENTES A PASAJEROS" totalsRowFunction="sum" dataDxfId="48" totalsRowDxfId="47"/>
    <tableColumn id="8" name="ROBO Y ASALTO" totalsRowFunction="sum" dataDxfId="46" totalsRowDxfId="45"/>
    <tableColumn id="9" name="CRISTALES\, VIDRIOS Y ESPEJOS" totalsRowFunction="sum" dataDxfId="44" totalsRowDxfId="43"/>
    <tableColumn id="10" name="AGROPECUARIO" totalsRowFunction="sum" dataDxfId="42" totalsRowDxfId="41"/>
    <tableColumn id="11" name="RIESGOS VARIOS" totalsRowFunction="sum" dataDxfId="40" totalsRowDxfId="39"/>
    <tableColumn id="12" name="RESPONSABILIDAD CIVIL" totalsRowFunction="sum" dataDxfId="38" totalsRowDxfId="37"/>
    <tableColumn id="13" name="AERONAVEGACIÓN" totalsRowFunction="sum" dataDxfId="36" totalsRowDxfId="35"/>
    <tableColumn id="14" name="RIESGOS TÉCNICOS" totalsRowFunction="sum" dataDxfId="34" totalsRowDxfId="33"/>
    <tableColumn id="15" name="CAUCIÓN" totalsRowFunction="sum" dataDxfId="32" totalsRowDxfId="31"/>
    <tableColumn id="16" name="VIDA" totalsRowFunction="sum" dataDxfId="30" totalsRowDxfId="29"/>
    <tableColumn id="17" name="TOTAL" totalsRowFunction="sum" dataDxfId="28" totalsRowDxfId="27">
      <calculatedColumnFormula>SUM(C969:P969)</calculatedColumnFormula>
    </tableColumn>
  </tableColumns>
  <tableStyleInfo name="TableStyleMedium9" showFirstColumn="1" showLastColumn="1" showRowStripes="0" showColumnStripes="1"/>
</table>
</file>

<file path=xl/tables/table43.xml><?xml version="1.0" encoding="utf-8"?>
<table xmlns="http://schemas.openxmlformats.org/spreadsheetml/2006/main" id="43" name="Tabla16385" displayName="Tabla16385" ref="A228:D262" totalsRowCount="1" headerRowDxfId="26" dataDxfId="24" headerRowBorderDxfId="25" tableBorderDxfId="23" totalsRowBorderDxfId="22">
  <tableColumns count="4">
    <tableColumn id="1" name="Nº" dataDxfId="21" totalsRowDxfId="20"/>
    <tableColumn id="2" name="COMPAÑÍAS" totalsRowLabel="TOTAL" dataDxfId="19" totalsRowDxfId="18">
      <calculatedColumnFormula>[1]Aseguradoras!B2</calculatedColumnFormula>
    </tableColumn>
    <tableColumn id="3" name="VIDA" dataDxfId="17" totalsRowDxfId="16"/>
    <tableColumn id="4" name="TOTAL" totalsRowFunction="sum" dataDxfId="15" totalsRowDxfId="14">
      <calculatedColumnFormula>SUM(C229)</calculatedColumnFormula>
    </tableColumn>
  </tableColumns>
  <tableStyleInfo name="TableStyleMedium9" showFirstColumn="1" showLastColumn="1" showRowStripes="0" showColumnStripes="1"/>
</table>
</file>

<file path=xl/tables/table44.xml><?xml version="1.0" encoding="utf-8"?>
<table xmlns="http://schemas.openxmlformats.org/spreadsheetml/2006/main" id="44" name="Tabla16386" displayName="Tabla16386" ref="A265:D299" totalsRowCount="1" headerRowDxfId="13" dataDxfId="11" totalsRowDxfId="9" headerRowBorderDxfId="12" tableBorderDxfId="10" totalsRowBorderDxfId="8">
  <tableColumns count="4">
    <tableColumn id="1" name="Nº" totalsRowLabel="Total" dataDxfId="7" totalsRowDxfId="6"/>
    <tableColumn id="2" name="COMPAÑÍAS" dataDxfId="5" totalsRowDxfId="4">
      <calculatedColumnFormula>[1]Aseguradoras!B2</calculatedColumnFormula>
    </tableColumn>
    <tableColumn id="3" name="VIDA" totalsRowFunction="sum" dataDxfId="3" totalsRowDxfId="2"/>
    <tableColumn id="4" name="TOTAL" totalsRowFunction="sum" dataDxfId="1" totalsRowDxfId="0">
      <calculatedColumnFormula>SUM(C266)</calculatedColumnFormula>
    </tableColumn>
  </tableColumns>
  <tableStyleInfo name="TableStyleMedium9" showFirstColumn="1" showLastColumn="1" showRowStripes="0" showColumnStripes="1"/>
</table>
</file>

<file path=xl/tables/table5.xml><?xml version="1.0" encoding="utf-8"?>
<table xmlns="http://schemas.openxmlformats.org/spreadsheetml/2006/main" id="5" name="Tabla101286409413415667" displayName="Tabla101286409413415667" ref="A339:Q373" totalsRowCount="1" headerRowDxfId="1282" dataDxfId="1280" totalsRowDxfId="1278" headerRowBorderDxfId="1281" tableBorderDxfId="1279" totalsRowBorderDxfId="1277">
  <sortState ref="A340:Q372">
    <sortCondition ref="A2:A34"/>
  </sortState>
  <tableColumns count="17">
    <tableColumn id="1" name="Nº" dataDxfId="1276" totalsRowDxfId="1275"/>
    <tableColumn id="2" name="COMPAÑÍAS" totalsRowLabel="TOTAL" dataDxfId="1274" totalsRowDxfId="1273">
      <calculatedColumnFormula>[1]Aseguradoras!B2</calculatedColumnFormula>
    </tableColumn>
    <tableColumn id="3" name="INCENDIOS" totalsRowFunction="sum" dataDxfId="1272" totalsRowDxfId="1271"/>
    <tableColumn id="4" name="TRANSPORTES" totalsRowFunction="sum" dataDxfId="1270" totalsRowDxfId="1269"/>
    <tableColumn id="5" name="ACCIDENTES PERSONALES" totalsRowFunction="sum" dataDxfId="1268" totalsRowDxfId="1267"/>
    <tableColumn id="6" name="AUTOMÓVILES" totalsRowFunction="sum" dataDxfId="1266" totalsRowDxfId="1265"/>
    <tableColumn id="7" name="ACCIDENTES A PASAJEROS" totalsRowFunction="sum" dataDxfId="1264" totalsRowDxfId="1263"/>
    <tableColumn id="8" name="ROBO Y ASALTO" totalsRowFunction="sum" dataDxfId="1262" totalsRowDxfId="1261"/>
    <tableColumn id="9" name="CRISTALES\, VIDRIOS Y ESPEJOS" totalsRowFunction="sum" dataDxfId="1260" totalsRowDxfId="1259"/>
    <tableColumn id="10" name="AGROPECUARIO" totalsRowFunction="sum" dataDxfId="1258" totalsRowDxfId="1257"/>
    <tableColumn id="11" name="RIESGOS VARIOS" totalsRowFunction="sum" dataDxfId="1256" totalsRowDxfId="1255"/>
    <tableColumn id="12" name="RESPONSABILIDAD CIVIL" totalsRowFunction="sum" dataDxfId="1254" totalsRowDxfId="1253"/>
    <tableColumn id="13" name="AERONAVEGACIÓN" totalsRowFunction="sum" dataDxfId="1252" totalsRowDxfId="1251"/>
    <tableColumn id="14" name="RIESGOS TÉCNICOS" totalsRowFunction="sum" dataDxfId="1250" totalsRowDxfId="1249"/>
    <tableColumn id="15" name="CAUCIÓN" totalsRowFunction="sum" dataDxfId="1248" totalsRowDxfId="1247"/>
    <tableColumn id="16" name="VIDA" totalsRowFunction="sum" dataDxfId="1246" totalsRowDxfId="1245"/>
    <tableColumn id="17" name="TOTAL" totalsRowFunction="sum" dataDxfId="1244" totalsRowDxfId="1243">
      <calculatedColumnFormula>SUM(C340:P340)</calculatedColumnFormula>
    </tableColumn>
  </tableColumns>
  <tableStyleInfo name="TableStyleMedium9" showFirstColumn="1" showLastColumn="1" showRowStripes="0" showColumnStripes="1"/>
</table>
</file>

<file path=xl/tables/table6.xml><?xml version="1.0" encoding="utf-8"?>
<table xmlns="http://schemas.openxmlformats.org/spreadsheetml/2006/main" id="6" name="Tabla101286409413415416668" displayName="Tabla101286409413415416668" ref="A376:Q410" totalsRowCount="1" headerRowDxfId="1242" dataDxfId="1240" totalsRowDxfId="1238" headerRowBorderDxfId="1241" tableBorderDxfId="1239" totalsRowBorderDxfId="1237">
  <sortState ref="A377:Q409">
    <sortCondition ref="A2:A34"/>
  </sortState>
  <tableColumns count="17">
    <tableColumn id="1" name="Nº" dataDxfId="1236" totalsRowDxfId="1235"/>
    <tableColumn id="2" name="COMPAÑÍAS" totalsRowLabel="TOTAL" dataDxfId="1234" totalsRowDxfId="1233">
      <calculatedColumnFormula>[1]Aseguradoras!B2</calculatedColumnFormula>
    </tableColumn>
    <tableColumn id="3" name="INCENDIOS" totalsRowFunction="sum" dataDxfId="1232" totalsRowDxfId="1231"/>
    <tableColumn id="4" name="TRANSPORTES" totalsRowFunction="sum" dataDxfId="1230" totalsRowDxfId="1229"/>
    <tableColumn id="5" name="ACCIDENTES PERSONALES" totalsRowFunction="sum" dataDxfId="1228" totalsRowDxfId="1227"/>
    <tableColumn id="6" name="AUTOMÓVILES" totalsRowFunction="sum" dataDxfId="1226" totalsRowDxfId="1225"/>
    <tableColumn id="7" name="ACCIDENTES A PASAJEROS" totalsRowFunction="sum" dataDxfId="1224" totalsRowDxfId="1223"/>
    <tableColumn id="8" name="ROBO Y ASALTO" totalsRowFunction="sum" dataDxfId="1222" totalsRowDxfId="1221"/>
    <tableColumn id="9" name="CRISTALES\, VIDRIOS Y ESPEJOS" totalsRowFunction="sum" dataDxfId="1220" totalsRowDxfId="1219"/>
    <tableColumn id="10" name="AGROPECUARIO" totalsRowFunction="sum" dataDxfId="1218" totalsRowDxfId="1217"/>
    <tableColumn id="11" name="RIESGOS VARIOS" totalsRowFunction="sum" dataDxfId="1216" totalsRowDxfId="1215"/>
    <tableColumn id="12" name="RESPONSABILIDAD CIVIL" totalsRowFunction="sum" dataDxfId="1214" totalsRowDxfId="1213"/>
    <tableColumn id="13" name="AERONAVEGACIÓN" totalsRowFunction="sum" dataDxfId="1212" totalsRowDxfId="1211"/>
    <tableColumn id="14" name="RIESGOS TÉCNICOS" totalsRowFunction="sum" dataDxfId="1210" totalsRowDxfId="1209"/>
    <tableColumn id="15" name="CAUCIÓN" totalsRowFunction="sum" dataDxfId="1208" totalsRowDxfId="1207"/>
    <tableColumn id="16" name="VIDA" totalsRowFunction="sum" dataDxfId="1206" totalsRowDxfId="1205"/>
    <tableColumn id="17" name="TOTAL" totalsRowFunction="sum" dataDxfId="1204" totalsRowDxfId="1203">
      <calculatedColumnFormula>SUM(C377:P377)</calculatedColumnFormula>
    </tableColumn>
  </tableColumns>
  <tableStyleInfo name="TableStyleMedium9" showFirstColumn="1" showLastColumn="1" showRowStripes="0" showColumnStripes="1"/>
</table>
</file>

<file path=xl/tables/table7.xml><?xml version="1.0" encoding="utf-8"?>
<table xmlns="http://schemas.openxmlformats.org/spreadsheetml/2006/main" id="7" name="Tabla101286409413415416417669" displayName="Tabla101286409413415416417669" ref="A413:Q447" totalsRowCount="1" headerRowDxfId="1202" dataDxfId="1200" totalsRowDxfId="1198" headerRowBorderDxfId="1201" tableBorderDxfId="1199" totalsRowBorderDxfId="1197">
  <sortState ref="A414:Q446">
    <sortCondition ref="A2:A34"/>
  </sortState>
  <tableColumns count="17">
    <tableColumn id="1" name="Nº" dataDxfId="1196" totalsRowDxfId="1195"/>
    <tableColumn id="2" name="COMPAÑÍAS" totalsRowLabel="TOTAL" dataDxfId="1194" totalsRowDxfId="1193">
      <calculatedColumnFormula>[1]Aseguradoras!B2</calculatedColumnFormula>
    </tableColumn>
    <tableColumn id="3" name="INCENDIOS" totalsRowFunction="sum" dataDxfId="1192" totalsRowDxfId="1191"/>
    <tableColumn id="4" name="TRANSPORTES" totalsRowFunction="sum" dataDxfId="1190" totalsRowDxfId="1189"/>
    <tableColumn id="5" name="ACCIDENTES PERSONALES" totalsRowFunction="sum" dataDxfId="1188" totalsRowDxfId="1187"/>
    <tableColumn id="6" name="AUTOMÓVILES" totalsRowFunction="sum" dataDxfId="1186" totalsRowDxfId="1185"/>
    <tableColumn id="7" name="ACCIDENTES A PASAJEROS" totalsRowFunction="sum" dataDxfId="1184" totalsRowDxfId="1183"/>
    <tableColumn id="8" name="ROBO Y ASALTO" totalsRowFunction="sum" dataDxfId="1182" totalsRowDxfId="1181"/>
    <tableColumn id="9" name="CRISTALES\, VIDRIOS Y ESPEJOS" totalsRowFunction="sum" dataDxfId="1180" totalsRowDxfId="1179"/>
    <tableColumn id="10" name="AGROPECUARIO" totalsRowFunction="sum" dataDxfId="1178" totalsRowDxfId="1177"/>
    <tableColumn id="11" name="RIESGOS VARIOS" totalsRowFunction="sum" dataDxfId="1176" totalsRowDxfId="1175"/>
    <tableColumn id="12" name="RESPONSABILIDAD CIVIL" totalsRowFunction="sum" dataDxfId="1174" totalsRowDxfId="1173"/>
    <tableColumn id="13" name="AERONAVEGACIÓN" totalsRowFunction="sum" dataDxfId="1172" totalsRowDxfId="1171"/>
    <tableColumn id="14" name="RIESGOS TÉCNICOS" totalsRowFunction="sum" dataDxfId="1170" totalsRowDxfId="1169"/>
    <tableColumn id="15" name="CAUCIÓN" totalsRowFunction="sum" dataDxfId="1168" totalsRowDxfId="1167"/>
    <tableColumn id="16" name="VIDA" totalsRowFunction="sum" dataDxfId="1166" totalsRowDxfId="1165"/>
    <tableColumn id="17" name="TOTAL" totalsRowFunction="sum" dataDxfId="1164" totalsRowDxfId="1163">
      <calculatedColumnFormula>SUM(C414:P414)</calculatedColumnFormula>
    </tableColumn>
  </tableColumns>
  <tableStyleInfo name="TableStyleMedium9" showFirstColumn="1" showLastColumn="1" showRowStripes="0" showColumnStripes="1"/>
</table>
</file>

<file path=xl/tables/table8.xml><?xml version="1.0" encoding="utf-8"?>
<table xmlns="http://schemas.openxmlformats.org/spreadsheetml/2006/main" id="8" name="Tabla101286409413415416417443670" displayName="Tabla101286409413415416417443670" ref="A450:P484" totalsRowCount="1" headerRowDxfId="1162" dataDxfId="1160" totalsRowDxfId="1158" headerRowBorderDxfId="1161" tableBorderDxfId="1159" totalsRowBorderDxfId="1157">
  <sortState ref="A451:Q483">
    <sortCondition ref="A2:A34"/>
  </sortState>
  <tableColumns count="16">
    <tableColumn id="1" name="Nº" dataDxfId="1156" totalsRowDxfId="1155"/>
    <tableColumn id="2" name="COMPAÑÍAS" totalsRowLabel="TOTAL" dataDxfId="1154" totalsRowDxfId="1153">
      <calculatedColumnFormula>[1]Aseguradoras!B2</calculatedColumnFormula>
    </tableColumn>
    <tableColumn id="3" name="INCENDIOS" totalsRowFunction="sum" dataDxfId="1152" totalsRowDxfId="1151"/>
    <tableColumn id="4" name="TRANSPORTES" totalsRowFunction="sum" dataDxfId="1150" totalsRowDxfId="1149"/>
    <tableColumn id="5" name="ACCIDENTES PERSONALES" totalsRowFunction="sum" dataDxfId="1148" totalsRowDxfId="1147"/>
    <tableColumn id="6" name="AUTOMÓVILES" totalsRowFunction="sum" dataDxfId="1146" totalsRowDxfId="1145"/>
    <tableColumn id="7" name="ACCIDENTES A PASAJEROS" totalsRowFunction="sum" dataDxfId="1144" totalsRowDxfId="1143"/>
    <tableColumn id="8" name="ROBO Y ASALTO" totalsRowFunction="sum" dataDxfId="1142" totalsRowDxfId="1141"/>
    <tableColumn id="9" name="CRISTALES\, VIDRIOS Y ESPEJOS" totalsRowFunction="sum" dataDxfId="1140" totalsRowDxfId="1139"/>
    <tableColumn id="10" name="AGROPECUARIO" totalsRowFunction="sum" dataDxfId="1138" totalsRowDxfId="1137"/>
    <tableColumn id="11" name="RIESGOS VARIOS" totalsRowFunction="sum" dataDxfId="1136" totalsRowDxfId="1135"/>
    <tableColumn id="12" name="RESPONSABILIDAD CIVIL" totalsRowFunction="sum" dataDxfId="1134" totalsRowDxfId="1133"/>
    <tableColumn id="13" name="AERONAVEGACIÓN" totalsRowFunction="sum" dataDxfId="1132" totalsRowDxfId="1131"/>
    <tableColumn id="14" name="RIESGOS TÉCNICOS" totalsRowFunction="sum" dataDxfId="1130" totalsRowDxfId="1129"/>
    <tableColumn id="15" name="CAUCIÓN" totalsRowFunction="sum" dataDxfId="1128" totalsRowDxfId="1127"/>
    <tableColumn id="17" name="TOTAL" totalsRowFunction="sum" dataDxfId="1126" totalsRowDxfId="1125">
      <calculatedColumnFormula>SUM(C451:O451)</calculatedColumnFormula>
    </tableColumn>
  </tableColumns>
  <tableStyleInfo name="TableStyleMedium9" showFirstColumn="1" showLastColumn="1" showRowStripes="0" showColumnStripes="1"/>
</table>
</file>

<file path=xl/tables/table9.xml><?xml version="1.0" encoding="utf-8"?>
<table xmlns="http://schemas.openxmlformats.org/spreadsheetml/2006/main" id="9" name="Tabla101286409413415416417443483485486673" displayName="Tabla101286409413415416417443483485486673" ref="A487:Q521" totalsRowCount="1" headerRowDxfId="1124" dataDxfId="1122" totalsRowDxfId="1120" headerRowBorderDxfId="1123" tableBorderDxfId="1121" totalsRowBorderDxfId="1119">
  <sortState ref="A488:Q520">
    <sortCondition ref="A2:A34"/>
  </sortState>
  <tableColumns count="17">
    <tableColumn id="1" name="Nº" dataDxfId="1118" totalsRowDxfId="1117"/>
    <tableColumn id="2" name="COMPAÑÍAS" totalsRowLabel="TOTAL" dataDxfId="1116" totalsRowDxfId="1115">
      <calculatedColumnFormula>[1]Aseguradoras!B2</calculatedColumnFormula>
    </tableColumn>
    <tableColumn id="3" name="INCENDIOS" totalsRowFunction="sum" dataDxfId="1114" totalsRowDxfId="1113"/>
    <tableColumn id="4" name="TRANSPORTES" totalsRowFunction="sum" dataDxfId="1112" totalsRowDxfId="1111"/>
    <tableColumn id="5" name="ACCIDENTES PERSONALES" totalsRowFunction="sum" dataDxfId="1110" totalsRowDxfId="1109"/>
    <tableColumn id="6" name="AUTOMÓVILES" totalsRowFunction="sum" dataDxfId="1108" totalsRowDxfId="1107"/>
    <tableColumn id="7" name="ACCIDENTES A PASAJEROS" totalsRowFunction="sum" dataDxfId="1106" totalsRowDxfId="1105"/>
    <tableColumn id="8" name="ROBO Y ASALTO" totalsRowFunction="sum" dataDxfId="1104" totalsRowDxfId="1103"/>
    <tableColumn id="9" name="CRISTALES\, VIDRIOS Y ESPEJOS" totalsRowFunction="sum" dataDxfId="1102" totalsRowDxfId="1101"/>
    <tableColumn id="10" name="AGROPECUARIO" totalsRowFunction="sum" dataDxfId="1100" totalsRowDxfId="1099"/>
    <tableColumn id="11" name="RIESGOS VARIOS" totalsRowFunction="sum" dataDxfId="1098" totalsRowDxfId="1097"/>
    <tableColumn id="12" name="RESPONSABILIDAD CIVIL" totalsRowFunction="sum" dataDxfId="1096" totalsRowDxfId="1095"/>
    <tableColumn id="13" name="AERONAVEGACIÓN" totalsRowFunction="sum" dataDxfId="1094" totalsRowDxfId="1093"/>
    <tableColumn id="14" name="RIESGOS TÉCNICOS" totalsRowFunction="sum" dataDxfId="1092" totalsRowDxfId="1091"/>
    <tableColumn id="15" name="CAUCIÓN" totalsRowFunction="sum" dataDxfId="1090" totalsRowDxfId="1089"/>
    <tableColumn id="16" name="VIDA" totalsRowFunction="sum" dataDxfId="1088" totalsRowDxfId="1087"/>
    <tableColumn id="17" name="TOTAL" totalsRowFunction="sum" dataDxfId="1086" totalsRowDxfId="1085">
      <calculatedColumnFormula>SUM(C488:P488)</calculatedColumnFormula>
    </tableColumn>
  </tableColumns>
  <tableStyleInfo name="TableStyleMedium9" showFirstColumn="1" showLastColumn="1" showRowStripes="0" showColumnStripes="1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9" Type="http://schemas.openxmlformats.org/officeDocument/2006/relationships/table" Target="../tables/table38.xml"/><Relationship Id="rId21" Type="http://schemas.openxmlformats.org/officeDocument/2006/relationships/table" Target="../tables/table20.xml"/><Relationship Id="rId34" Type="http://schemas.openxmlformats.org/officeDocument/2006/relationships/table" Target="../tables/table33.xml"/><Relationship Id="rId42" Type="http://schemas.openxmlformats.org/officeDocument/2006/relationships/table" Target="../tables/table41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9" Type="http://schemas.openxmlformats.org/officeDocument/2006/relationships/table" Target="../tables/table2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37" Type="http://schemas.openxmlformats.org/officeDocument/2006/relationships/table" Target="../tables/table36.xml"/><Relationship Id="rId40" Type="http://schemas.openxmlformats.org/officeDocument/2006/relationships/table" Target="../tables/table39.xml"/><Relationship Id="rId45" Type="http://schemas.openxmlformats.org/officeDocument/2006/relationships/table" Target="../tables/table44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36" Type="http://schemas.openxmlformats.org/officeDocument/2006/relationships/table" Target="../tables/table35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4" Type="http://schemas.openxmlformats.org/officeDocument/2006/relationships/table" Target="../tables/table43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35" Type="http://schemas.openxmlformats.org/officeDocument/2006/relationships/table" Target="../tables/table34.xml"/><Relationship Id="rId43" Type="http://schemas.openxmlformats.org/officeDocument/2006/relationships/table" Target="../tables/table42.xml"/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38" Type="http://schemas.openxmlformats.org/officeDocument/2006/relationships/table" Target="../tables/table37.xml"/><Relationship Id="rId20" Type="http://schemas.openxmlformats.org/officeDocument/2006/relationships/table" Target="../tables/table19.xml"/><Relationship Id="rId41" Type="http://schemas.openxmlformats.org/officeDocument/2006/relationships/table" Target="../tables/table4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AG1634"/>
  <sheetViews>
    <sheetView showGridLines="0" tabSelected="1" view="pageLayout" topLeftCell="A1548" zoomScale="70" zoomScaleNormal="115" zoomScaleSheetLayoutView="70" zoomScalePageLayoutView="70" workbookViewId="0">
      <selection activeCell="E1567" sqref="E1567"/>
    </sheetView>
  </sheetViews>
  <sheetFormatPr baseColWidth="10" defaultRowHeight="12" x14ac:dyDescent="0.2"/>
  <cols>
    <col min="1" max="1" width="6.42578125" style="18" customWidth="1"/>
    <col min="2" max="2" width="37.42578125" style="6" bestFit="1" customWidth="1"/>
    <col min="3" max="3" width="21" style="6" customWidth="1"/>
    <col min="4" max="4" width="19.7109375" style="6" customWidth="1"/>
    <col min="5" max="5" width="19.42578125" style="6" customWidth="1"/>
    <col min="6" max="6" width="16.85546875" style="6" customWidth="1"/>
    <col min="7" max="7" width="16.5703125" style="6" customWidth="1"/>
    <col min="8" max="8" width="20.42578125" style="6" customWidth="1"/>
    <col min="9" max="9" width="22.42578125" style="6" bestFit="1" customWidth="1"/>
    <col min="10" max="10" width="20.42578125" style="6" bestFit="1" customWidth="1"/>
    <col min="11" max="11" width="18.140625" style="6" bestFit="1" customWidth="1"/>
    <col min="12" max="12" width="15.42578125" style="6" bestFit="1" customWidth="1"/>
    <col min="13" max="13" width="18.5703125" style="6" bestFit="1" customWidth="1"/>
    <col min="14" max="14" width="16.42578125" style="6" bestFit="1" customWidth="1"/>
    <col min="15" max="16" width="15.5703125" style="6" bestFit="1" customWidth="1"/>
    <col min="17" max="17" width="20.28515625" style="6" bestFit="1" customWidth="1"/>
    <col min="18" max="18" width="11.42578125" style="6"/>
    <col min="19" max="19" width="13.7109375" style="6" bestFit="1" customWidth="1"/>
    <col min="20" max="16384" width="11.42578125" style="6"/>
  </cols>
  <sheetData>
    <row r="1" spans="1:17" ht="28.35" customHeight="1" x14ac:dyDescent="0.2">
      <c r="A1" s="1" t="s">
        <v>0</v>
      </c>
      <c r="B1" s="47" t="s">
        <v>1</v>
      </c>
      <c r="C1" s="47"/>
      <c r="D1" s="2"/>
      <c r="E1" s="3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ht="24" x14ac:dyDescent="0.2">
      <c r="A2" s="7" t="s">
        <v>2</v>
      </c>
      <c r="B2" s="8" t="s">
        <v>3</v>
      </c>
      <c r="C2" s="9" t="s">
        <v>4</v>
      </c>
      <c r="D2" s="9" t="s">
        <v>5</v>
      </c>
      <c r="E2" s="9" t="s">
        <v>6</v>
      </c>
      <c r="F2" s="9" t="s">
        <v>7</v>
      </c>
      <c r="G2" s="9" t="s">
        <v>8</v>
      </c>
      <c r="H2" s="9" t="s">
        <v>9</v>
      </c>
      <c r="I2" s="9" t="s">
        <v>10</v>
      </c>
      <c r="J2" s="9" t="s">
        <v>11</v>
      </c>
      <c r="K2" s="9" t="s">
        <v>12</v>
      </c>
      <c r="L2" s="9" t="s">
        <v>13</v>
      </c>
      <c r="M2" s="9" t="s">
        <v>14</v>
      </c>
      <c r="N2" s="9" t="s">
        <v>15</v>
      </c>
      <c r="O2" s="9" t="s">
        <v>16</v>
      </c>
      <c r="P2" s="9" t="s">
        <v>17</v>
      </c>
      <c r="Q2" s="8" t="s">
        <v>18</v>
      </c>
    </row>
    <row r="3" spans="1:17" x14ac:dyDescent="0.2">
      <c r="A3" s="10">
        <v>1</v>
      </c>
      <c r="B3" s="11" t="str">
        <f>[1]Aseguradoras!B2</f>
        <v>El Comercio Paraguayo S.A. de Seguros</v>
      </c>
      <c r="C3" s="12">
        <f>LOOKUP(401010100,[1]PlanCuentas!$A$2:$A$6092,[1]PlanCuentas!C$2:C$6092)</f>
        <v>1488876166</v>
      </c>
      <c r="D3" s="12">
        <f>LOOKUP(401010200,[1]PlanCuentas!$A$2:$A$6092,[1]PlanCuentas!C$2:C$6092)</f>
        <v>1083709177</v>
      </c>
      <c r="E3" s="12">
        <f>LOOKUP(401010300,[1]PlanCuentas!$A$2:$A$6092,[1]PlanCuentas!C$2:C$6092)</f>
        <v>222401150</v>
      </c>
      <c r="F3" s="12">
        <f>LOOKUP(401010400,[1]PlanCuentas!$A$2:$A$6092,[1]PlanCuentas!C$2:C$6092)</f>
        <v>17840806003</v>
      </c>
      <c r="G3" s="12">
        <f>LOOKUP(401010500,[1]PlanCuentas!$A$2:$A$6092,[1]PlanCuentas!C$2:C$6092)</f>
        <v>207258529</v>
      </c>
      <c r="H3" s="12">
        <f>LOOKUP(401010600,[1]PlanCuentas!$A$2:$A$6092,[1]PlanCuentas!C$2:C$6092)</f>
        <v>316791031</v>
      </c>
      <c r="I3" s="12">
        <f>LOOKUP(401010700,[1]PlanCuentas!$A$2:$A$6092,[1]PlanCuentas!C$2:C$6092)</f>
        <v>11643771</v>
      </c>
      <c r="J3" s="12">
        <f>LOOKUP(401010800,[1]PlanCuentas!$A$2:$A$6092,[1]PlanCuentas!C$2:C$6092)</f>
        <v>0</v>
      </c>
      <c r="K3" s="12">
        <f>LOOKUP(401010900,[1]PlanCuentas!$A$2:$A$6092,[1]PlanCuentas!C$2:C$6092)</f>
        <v>146265474</v>
      </c>
      <c r="L3" s="12">
        <f>LOOKUP(401011000,[1]PlanCuentas!$A$2:$A$6092,[1]PlanCuentas!C$2:C$6092)</f>
        <v>3418933252</v>
      </c>
      <c r="M3" s="12">
        <f>LOOKUP(401011100,[1]PlanCuentas!$A$2:$A$6092,[1]PlanCuentas!C$2:C$6092)</f>
        <v>53147190</v>
      </c>
      <c r="N3" s="12">
        <f>LOOKUP(401011200,[1]PlanCuentas!$A$2:$A$6092,[1]PlanCuentas!C$2:C$6092)</f>
        <v>768067652</v>
      </c>
      <c r="O3" s="12">
        <f>LOOKUP(401011300,[1]PlanCuentas!$A$2:$A$6092,[1]PlanCuentas!C$2:C$6092)</f>
        <v>4734418984</v>
      </c>
      <c r="P3" s="12">
        <f>LOOKUP(401012000,[1]PlanCuentas!$A$2:$A$6092,[1]PlanCuentas!C$2:C$6092)</f>
        <v>411060268</v>
      </c>
      <c r="Q3" s="13">
        <f t="shared" ref="Q3:Q35" si="0">SUM(C3:P3)</f>
        <v>30703378647</v>
      </c>
    </row>
    <row r="4" spans="1:17" x14ac:dyDescent="0.2">
      <c r="A4" s="10">
        <v>2</v>
      </c>
      <c r="B4" s="11" t="str">
        <f>[1]Aseguradoras!B3</f>
        <v>La Rural S.A de Seguros</v>
      </c>
      <c r="C4" s="12">
        <f>LOOKUP(401010100,[1]PlanCuentas!$A$2:$A$6092,[1]PlanCuentas!D$2:D$6092)</f>
        <v>5801930604</v>
      </c>
      <c r="D4" s="12">
        <f>LOOKUP(401010200,[1]PlanCuentas!$A$2:$A$6092,[1]PlanCuentas!D$2:D$6092)</f>
        <v>2656506112</v>
      </c>
      <c r="E4" s="12">
        <f>LOOKUP(401010300,[1]PlanCuentas!$A$2:$A$6092,[1]PlanCuentas!D$2:D$6092)</f>
        <v>291826496</v>
      </c>
      <c r="F4" s="12">
        <f>LOOKUP(401010400,[1]PlanCuentas!$A$2:$A$6092,[1]PlanCuentas!D$2:D$6092)</f>
        <v>20891315612</v>
      </c>
      <c r="G4" s="12">
        <f>LOOKUP(401010500,[1]PlanCuentas!$A$2:$A$6092,[1]PlanCuentas!D$2:D$6092)</f>
        <v>0</v>
      </c>
      <c r="H4" s="12">
        <f>LOOKUP(401010600,[1]PlanCuentas!$A$2:$A$6092,[1]PlanCuentas!D$2:D$6092)</f>
        <v>1745903851</v>
      </c>
      <c r="I4" s="12">
        <f>LOOKUP(401010700,[1]PlanCuentas!$A$2:$A$6092,[1]PlanCuentas!D$2:D$6092)</f>
        <v>118191433</v>
      </c>
      <c r="J4" s="12">
        <f>LOOKUP(401010800,[1]PlanCuentas!$A$2:$A$6092,[1]PlanCuentas!D$2:D$6092)</f>
        <v>0</v>
      </c>
      <c r="K4" s="12">
        <f>LOOKUP(401010900,[1]PlanCuentas!$A$2:$A$6092,[1]PlanCuentas!D$2:D$6092)</f>
        <v>103636789</v>
      </c>
      <c r="L4" s="12">
        <f>LOOKUP(401011000,[1]PlanCuentas!$A$2:$A$6092,[1]PlanCuentas!D$2:D$6092)</f>
        <v>749694154</v>
      </c>
      <c r="M4" s="12">
        <f>LOOKUP(401011100,[1]PlanCuentas!$A$2:$A$6092,[1]PlanCuentas!D$2:D$6092)</f>
        <v>692863646</v>
      </c>
      <c r="N4" s="12">
        <f>LOOKUP(401011200,[1]PlanCuentas!$A$2:$A$6092,[1]PlanCuentas!D$2:D$6092)</f>
        <v>247352824</v>
      </c>
      <c r="O4" s="12">
        <f>LOOKUP(401011300,[1]PlanCuentas!$A$2:$A$6092,[1]PlanCuentas!D$2:D$6092)</f>
        <v>864293714</v>
      </c>
      <c r="P4" s="12">
        <f>LOOKUP(401012000,[1]PlanCuentas!$A$2:$A$6092,[1]PlanCuentas!D$2:D$6092)</f>
        <v>1048057305</v>
      </c>
      <c r="Q4" s="13">
        <f t="shared" si="0"/>
        <v>35211572540</v>
      </c>
    </row>
    <row r="5" spans="1:17" x14ac:dyDescent="0.2">
      <c r="A5" s="10">
        <v>3</v>
      </c>
      <c r="B5" s="11" t="str">
        <f>[1]Aseguradoras!B4</f>
        <v>La Paraguaya S.A de Seguros</v>
      </c>
      <c r="C5" s="12">
        <f>LOOKUP(401010100,[1]PlanCuentas!$A$2:$A$6092,[1]PlanCuentas!E$2:E$6092)</f>
        <v>4706448452</v>
      </c>
      <c r="D5" s="12">
        <f>LOOKUP(401010200,[1]PlanCuentas!$A$2:$A$6092,[1]PlanCuentas!E$2:E$6092)</f>
        <v>539142928</v>
      </c>
      <c r="E5" s="12">
        <f>LOOKUP(401010300,[1]PlanCuentas!$A$2:$A$6092,[1]PlanCuentas!E$2:E$6092)</f>
        <v>291235508</v>
      </c>
      <c r="F5" s="12">
        <f>LOOKUP(401010400,[1]PlanCuentas!$A$2:$A$6092,[1]PlanCuentas!E$2:E$6092)</f>
        <v>4957935394</v>
      </c>
      <c r="G5" s="12">
        <f>LOOKUP(401010500,[1]PlanCuentas!$A$2:$A$6092,[1]PlanCuentas!E$2:E$6092)</f>
        <v>0</v>
      </c>
      <c r="H5" s="12">
        <f>LOOKUP(401010600,[1]PlanCuentas!$A$2:$A$6092,[1]PlanCuentas!E$2:E$6092)</f>
        <v>878083021</v>
      </c>
      <c r="I5" s="12">
        <f>LOOKUP(401010700,[1]PlanCuentas!$A$2:$A$6092,[1]PlanCuentas!E$2:E$6092)</f>
        <v>0</v>
      </c>
      <c r="J5" s="12">
        <f>LOOKUP(401010800,[1]PlanCuentas!$A$2:$A$6092,[1]PlanCuentas!E$2:E$6092)</f>
        <v>0</v>
      </c>
      <c r="K5" s="12">
        <f>LOOKUP(401010900,[1]PlanCuentas!$A$2:$A$6092,[1]PlanCuentas!E$2:E$6092)</f>
        <v>86686191</v>
      </c>
      <c r="L5" s="12">
        <f>LOOKUP(401011000,[1]PlanCuentas!$A$2:$A$6092,[1]PlanCuentas!E$2:E$6092)</f>
        <v>857135924</v>
      </c>
      <c r="M5" s="12">
        <f>LOOKUP(401011100,[1]PlanCuentas!$A$2:$A$6092,[1]PlanCuentas!E$2:E$6092)</f>
        <v>2005282</v>
      </c>
      <c r="N5" s="12">
        <f>LOOKUP(401011200,[1]PlanCuentas!$A$2:$A$6092,[1]PlanCuentas!E$2:E$6092)</f>
        <v>299039783</v>
      </c>
      <c r="O5" s="12">
        <f>LOOKUP(401011300,[1]PlanCuentas!$A$2:$A$6092,[1]PlanCuentas!E$2:E$6092)</f>
        <v>436200480</v>
      </c>
      <c r="P5" s="12">
        <f>LOOKUP(401012000,[1]PlanCuentas!$A$2:$A$6092,[1]PlanCuentas!E$2:E$6092)</f>
        <v>2585859075</v>
      </c>
      <c r="Q5" s="13">
        <f t="shared" si="0"/>
        <v>15639772038</v>
      </c>
    </row>
    <row r="6" spans="1:17" x14ac:dyDescent="0.2">
      <c r="A6" s="10">
        <v>4</v>
      </c>
      <c r="B6" s="11" t="str">
        <f>[1]Aseguradoras!B5</f>
        <v>Seguros Generales S. A (SEGESA)</v>
      </c>
      <c r="C6" s="12">
        <f>LOOKUP(401010100,[1]PlanCuentas!$A$2:$A$6092,[1]PlanCuentas!F$2:F$6092)</f>
        <v>1566063398</v>
      </c>
      <c r="D6" s="12">
        <f>LOOKUP(401010200,[1]PlanCuentas!$A$2:$A$6092,[1]PlanCuentas!F$2:F$6092)</f>
        <v>586817732</v>
      </c>
      <c r="E6" s="12">
        <f>LOOKUP(401010300,[1]PlanCuentas!$A$2:$A$6092,[1]PlanCuentas!F$2:F$6092)</f>
        <v>33720487</v>
      </c>
      <c r="F6" s="12">
        <f>LOOKUP(401010400,[1]PlanCuentas!$A$2:$A$6092,[1]PlanCuentas!F$2:F$6092)</f>
        <v>5779076249</v>
      </c>
      <c r="G6" s="12">
        <f>LOOKUP(401010500,[1]PlanCuentas!$A$2:$A$6092,[1]PlanCuentas!F$2:F$6092)</f>
        <v>169717823</v>
      </c>
      <c r="H6" s="12">
        <f>LOOKUP(401010600,[1]PlanCuentas!$A$2:$A$6092,[1]PlanCuentas!F$2:F$6092)</f>
        <v>348176253</v>
      </c>
      <c r="I6" s="12">
        <f>LOOKUP(401010700,[1]PlanCuentas!$A$2:$A$6092,[1]PlanCuentas!F$2:F$6092)</f>
        <v>28832162</v>
      </c>
      <c r="J6" s="12">
        <f>LOOKUP(401010800,[1]PlanCuentas!$A$2:$A$6092,[1]PlanCuentas!F$2:F$6092)</f>
        <v>0</v>
      </c>
      <c r="K6" s="12">
        <f>LOOKUP(401010900,[1]PlanCuentas!$A$2:$A$6092,[1]PlanCuentas!F$2:F$6092)</f>
        <v>184829332</v>
      </c>
      <c r="L6" s="12">
        <f>LOOKUP(401011000,[1]PlanCuentas!$A$2:$A$6092,[1]PlanCuentas!F$2:F$6092)</f>
        <v>492229311</v>
      </c>
      <c r="M6" s="12">
        <f>LOOKUP(401011100,[1]PlanCuentas!$A$2:$A$6092,[1]PlanCuentas!F$2:F$6092)</f>
        <v>0</v>
      </c>
      <c r="N6" s="12">
        <f>LOOKUP(401011200,[1]PlanCuentas!$A$2:$A$6092,[1]PlanCuentas!F$2:F$6092)</f>
        <v>134704110</v>
      </c>
      <c r="O6" s="12">
        <f>LOOKUP(401011300,[1]PlanCuentas!$A$2:$A$6092,[1]PlanCuentas!F$2:F$6092)</f>
        <v>867915435</v>
      </c>
      <c r="P6" s="12">
        <f>LOOKUP(401012000,[1]PlanCuentas!$A$2:$A$6092,[1]PlanCuentas!F$2:F$6092)</f>
        <v>111043853</v>
      </c>
      <c r="Q6" s="13">
        <f t="shared" si="0"/>
        <v>10303126145</v>
      </c>
    </row>
    <row r="7" spans="1:17" x14ac:dyDescent="0.2">
      <c r="A7" s="10">
        <v>5</v>
      </c>
      <c r="B7" s="11" t="str">
        <f>[1]Aseguradoras!B6</f>
        <v>Rumbos S.A de Seguros</v>
      </c>
      <c r="C7" s="12">
        <f>LOOKUP(401010100,[1]PlanCuentas!$A$2:$A$6092,[1]PlanCuentas!G$2:G$6092)</f>
        <v>1105809013</v>
      </c>
      <c r="D7" s="12">
        <f>LOOKUP(401010200,[1]PlanCuentas!$A$2:$A$6092,[1]PlanCuentas!G$2:G$6092)</f>
        <v>957442532</v>
      </c>
      <c r="E7" s="12">
        <f>LOOKUP(401010300,[1]PlanCuentas!$A$2:$A$6092,[1]PlanCuentas!G$2:G$6092)</f>
        <v>67194231</v>
      </c>
      <c r="F7" s="12">
        <f>LOOKUP(401010400,[1]PlanCuentas!$A$2:$A$6092,[1]PlanCuentas!G$2:G$6092)</f>
        <v>19089882549</v>
      </c>
      <c r="G7" s="12">
        <f>LOOKUP(401010500,[1]PlanCuentas!$A$2:$A$6092,[1]PlanCuentas!G$2:G$6092)</f>
        <v>1815772520</v>
      </c>
      <c r="H7" s="12">
        <f>LOOKUP(401010600,[1]PlanCuentas!$A$2:$A$6092,[1]PlanCuentas!G$2:G$6092)</f>
        <v>438129537</v>
      </c>
      <c r="I7" s="12">
        <f>LOOKUP(401010700,[1]PlanCuentas!$A$2:$A$6092,[1]PlanCuentas!G$2:G$6092)</f>
        <v>12670904</v>
      </c>
      <c r="J7" s="12">
        <f>LOOKUP(401010800,[1]PlanCuentas!$A$2:$A$6092,[1]PlanCuentas!G$2:G$6092)</f>
        <v>0</v>
      </c>
      <c r="K7" s="12">
        <f>LOOKUP(401010900,[1]PlanCuentas!$A$2:$A$6092,[1]PlanCuentas!G$2:G$6092)</f>
        <v>1032979765</v>
      </c>
      <c r="L7" s="12">
        <f>LOOKUP(401011000,[1]PlanCuentas!$A$2:$A$6092,[1]PlanCuentas!G$2:G$6092)</f>
        <v>1960676143</v>
      </c>
      <c r="M7" s="12">
        <f>LOOKUP(401011100,[1]PlanCuentas!$A$2:$A$6092,[1]PlanCuentas!G$2:G$6092)</f>
        <v>386496004</v>
      </c>
      <c r="N7" s="12">
        <f>LOOKUP(401011200,[1]PlanCuentas!$A$2:$A$6092,[1]PlanCuentas!G$2:G$6092)</f>
        <v>355266444</v>
      </c>
      <c r="O7" s="12">
        <f>LOOKUP(401011300,[1]PlanCuentas!$A$2:$A$6092,[1]PlanCuentas!G$2:G$6092)</f>
        <v>1168618794</v>
      </c>
      <c r="P7" s="12">
        <f>LOOKUP(401012000,[1]PlanCuentas!$A$2:$A$6092,[1]PlanCuentas!G$2:G$6092)</f>
        <v>7952165628</v>
      </c>
      <c r="Q7" s="13">
        <f t="shared" si="0"/>
        <v>36343104064</v>
      </c>
    </row>
    <row r="8" spans="1:17" x14ac:dyDescent="0.2">
      <c r="A8" s="10">
        <v>6</v>
      </c>
      <c r="B8" s="11" t="str">
        <f>[1]Aseguradoras!B7</f>
        <v>La Consolidada S.A de Seguros</v>
      </c>
      <c r="C8" s="12">
        <f>LOOKUP(401010100,[1]PlanCuentas!$A$2:$A$6092,[1]PlanCuentas!H$2:H$6092)</f>
        <v>4066609455</v>
      </c>
      <c r="D8" s="12">
        <f>LOOKUP(401010200,[1]PlanCuentas!$A$2:$A$6092,[1]PlanCuentas!H$2:H$6092)</f>
        <v>4983658567</v>
      </c>
      <c r="E8" s="12">
        <f>LOOKUP(401010300,[1]PlanCuentas!$A$2:$A$6092,[1]PlanCuentas!H$2:H$6092)</f>
        <v>426584971</v>
      </c>
      <c r="F8" s="12">
        <f>LOOKUP(401010400,[1]PlanCuentas!$A$2:$A$6092,[1]PlanCuentas!H$2:H$6092)</f>
        <v>50774921128</v>
      </c>
      <c r="G8" s="12">
        <f>LOOKUP(401010500,[1]PlanCuentas!$A$2:$A$6092,[1]PlanCuentas!H$2:H$6092)</f>
        <v>207258538</v>
      </c>
      <c r="H8" s="12">
        <f>LOOKUP(401010600,[1]PlanCuentas!$A$2:$A$6092,[1]PlanCuentas!H$2:H$6092)</f>
        <v>1535125943</v>
      </c>
      <c r="I8" s="12">
        <f>LOOKUP(401010700,[1]PlanCuentas!$A$2:$A$6092,[1]PlanCuentas!H$2:H$6092)</f>
        <v>131517287</v>
      </c>
      <c r="J8" s="12">
        <f>LOOKUP(401010800,[1]PlanCuentas!$A$2:$A$6092,[1]PlanCuentas!H$2:H$6092)</f>
        <v>0</v>
      </c>
      <c r="K8" s="12">
        <f>LOOKUP(401010900,[1]PlanCuentas!$A$2:$A$6092,[1]PlanCuentas!H$2:H$6092)</f>
        <v>3761546071</v>
      </c>
      <c r="L8" s="12">
        <f>LOOKUP(401011000,[1]PlanCuentas!$A$2:$A$6092,[1]PlanCuentas!H$2:H$6092)</f>
        <v>1147040965</v>
      </c>
      <c r="M8" s="12">
        <f>LOOKUP(401011100,[1]PlanCuentas!$A$2:$A$6092,[1]PlanCuentas!H$2:H$6092)</f>
        <v>288056228</v>
      </c>
      <c r="N8" s="12">
        <f>LOOKUP(401011200,[1]PlanCuentas!$A$2:$A$6092,[1]PlanCuentas!H$2:H$6092)</f>
        <v>1294310310</v>
      </c>
      <c r="O8" s="12">
        <f>LOOKUP(401011300,[1]PlanCuentas!$A$2:$A$6092,[1]PlanCuentas!H$2:H$6092)</f>
        <v>7620461458</v>
      </c>
      <c r="P8" s="12">
        <f>LOOKUP(401012000,[1]PlanCuentas!$A$2:$A$6092,[1]PlanCuentas!H$2:H$6092)</f>
        <v>7514302689</v>
      </c>
      <c r="Q8" s="13">
        <f t="shared" si="0"/>
        <v>83751393610</v>
      </c>
    </row>
    <row r="9" spans="1:17" x14ac:dyDescent="0.2">
      <c r="A9" s="10">
        <v>7</v>
      </c>
      <c r="B9" s="11" t="str">
        <f>[1]Aseguradoras!B8</f>
        <v>El Productor S.A de Seguros y Reaseguros</v>
      </c>
      <c r="C9" s="12">
        <f>LOOKUP(401010100,[1]PlanCuentas!$A$2:$A$6092,[1]PlanCuentas!I$2:I$6092)</f>
        <v>1555812254</v>
      </c>
      <c r="D9" s="12">
        <f>LOOKUP(401010200,[1]PlanCuentas!$A$2:$A$6092,[1]PlanCuentas!I$2:I$6092)</f>
        <v>393690361</v>
      </c>
      <c r="E9" s="12">
        <f>LOOKUP(401010300,[1]PlanCuentas!$A$2:$A$6092,[1]PlanCuentas!I$2:I$6092)</f>
        <v>16443010</v>
      </c>
      <c r="F9" s="12">
        <f>LOOKUP(401010400,[1]PlanCuentas!$A$2:$A$6092,[1]PlanCuentas!I$2:I$6092)</f>
        <v>15367779608</v>
      </c>
      <c r="G9" s="12">
        <f>LOOKUP(401010500,[1]PlanCuentas!$A$2:$A$6092,[1]PlanCuentas!I$2:I$6092)</f>
        <v>207258529</v>
      </c>
      <c r="H9" s="12">
        <f>LOOKUP(401010600,[1]PlanCuentas!$A$2:$A$6092,[1]PlanCuentas!I$2:I$6092)</f>
        <v>701169086</v>
      </c>
      <c r="I9" s="12">
        <f>LOOKUP(401010700,[1]PlanCuentas!$A$2:$A$6092,[1]PlanCuentas!I$2:I$6092)</f>
        <v>42434097</v>
      </c>
      <c r="J9" s="12">
        <f>LOOKUP(401010800,[1]PlanCuentas!$A$2:$A$6092,[1]PlanCuentas!I$2:I$6092)</f>
        <v>0</v>
      </c>
      <c r="K9" s="12">
        <f>LOOKUP(401010900,[1]PlanCuentas!$A$2:$A$6092,[1]PlanCuentas!I$2:I$6092)</f>
        <v>2808790342</v>
      </c>
      <c r="L9" s="12">
        <f>LOOKUP(401011000,[1]PlanCuentas!$A$2:$A$6092,[1]PlanCuentas!I$2:I$6092)</f>
        <v>707116349</v>
      </c>
      <c r="M9" s="12">
        <f>LOOKUP(401011100,[1]PlanCuentas!$A$2:$A$6092,[1]PlanCuentas!I$2:I$6092)</f>
        <v>1512670</v>
      </c>
      <c r="N9" s="12">
        <f>LOOKUP(401011200,[1]PlanCuentas!$A$2:$A$6092,[1]PlanCuentas!I$2:I$6092)</f>
        <v>214972196</v>
      </c>
      <c r="O9" s="12">
        <f>LOOKUP(401011300,[1]PlanCuentas!$A$2:$A$6092,[1]PlanCuentas!I$2:I$6092)</f>
        <v>44214916</v>
      </c>
      <c r="P9" s="12">
        <f>LOOKUP(401012000,[1]PlanCuentas!$A$2:$A$6092,[1]PlanCuentas!I$2:I$6092)</f>
        <v>135994029</v>
      </c>
      <c r="Q9" s="13">
        <f t="shared" si="0"/>
        <v>22197187447</v>
      </c>
    </row>
    <row r="10" spans="1:17" x14ac:dyDescent="0.2">
      <c r="A10" s="10">
        <v>8</v>
      </c>
      <c r="B10" s="11" t="str">
        <f>[1]Aseguradoras!B9</f>
        <v>Atalaya S.A de Seguros Generales</v>
      </c>
      <c r="C10" s="12">
        <f>LOOKUP(401010100,[1]PlanCuentas!$A$2:$A$6092,[1]PlanCuentas!J$2:J$6092)</f>
        <v>577372242</v>
      </c>
      <c r="D10" s="12">
        <f>LOOKUP(401010200,[1]PlanCuentas!$A$2:$A$6092,[1]PlanCuentas!J$2:J$6092)</f>
        <v>59450048</v>
      </c>
      <c r="E10" s="12">
        <f>LOOKUP(401010300,[1]PlanCuentas!$A$2:$A$6092,[1]PlanCuentas!J$2:J$6092)</f>
        <v>209502909</v>
      </c>
      <c r="F10" s="12">
        <f>LOOKUP(401010400,[1]PlanCuentas!$A$2:$A$6092,[1]PlanCuentas!J$2:J$6092)</f>
        <v>5805192180</v>
      </c>
      <c r="G10" s="12">
        <f>LOOKUP(401010500,[1]PlanCuentas!$A$2:$A$6092,[1]PlanCuentas!J$2:J$6092)</f>
        <v>152840660</v>
      </c>
      <c r="H10" s="12">
        <f>LOOKUP(401010600,[1]PlanCuentas!$A$2:$A$6092,[1]PlanCuentas!J$2:J$6092)</f>
        <v>78474009</v>
      </c>
      <c r="I10" s="12">
        <f>LOOKUP(401010700,[1]PlanCuentas!$A$2:$A$6092,[1]PlanCuentas!J$2:J$6092)</f>
        <v>4577059</v>
      </c>
      <c r="J10" s="12">
        <f>LOOKUP(401010800,[1]PlanCuentas!$A$2:$A$6092,[1]PlanCuentas!J$2:J$6092)</f>
        <v>0</v>
      </c>
      <c r="K10" s="12">
        <f>LOOKUP(401010900,[1]PlanCuentas!$A$2:$A$6092,[1]PlanCuentas!J$2:J$6092)</f>
        <v>38069816</v>
      </c>
      <c r="L10" s="12">
        <f>LOOKUP(401011000,[1]PlanCuentas!$A$2:$A$6092,[1]PlanCuentas!J$2:J$6092)</f>
        <v>309937334</v>
      </c>
      <c r="M10" s="12">
        <f>LOOKUP(401011100,[1]PlanCuentas!$A$2:$A$6092,[1]PlanCuentas!J$2:J$6092)</f>
        <v>30978964</v>
      </c>
      <c r="N10" s="12">
        <f>LOOKUP(401011200,[1]PlanCuentas!$A$2:$A$6092,[1]PlanCuentas!J$2:J$6092)</f>
        <v>9848223</v>
      </c>
      <c r="O10" s="12">
        <f>LOOKUP(401011300,[1]PlanCuentas!$A$2:$A$6092,[1]PlanCuentas!J$2:J$6092)</f>
        <v>50548622</v>
      </c>
      <c r="P10" s="12">
        <f>LOOKUP(401012000,[1]PlanCuentas!$A$2:$A$6092,[1]PlanCuentas!J$2:J$6092)</f>
        <v>0</v>
      </c>
      <c r="Q10" s="13">
        <f t="shared" si="0"/>
        <v>7326792066</v>
      </c>
    </row>
    <row r="11" spans="1:17" x14ac:dyDescent="0.2">
      <c r="A11" s="10">
        <v>9</v>
      </c>
      <c r="B11" s="11" t="str">
        <f>[1]Aseguradoras!B10</f>
        <v>La Independencia de Seguros S.A.</v>
      </c>
      <c r="C11" s="12">
        <f>LOOKUP(401010100,[1]PlanCuentas!$A$2:$A$6092,[1]PlanCuentas!K$2:K$6092)</f>
        <v>218250806</v>
      </c>
      <c r="D11" s="12">
        <f>LOOKUP(401010200,[1]PlanCuentas!$A$2:$A$6092,[1]PlanCuentas!K$2:K$6092)</f>
        <v>18580556</v>
      </c>
      <c r="E11" s="12">
        <f>LOOKUP(401010300,[1]PlanCuentas!$A$2:$A$6092,[1]PlanCuentas!K$2:K$6092)</f>
        <v>2333723</v>
      </c>
      <c r="F11" s="12">
        <f>LOOKUP(401010400,[1]PlanCuentas!$A$2:$A$6092,[1]PlanCuentas!K$2:K$6092)</f>
        <v>2156298769</v>
      </c>
      <c r="G11" s="12">
        <f>LOOKUP(401010500,[1]PlanCuentas!$A$2:$A$6092,[1]PlanCuentas!K$2:K$6092)</f>
        <v>207258529</v>
      </c>
      <c r="H11" s="12">
        <f>LOOKUP(401010600,[1]PlanCuentas!$A$2:$A$6092,[1]PlanCuentas!K$2:K$6092)</f>
        <v>31789425</v>
      </c>
      <c r="I11" s="12">
        <f>LOOKUP(401010700,[1]PlanCuentas!$A$2:$A$6092,[1]PlanCuentas!K$2:K$6092)</f>
        <v>3332291</v>
      </c>
      <c r="J11" s="12">
        <f>LOOKUP(401010800,[1]PlanCuentas!$A$2:$A$6092,[1]PlanCuentas!K$2:K$6092)</f>
        <v>0</v>
      </c>
      <c r="K11" s="12">
        <f>LOOKUP(401010900,[1]PlanCuentas!$A$2:$A$6092,[1]PlanCuentas!K$2:K$6092)</f>
        <v>18206099</v>
      </c>
      <c r="L11" s="12">
        <f>LOOKUP(401011000,[1]PlanCuentas!$A$2:$A$6092,[1]PlanCuentas!K$2:K$6092)</f>
        <v>438011427</v>
      </c>
      <c r="M11" s="12">
        <f>LOOKUP(401011100,[1]PlanCuentas!$A$2:$A$6092,[1]PlanCuentas!K$2:K$6092)</f>
        <v>0</v>
      </c>
      <c r="N11" s="12">
        <f>LOOKUP(401011200,[1]PlanCuentas!$A$2:$A$6092,[1]PlanCuentas!K$2:K$6092)</f>
        <v>8037214</v>
      </c>
      <c r="O11" s="12">
        <f>LOOKUP(401011300,[1]PlanCuentas!$A$2:$A$6092,[1]PlanCuentas!K$2:K$6092)</f>
        <v>2321458</v>
      </c>
      <c r="P11" s="12">
        <f>LOOKUP(401012000,[1]PlanCuentas!$A$2:$A$6092,[1]PlanCuentas!K$2:K$6092)</f>
        <v>2939093993</v>
      </c>
      <c r="Q11" s="13">
        <f t="shared" si="0"/>
        <v>6043514290</v>
      </c>
    </row>
    <row r="12" spans="1:17" x14ac:dyDescent="0.2">
      <c r="A12" s="10">
        <v>10</v>
      </c>
      <c r="B12" s="11" t="str">
        <f>[1]Aseguradoras!B11</f>
        <v>Patria S.A de Seguros y Reaseguros</v>
      </c>
      <c r="C12" s="12">
        <f>LOOKUP(401010100,[1]PlanCuentas!$A$2:$A$6092,[1]PlanCuentas!L$2:L$6092)</f>
        <v>499278644</v>
      </c>
      <c r="D12" s="12">
        <f>LOOKUP(401010200,[1]PlanCuentas!$A$2:$A$6092,[1]PlanCuentas!L$2:L$6092)</f>
        <v>44540213</v>
      </c>
      <c r="E12" s="12">
        <f>LOOKUP(401010300,[1]PlanCuentas!$A$2:$A$6092,[1]PlanCuentas!L$2:L$6092)</f>
        <v>78661140</v>
      </c>
      <c r="F12" s="12">
        <f>LOOKUP(401010400,[1]PlanCuentas!$A$2:$A$6092,[1]PlanCuentas!L$2:L$6092)</f>
        <v>1079022292</v>
      </c>
      <c r="G12" s="12">
        <f>LOOKUP(401010500,[1]PlanCuentas!$A$2:$A$6092,[1]PlanCuentas!L$2:L$6092)</f>
        <v>207258529</v>
      </c>
      <c r="H12" s="12">
        <f>LOOKUP(401010600,[1]PlanCuentas!$A$2:$A$6092,[1]PlanCuentas!L$2:L$6092)</f>
        <v>107996363</v>
      </c>
      <c r="I12" s="12">
        <f>LOOKUP(401010700,[1]PlanCuentas!$A$2:$A$6092,[1]PlanCuentas!L$2:L$6092)</f>
        <v>1867475</v>
      </c>
      <c r="J12" s="12">
        <f>LOOKUP(401010800,[1]PlanCuentas!$A$2:$A$6092,[1]PlanCuentas!L$2:L$6092)</f>
        <v>0</v>
      </c>
      <c r="K12" s="12">
        <f>LOOKUP(401010900,[1]PlanCuentas!$A$2:$A$6092,[1]PlanCuentas!L$2:L$6092)</f>
        <v>5976406</v>
      </c>
      <c r="L12" s="12">
        <f>LOOKUP(401011000,[1]PlanCuentas!$A$2:$A$6092,[1]PlanCuentas!L$2:L$6092)</f>
        <v>439770433</v>
      </c>
      <c r="M12" s="12">
        <f>LOOKUP(401011100,[1]PlanCuentas!$A$2:$A$6092,[1]PlanCuentas!L$2:L$6092)</f>
        <v>2744133</v>
      </c>
      <c r="N12" s="12">
        <f>LOOKUP(401011200,[1]PlanCuentas!$A$2:$A$6092,[1]PlanCuentas!L$2:L$6092)</f>
        <v>4051663</v>
      </c>
      <c r="O12" s="12">
        <f>LOOKUP(401011300,[1]PlanCuentas!$A$2:$A$6092,[1]PlanCuentas!L$2:L$6092)</f>
        <v>74901823</v>
      </c>
      <c r="P12" s="12">
        <f>LOOKUP(401012000,[1]PlanCuentas!$A$2:$A$6092,[1]PlanCuentas!L$2:L$6092)</f>
        <v>682791902</v>
      </c>
      <c r="Q12" s="13">
        <f t="shared" si="0"/>
        <v>3228861016</v>
      </c>
    </row>
    <row r="13" spans="1:17" x14ac:dyDescent="0.2">
      <c r="A13" s="10">
        <v>11</v>
      </c>
      <c r="B13" s="11" t="str">
        <f>[1]Aseguradoras!B12</f>
        <v>Garantía S.A de Seguros y Reaseguros</v>
      </c>
      <c r="C13" s="12">
        <f>LOOKUP(401010100,[1]PlanCuentas!$A$2:$A$6092,[1]PlanCuentas!M$2:M$6092)</f>
        <v>87940094</v>
      </c>
      <c r="D13" s="12">
        <f>LOOKUP(401010200,[1]PlanCuentas!$A$2:$A$6092,[1]PlanCuentas!M$2:M$6092)</f>
        <v>80477408</v>
      </c>
      <c r="E13" s="12">
        <f>LOOKUP(401010300,[1]PlanCuentas!$A$2:$A$6092,[1]PlanCuentas!M$2:M$6092)</f>
        <v>13830617</v>
      </c>
      <c r="F13" s="12">
        <f>LOOKUP(401010400,[1]PlanCuentas!$A$2:$A$6092,[1]PlanCuentas!M$2:M$6092)</f>
        <v>2466542429</v>
      </c>
      <c r="G13" s="12">
        <f>LOOKUP(401010500,[1]PlanCuentas!$A$2:$A$6092,[1]PlanCuentas!M$2:M$6092)</f>
        <v>207258529</v>
      </c>
      <c r="H13" s="12">
        <f>LOOKUP(401010600,[1]PlanCuentas!$A$2:$A$6092,[1]PlanCuentas!M$2:M$6092)</f>
        <v>178326953</v>
      </c>
      <c r="I13" s="12">
        <f>LOOKUP(401010700,[1]PlanCuentas!$A$2:$A$6092,[1]PlanCuentas!M$2:M$6092)</f>
        <v>5541480</v>
      </c>
      <c r="J13" s="12">
        <f>LOOKUP(401010800,[1]PlanCuentas!$A$2:$A$6092,[1]PlanCuentas!M$2:M$6092)</f>
        <v>9674211062</v>
      </c>
      <c r="K13" s="12">
        <f>LOOKUP(401010900,[1]PlanCuentas!$A$2:$A$6092,[1]PlanCuentas!M$2:M$6092)</f>
        <v>0</v>
      </c>
      <c r="L13" s="12">
        <f>LOOKUP(401011000,[1]PlanCuentas!$A$2:$A$6092,[1]PlanCuentas!M$2:M$6092)</f>
        <v>452586213</v>
      </c>
      <c r="M13" s="12">
        <f>LOOKUP(401011100,[1]PlanCuentas!$A$2:$A$6092,[1]PlanCuentas!M$2:M$6092)</f>
        <v>0</v>
      </c>
      <c r="N13" s="12">
        <f>LOOKUP(401011200,[1]PlanCuentas!$A$2:$A$6092,[1]PlanCuentas!M$2:M$6092)</f>
        <v>6372572</v>
      </c>
      <c r="O13" s="12">
        <f>LOOKUP(401011300,[1]PlanCuentas!$A$2:$A$6092,[1]PlanCuentas!M$2:M$6092)</f>
        <v>99304835</v>
      </c>
      <c r="P13" s="12">
        <f>LOOKUP(401012000,[1]PlanCuentas!$A$2:$A$6092,[1]PlanCuentas!M$2:M$6092)</f>
        <v>0</v>
      </c>
      <c r="Q13" s="13">
        <f t="shared" si="0"/>
        <v>13272392192</v>
      </c>
    </row>
    <row r="14" spans="1:17" x14ac:dyDescent="0.2">
      <c r="A14" s="10">
        <v>12</v>
      </c>
      <c r="B14" s="11" t="str">
        <f>[1]Aseguradoras!B13</f>
        <v>Aseguradora Paraguaya S.A.</v>
      </c>
      <c r="C14" s="12">
        <f>LOOKUP(401010100,[1]PlanCuentas!$A$2:$A$6092,[1]PlanCuentas!N$2:N$6092)</f>
        <v>4871236610</v>
      </c>
      <c r="D14" s="12">
        <f>LOOKUP(401010200,[1]PlanCuentas!$A$2:$A$6092,[1]PlanCuentas!N$2:N$6092)</f>
        <v>1590894556</v>
      </c>
      <c r="E14" s="12">
        <f>LOOKUP(401010300,[1]PlanCuentas!$A$2:$A$6092,[1]PlanCuentas!N$2:N$6092)</f>
        <v>533006544</v>
      </c>
      <c r="F14" s="12">
        <f>LOOKUP(401010400,[1]PlanCuentas!$A$2:$A$6092,[1]PlanCuentas!N$2:N$6092)</f>
        <v>14384988588</v>
      </c>
      <c r="G14" s="12">
        <f>LOOKUP(401010500,[1]PlanCuentas!$A$2:$A$6092,[1]PlanCuentas!N$2:N$6092)</f>
        <v>0</v>
      </c>
      <c r="H14" s="12">
        <f>LOOKUP(401010600,[1]PlanCuentas!$A$2:$A$6092,[1]PlanCuentas!N$2:N$6092)</f>
        <v>1696227192</v>
      </c>
      <c r="I14" s="12">
        <f>LOOKUP(401010700,[1]PlanCuentas!$A$2:$A$6092,[1]PlanCuentas!N$2:N$6092)</f>
        <v>80623726</v>
      </c>
      <c r="J14" s="12">
        <f>LOOKUP(401010800,[1]PlanCuentas!$A$2:$A$6092,[1]PlanCuentas!N$2:N$6092)</f>
        <v>3055824107</v>
      </c>
      <c r="K14" s="12">
        <f>LOOKUP(401010900,[1]PlanCuentas!$A$2:$A$6092,[1]PlanCuentas!N$2:N$6092)</f>
        <v>5489638708</v>
      </c>
      <c r="L14" s="12">
        <f>LOOKUP(401011000,[1]PlanCuentas!$A$2:$A$6092,[1]PlanCuentas!N$2:N$6092)</f>
        <v>707290956</v>
      </c>
      <c r="M14" s="12">
        <f>LOOKUP(401011100,[1]PlanCuentas!$A$2:$A$6092,[1]PlanCuentas!N$2:N$6092)</f>
        <v>357305712</v>
      </c>
      <c r="N14" s="12">
        <f>LOOKUP(401011200,[1]PlanCuentas!$A$2:$A$6092,[1]PlanCuentas!N$2:N$6092)</f>
        <v>757753536</v>
      </c>
      <c r="O14" s="12">
        <f>LOOKUP(401011300,[1]PlanCuentas!$A$2:$A$6092,[1]PlanCuentas!N$2:N$6092)</f>
        <v>3078604424</v>
      </c>
      <c r="P14" s="12">
        <f>LOOKUP(401012000,[1]PlanCuentas!$A$2:$A$6092,[1]PlanCuentas!N$2:N$6092)</f>
        <v>2760171740</v>
      </c>
      <c r="Q14" s="13">
        <f t="shared" si="0"/>
        <v>39363566399</v>
      </c>
    </row>
    <row r="15" spans="1:17" x14ac:dyDescent="0.2">
      <c r="A15" s="10">
        <v>13</v>
      </c>
      <c r="B15" s="11" t="str">
        <f>[1]Aseguradoras!B14</f>
        <v>Fénix S.A de Seguros y Reaseguros</v>
      </c>
      <c r="C15" s="12">
        <f>LOOKUP(401010100,[1]PlanCuentas!$A$2:$A$6092,[1]PlanCuentas!O$2:O$6092)</f>
        <v>4252821587</v>
      </c>
      <c r="D15" s="12">
        <f>LOOKUP(401010200,[1]PlanCuentas!$A$2:$A$6092,[1]PlanCuentas!O$2:O$6092)</f>
        <v>1130851333</v>
      </c>
      <c r="E15" s="12">
        <f>LOOKUP(401010300,[1]PlanCuentas!$A$2:$A$6092,[1]PlanCuentas!O$2:O$6092)</f>
        <v>181682949</v>
      </c>
      <c r="F15" s="12">
        <f>LOOKUP(401010400,[1]PlanCuentas!$A$2:$A$6092,[1]PlanCuentas!O$2:O$6092)</f>
        <v>8521124787</v>
      </c>
      <c r="G15" s="12">
        <f>LOOKUP(401010500,[1]PlanCuentas!$A$2:$A$6092,[1]PlanCuentas!O$2:O$6092)</f>
        <v>0</v>
      </c>
      <c r="H15" s="12">
        <f>LOOKUP(401010600,[1]PlanCuentas!$A$2:$A$6092,[1]PlanCuentas!O$2:O$6092)</f>
        <v>875254240</v>
      </c>
      <c r="I15" s="12">
        <f>LOOKUP(401010700,[1]PlanCuentas!$A$2:$A$6092,[1]PlanCuentas!O$2:O$6092)</f>
        <v>28544000</v>
      </c>
      <c r="J15" s="12">
        <f>LOOKUP(401010800,[1]PlanCuentas!$A$2:$A$6092,[1]PlanCuentas!O$2:O$6092)</f>
        <v>0</v>
      </c>
      <c r="K15" s="12">
        <f>LOOKUP(401010900,[1]PlanCuentas!$A$2:$A$6092,[1]PlanCuentas!O$2:O$6092)</f>
        <v>862953074</v>
      </c>
      <c r="L15" s="12">
        <f>LOOKUP(401011000,[1]PlanCuentas!$A$2:$A$6092,[1]PlanCuentas!O$2:O$6092)</f>
        <v>881067615</v>
      </c>
      <c r="M15" s="12">
        <f>LOOKUP(401011100,[1]PlanCuentas!$A$2:$A$6092,[1]PlanCuentas!O$2:O$6092)</f>
        <v>24500724</v>
      </c>
      <c r="N15" s="12">
        <f>LOOKUP(401011200,[1]PlanCuentas!$A$2:$A$6092,[1]PlanCuentas!O$2:O$6092)</f>
        <v>581197314</v>
      </c>
      <c r="O15" s="12">
        <f>LOOKUP(401011300,[1]PlanCuentas!$A$2:$A$6092,[1]PlanCuentas!O$2:O$6092)</f>
        <v>1315199801</v>
      </c>
      <c r="P15" s="12">
        <f>LOOKUP(401012000,[1]PlanCuentas!$A$2:$A$6092,[1]PlanCuentas!O$2:O$6092)</f>
        <v>21547471</v>
      </c>
      <c r="Q15" s="13">
        <f t="shared" si="0"/>
        <v>18676744895</v>
      </c>
    </row>
    <row r="16" spans="1:17" x14ac:dyDescent="0.2">
      <c r="A16" s="10">
        <v>14</v>
      </c>
      <c r="B16" s="11" t="str">
        <f>[1]Aseguradoras!B15</f>
        <v>Central S.A de Seguros</v>
      </c>
      <c r="C16" s="12">
        <f>LOOKUP(401010100,[1]PlanCuentas!$A$2:$A$6092,[1]PlanCuentas!P$2:P$6092)</f>
        <v>624709780</v>
      </c>
      <c r="D16" s="12">
        <f>LOOKUP(401010200,[1]PlanCuentas!$A$2:$A$6092,[1]PlanCuentas!P$2:P$6092)</f>
        <v>1324589262</v>
      </c>
      <c r="E16" s="12">
        <f>LOOKUP(401010300,[1]PlanCuentas!$A$2:$A$6092,[1]PlanCuentas!P$2:P$6092)</f>
        <v>140562882</v>
      </c>
      <c r="F16" s="12">
        <f>LOOKUP(401010400,[1]PlanCuentas!$A$2:$A$6092,[1]PlanCuentas!P$2:P$6092)</f>
        <v>8255235190</v>
      </c>
      <c r="G16" s="12">
        <f>LOOKUP(401010500,[1]PlanCuentas!$A$2:$A$6092,[1]PlanCuentas!P$2:P$6092)</f>
        <v>207258529</v>
      </c>
      <c r="H16" s="12">
        <f>LOOKUP(401010600,[1]PlanCuentas!$A$2:$A$6092,[1]PlanCuentas!P$2:P$6092)</f>
        <v>451296715</v>
      </c>
      <c r="I16" s="12">
        <f>LOOKUP(401010700,[1]PlanCuentas!$A$2:$A$6092,[1]PlanCuentas!P$2:P$6092)</f>
        <v>10340603</v>
      </c>
      <c r="J16" s="12">
        <f>LOOKUP(401010800,[1]PlanCuentas!$A$2:$A$6092,[1]PlanCuentas!P$2:P$6092)</f>
        <v>0</v>
      </c>
      <c r="K16" s="12">
        <f>LOOKUP(401010900,[1]PlanCuentas!$A$2:$A$6092,[1]PlanCuentas!P$2:P$6092)</f>
        <v>11000740</v>
      </c>
      <c r="L16" s="12">
        <f>LOOKUP(401011000,[1]PlanCuentas!$A$2:$A$6092,[1]PlanCuentas!P$2:P$6092)</f>
        <v>482325184</v>
      </c>
      <c r="M16" s="12">
        <f>LOOKUP(401011100,[1]PlanCuentas!$A$2:$A$6092,[1]PlanCuentas!P$2:P$6092)</f>
        <v>24669813</v>
      </c>
      <c r="N16" s="12">
        <f>LOOKUP(401011200,[1]PlanCuentas!$A$2:$A$6092,[1]PlanCuentas!P$2:P$6092)</f>
        <v>52974119</v>
      </c>
      <c r="O16" s="12">
        <f>LOOKUP(401011300,[1]PlanCuentas!$A$2:$A$6092,[1]PlanCuentas!P$2:P$6092)</f>
        <v>97403387</v>
      </c>
      <c r="P16" s="12">
        <f>LOOKUP(401012000,[1]PlanCuentas!$A$2:$A$6092,[1]PlanCuentas!P$2:P$6092)</f>
        <v>741315</v>
      </c>
      <c r="Q16" s="13">
        <f t="shared" si="0"/>
        <v>11683107519</v>
      </c>
    </row>
    <row r="17" spans="1:17" x14ac:dyDescent="0.2">
      <c r="A17" s="10">
        <v>15</v>
      </c>
      <c r="B17" s="11" t="str">
        <f>[1]Aseguradoras!B16</f>
        <v>Seguros Chaco S.A de Seguros y Reaseguros</v>
      </c>
      <c r="C17" s="12">
        <f>LOOKUP(401010100,[1]PlanCuentas!$A$2:$A$6092,[1]PlanCuentas!Q$2:Q$6092)</f>
        <v>1239301864</v>
      </c>
      <c r="D17" s="12">
        <f>LOOKUP(401010200,[1]PlanCuentas!$A$2:$A$6092,[1]PlanCuentas!Q$2:Q$6092)</f>
        <v>531301464</v>
      </c>
      <c r="E17" s="12">
        <f>LOOKUP(401010300,[1]PlanCuentas!$A$2:$A$6092,[1]PlanCuentas!Q$2:Q$6092)</f>
        <v>337927806</v>
      </c>
      <c r="F17" s="12">
        <f>LOOKUP(401010400,[1]PlanCuentas!$A$2:$A$6092,[1]PlanCuentas!Q$2:Q$6092)</f>
        <v>5674327561</v>
      </c>
      <c r="G17" s="12">
        <f>LOOKUP(401010500,[1]PlanCuentas!$A$2:$A$6092,[1]PlanCuentas!Q$2:Q$6092)</f>
        <v>0</v>
      </c>
      <c r="H17" s="12">
        <f>LOOKUP(401010600,[1]PlanCuentas!$A$2:$A$6092,[1]PlanCuentas!Q$2:Q$6092)</f>
        <v>462273659</v>
      </c>
      <c r="I17" s="12">
        <f>LOOKUP(401010700,[1]PlanCuentas!$A$2:$A$6092,[1]PlanCuentas!Q$2:Q$6092)</f>
        <v>23500089</v>
      </c>
      <c r="J17" s="12">
        <f>LOOKUP(401010800,[1]PlanCuentas!$A$2:$A$6092,[1]PlanCuentas!Q$2:Q$6092)</f>
        <v>0</v>
      </c>
      <c r="K17" s="12">
        <f>LOOKUP(401010900,[1]PlanCuentas!$A$2:$A$6092,[1]PlanCuentas!Q$2:Q$6092)</f>
        <v>4665565</v>
      </c>
      <c r="L17" s="12">
        <f>LOOKUP(401011000,[1]PlanCuentas!$A$2:$A$6092,[1]PlanCuentas!Q$2:Q$6092)</f>
        <v>575833401</v>
      </c>
      <c r="M17" s="12">
        <f>LOOKUP(401011100,[1]PlanCuentas!$A$2:$A$6092,[1]PlanCuentas!Q$2:Q$6092)</f>
        <v>63511382</v>
      </c>
      <c r="N17" s="12">
        <f>LOOKUP(401011200,[1]PlanCuentas!$A$2:$A$6092,[1]PlanCuentas!Q$2:Q$6092)</f>
        <v>102161306</v>
      </c>
      <c r="O17" s="12">
        <f>LOOKUP(401011300,[1]PlanCuentas!$A$2:$A$6092,[1]PlanCuentas!Q$2:Q$6092)</f>
        <v>1475682325</v>
      </c>
      <c r="P17" s="12">
        <f>LOOKUP(401012000,[1]PlanCuentas!$A$2:$A$6092,[1]PlanCuentas!Q$2:Q$6092)</f>
        <v>0</v>
      </c>
      <c r="Q17" s="13">
        <f t="shared" si="0"/>
        <v>10490486422</v>
      </c>
    </row>
    <row r="18" spans="1:17" x14ac:dyDescent="0.2">
      <c r="A18" s="10">
        <v>16</v>
      </c>
      <c r="B18" s="11" t="str">
        <f>[1]Aseguradoras!B17</f>
        <v>El Sol Del Paraguay Compañía de Seguros y Reaseguros S.A.</v>
      </c>
      <c r="C18" s="12">
        <f>LOOKUP(401010100,[1]PlanCuentas!$A$2:$A$6092,[1]PlanCuentas!R$2:R$6092)</f>
        <v>666886166</v>
      </c>
      <c r="D18" s="12">
        <f>LOOKUP(401010200,[1]PlanCuentas!$A$2:$A$6092,[1]PlanCuentas!R$2:R$6092)</f>
        <v>526476044</v>
      </c>
      <c r="E18" s="12">
        <f>LOOKUP(401010300,[1]PlanCuentas!$A$2:$A$6092,[1]PlanCuentas!R$2:R$6092)</f>
        <v>418659953</v>
      </c>
      <c r="F18" s="12">
        <f>LOOKUP(401010400,[1]PlanCuentas!$A$2:$A$6092,[1]PlanCuentas!R$2:R$6092)</f>
        <v>4086157287</v>
      </c>
      <c r="G18" s="12">
        <f>LOOKUP(401010500,[1]PlanCuentas!$A$2:$A$6092,[1]PlanCuentas!R$2:R$6092)</f>
        <v>207258614</v>
      </c>
      <c r="H18" s="12">
        <f>LOOKUP(401010600,[1]PlanCuentas!$A$2:$A$6092,[1]PlanCuentas!R$2:R$6092)</f>
        <v>488099669</v>
      </c>
      <c r="I18" s="12">
        <f>LOOKUP(401010700,[1]PlanCuentas!$A$2:$A$6092,[1]PlanCuentas!R$2:R$6092)</f>
        <v>16792841</v>
      </c>
      <c r="J18" s="12">
        <f>LOOKUP(401010800,[1]PlanCuentas!$A$2:$A$6092,[1]PlanCuentas!R$2:R$6092)</f>
        <v>0</v>
      </c>
      <c r="K18" s="12">
        <f>LOOKUP(401010900,[1]PlanCuentas!$A$2:$A$6092,[1]PlanCuentas!R$2:R$6092)</f>
        <v>1104760645</v>
      </c>
      <c r="L18" s="12">
        <f>LOOKUP(401011000,[1]PlanCuentas!$A$2:$A$6092,[1]PlanCuentas!R$2:R$6092)</f>
        <v>764765723</v>
      </c>
      <c r="M18" s="12">
        <f>LOOKUP(401011100,[1]PlanCuentas!$A$2:$A$6092,[1]PlanCuentas!R$2:R$6092)</f>
        <v>18996413</v>
      </c>
      <c r="N18" s="12">
        <f>LOOKUP(401011200,[1]PlanCuentas!$A$2:$A$6092,[1]PlanCuentas!R$2:R$6092)</f>
        <v>2678136985</v>
      </c>
      <c r="O18" s="12">
        <f>LOOKUP(401011300,[1]PlanCuentas!$A$2:$A$6092,[1]PlanCuentas!R$2:R$6092)</f>
        <v>2493023949</v>
      </c>
      <c r="P18" s="12">
        <f>LOOKUP(401012000,[1]PlanCuentas!$A$2:$A$6092,[1]PlanCuentas!R$2:R$6092)</f>
        <v>1207230236</v>
      </c>
      <c r="Q18" s="13">
        <f t="shared" si="0"/>
        <v>14677244525</v>
      </c>
    </row>
    <row r="19" spans="1:17" x14ac:dyDescent="0.2">
      <c r="A19" s="10">
        <v>17</v>
      </c>
      <c r="B19" s="11" t="str">
        <f>[1]Aseguradoras!B18</f>
        <v>Intercontinental de Seguros y Reaseguros S.A.</v>
      </c>
      <c r="C19" s="12">
        <f>LOOKUP(401010100,[1]PlanCuentas!$A$2:$A$6092,[1]PlanCuentas!S$2:S$6092)</f>
        <v>50198445</v>
      </c>
      <c r="D19" s="12">
        <f>LOOKUP(401010200,[1]PlanCuentas!$A$2:$A$6092,[1]PlanCuentas!S$2:S$6092)</f>
        <v>1729614</v>
      </c>
      <c r="E19" s="12">
        <f>LOOKUP(401010300,[1]PlanCuentas!$A$2:$A$6092,[1]PlanCuentas!S$2:S$6092)</f>
        <v>30668633</v>
      </c>
      <c r="F19" s="12">
        <f>LOOKUP(401010400,[1]PlanCuentas!$A$2:$A$6092,[1]PlanCuentas!S$2:S$6092)</f>
        <v>1505498081</v>
      </c>
      <c r="G19" s="12">
        <f>LOOKUP(401010500,[1]PlanCuentas!$A$2:$A$6092,[1]PlanCuentas!S$2:S$6092)</f>
        <v>207258529</v>
      </c>
      <c r="H19" s="12">
        <f>LOOKUP(401010600,[1]PlanCuentas!$A$2:$A$6092,[1]PlanCuentas!S$2:S$6092)</f>
        <v>41794031</v>
      </c>
      <c r="I19" s="12">
        <f>LOOKUP(401010700,[1]PlanCuentas!$A$2:$A$6092,[1]PlanCuentas!S$2:S$6092)</f>
        <v>1404976</v>
      </c>
      <c r="J19" s="12">
        <f>LOOKUP(401010800,[1]PlanCuentas!$A$2:$A$6092,[1]PlanCuentas!S$2:S$6092)</f>
        <v>0</v>
      </c>
      <c r="K19" s="12">
        <f>LOOKUP(401010900,[1]PlanCuentas!$A$2:$A$6092,[1]PlanCuentas!S$2:S$6092)</f>
        <v>1447913</v>
      </c>
      <c r="L19" s="12">
        <f>LOOKUP(401011000,[1]PlanCuentas!$A$2:$A$6092,[1]PlanCuentas!S$2:S$6092)</f>
        <v>454915187</v>
      </c>
      <c r="M19" s="12">
        <f>LOOKUP(401011100,[1]PlanCuentas!$A$2:$A$6092,[1]PlanCuentas!S$2:S$6092)</f>
        <v>0</v>
      </c>
      <c r="N19" s="12">
        <f>LOOKUP(401011200,[1]PlanCuentas!$A$2:$A$6092,[1]PlanCuentas!S$2:S$6092)</f>
        <v>18012902</v>
      </c>
      <c r="O19" s="12">
        <f>LOOKUP(401011300,[1]PlanCuentas!$A$2:$A$6092,[1]PlanCuentas!S$2:S$6092)</f>
        <v>300295882</v>
      </c>
      <c r="P19" s="12">
        <f>LOOKUP(401012000,[1]PlanCuentas!$A$2:$A$6092,[1]PlanCuentas!S$2:S$6092)</f>
        <v>0</v>
      </c>
      <c r="Q19" s="13">
        <f t="shared" si="0"/>
        <v>2613224193</v>
      </c>
    </row>
    <row r="20" spans="1:17" x14ac:dyDescent="0.2">
      <c r="A20" s="10">
        <v>18</v>
      </c>
      <c r="B20" s="11" t="str">
        <f>[1]Aseguradoras!B19</f>
        <v>Seguridad S.A Compañía de Seguros</v>
      </c>
      <c r="C20" s="12">
        <f>LOOKUP(401010100,[1]PlanCuentas!$A$2:$A$6092,[1]PlanCuentas!T$2:T$6092)</f>
        <v>3402825938</v>
      </c>
      <c r="D20" s="12">
        <f>LOOKUP(401010200,[1]PlanCuentas!$A$2:$A$6092,[1]PlanCuentas!T$2:T$6092)</f>
        <v>2490236712</v>
      </c>
      <c r="E20" s="12">
        <f>LOOKUP(401010300,[1]PlanCuentas!$A$2:$A$6092,[1]PlanCuentas!T$2:T$6092)</f>
        <v>699286190</v>
      </c>
      <c r="F20" s="12">
        <f>LOOKUP(401010400,[1]PlanCuentas!$A$2:$A$6092,[1]PlanCuentas!T$2:T$6092)</f>
        <v>16358645669</v>
      </c>
      <c r="G20" s="12">
        <f>LOOKUP(401010500,[1]PlanCuentas!$A$2:$A$6092,[1]PlanCuentas!T$2:T$6092)</f>
        <v>0</v>
      </c>
      <c r="H20" s="12">
        <f>LOOKUP(401010600,[1]PlanCuentas!$A$2:$A$6092,[1]PlanCuentas!T$2:T$6092)</f>
        <v>812949816</v>
      </c>
      <c r="I20" s="12">
        <f>LOOKUP(401010700,[1]PlanCuentas!$A$2:$A$6092,[1]PlanCuentas!T$2:T$6092)</f>
        <v>12147796</v>
      </c>
      <c r="J20" s="12">
        <f>LOOKUP(401010800,[1]PlanCuentas!$A$2:$A$6092,[1]PlanCuentas!T$2:T$6092)</f>
        <v>3393982817</v>
      </c>
      <c r="K20" s="12">
        <f>LOOKUP(401010900,[1]PlanCuentas!$A$2:$A$6092,[1]PlanCuentas!T$2:T$6092)</f>
        <v>183269483</v>
      </c>
      <c r="L20" s="12">
        <f>LOOKUP(401011000,[1]PlanCuentas!$A$2:$A$6092,[1]PlanCuentas!T$2:T$6092)</f>
        <v>1040937381</v>
      </c>
      <c r="M20" s="12">
        <f>LOOKUP(401011100,[1]PlanCuentas!$A$2:$A$6092,[1]PlanCuentas!T$2:T$6092)</f>
        <v>188635709</v>
      </c>
      <c r="N20" s="12">
        <f>LOOKUP(401011200,[1]PlanCuentas!$A$2:$A$6092,[1]PlanCuentas!T$2:T$6092)</f>
        <v>654594096</v>
      </c>
      <c r="O20" s="12">
        <f>LOOKUP(401011300,[1]PlanCuentas!$A$2:$A$6092,[1]PlanCuentas!T$2:T$6092)</f>
        <v>839013865</v>
      </c>
      <c r="P20" s="12">
        <f>LOOKUP(401012000,[1]PlanCuentas!$A$2:$A$6092,[1]PlanCuentas!T$2:T$6092)</f>
        <v>3506467098</v>
      </c>
      <c r="Q20" s="13">
        <f t="shared" si="0"/>
        <v>33582992570</v>
      </c>
    </row>
    <row r="21" spans="1:17" x14ac:dyDescent="0.2">
      <c r="A21" s="10">
        <v>19</v>
      </c>
      <c r="B21" s="11" t="str">
        <f>[1]Aseguradoras!B20</f>
        <v>Universo de Seguros y Reaseguros S.A.</v>
      </c>
      <c r="C21" s="12">
        <f>LOOKUP(401010100,[1]PlanCuentas!$A$2:$A$6092,[1]PlanCuentas!U$2:U$6092)</f>
        <v>0</v>
      </c>
      <c r="D21" s="12">
        <f>LOOKUP(401010200,[1]PlanCuentas!$A$2:$A$6092,[1]PlanCuentas!U$2:U$6092)</f>
        <v>0</v>
      </c>
      <c r="E21" s="12">
        <f>LOOKUP(401010300,[1]PlanCuentas!$A$2:$A$6092,[1]PlanCuentas!U$2:U$6092)</f>
        <v>0</v>
      </c>
      <c r="F21" s="12">
        <f>LOOKUP(401010400,[1]PlanCuentas!$A$2:$A$6092,[1]PlanCuentas!U$2:U$6092)</f>
        <v>0</v>
      </c>
      <c r="G21" s="12">
        <f>LOOKUP(401010500,[1]PlanCuentas!$A$2:$A$6092,[1]PlanCuentas!U$2:U$6092)</f>
        <v>0</v>
      </c>
      <c r="H21" s="12">
        <f>LOOKUP(401010600,[1]PlanCuentas!$A$2:$A$6092,[1]PlanCuentas!U$2:U$6092)</f>
        <v>0</v>
      </c>
      <c r="I21" s="12">
        <f>LOOKUP(401010700,[1]PlanCuentas!$A$2:$A$6092,[1]PlanCuentas!U$2:U$6092)</f>
        <v>0</v>
      </c>
      <c r="J21" s="12">
        <f>LOOKUP(401010800,[1]PlanCuentas!$A$2:$A$6092,[1]PlanCuentas!U$2:U$6092)</f>
        <v>0</v>
      </c>
      <c r="K21" s="12">
        <f>LOOKUP(401010900,[1]PlanCuentas!$A$2:$A$6092,[1]PlanCuentas!U$2:U$6092)</f>
        <v>0</v>
      </c>
      <c r="L21" s="12">
        <f>LOOKUP(401011000,[1]PlanCuentas!$A$2:$A$6092,[1]PlanCuentas!U$2:U$6092)</f>
        <v>0</v>
      </c>
      <c r="M21" s="12">
        <f>LOOKUP(401011100,[1]PlanCuentas!$A$2:$A$6092,[1]PlanCuentas!U$2:U$6092)</f>
        <v>0</v>
      </c>
      <c r="N21" s="12">
        <f>LOOKUP(401011200,[1]PlanCuentas!$A$2:$A$6092,[1]PlanCuentas!U$2:U$6092)</f>
        <v>0</v>
      </c>
      <c r="O21" s="12">
        <f>LOOKUP(401011300,[1]PlanCuentas!$A$2:$A$6092,[1]PlanCuentas!U$2:U$6092)</f>
        <v>0</v>
      </c>
      <c r="P21" s="12">
        <f>LOOKUP(401012000,[1]PlanCuentas!$A$2:$A$6092,[1]PlanCuentas!U$2:U$6092)</f>
        <v>0</v>
      </c>
      <c r="Q21" s="13">
        <f t="shared" si="0"/>
        <v>0</v>
      </c>
    </row>
    <row r="22" spans="1:17" x14ac:dyDescent="0.2">
      <c r="A22" s="10">
        <v>20</v>
      </c>
      <c r="B22" s="11" t="str">
        <f>[1]Aseguradoras!B21</f>
        <v>Aseguradora Yacyreta S.A de Seguros y Reaseguros</v>
      </c>
      <c r="C22" s="12">
        <f>LOOKUP(401010100,[1]PlanCuentas!$A$2:$A$6092,[1]PlanCuentas!V$2:V$6092)</f>
        <v>5993078657</v>
      </c>
      <c r="D22" s="12">
        <f>LOOKUP(401010200,[1]PlanCuentas!$A$2:$A$6092,[1]PlanCuentas!V$2:V$6092)</f>
        <v>2697977021</v>
      </c>
      <c r="E22" s="12">
        <f>LOOKUP(401010300,[1]PlanCuentas!$A$2:$A$6092,[1]PlanCuentas!V$2:V$6092)</f>
        <v>2089875195</v>
      </c>
      <c r="F22" s="12">
        <f>LOOKUP(401010400,[1]PlanCuentas!$A$2:$A$6092,[1]PlanCuentas!V$2:V$6092)</f>
        <v>28480773475</v>
      </c>
      <c r="G22" s="12">
        <f>LOOKUP(401010500,[1]PlanCuentas!$A$2:$A$6092,[1]PlanCuentas!V$2:V$6092)</f>
        <v>0</v>
      </c>
      <c r="H22" s="12">
        <f>LOOKUP(401010600,[1]PlanCuentas!$A$2:$A$6092,[1]PlanCuentas!V$2:V$6092)</f>
        <v>1502595535</v>
      </c>
      <c r="I22" s="12">
        <f>LOOKUP(401010700,[1]PlanCuentas!$A$2:$A$6092,[1]PlanCuentas!V$2:V$6092)</f>
        <v>40009123</v>
      </c>
      <c r="J22" s="12">
        <f>LOOKUP(401010800,[1]PlanCuentas!$A$2:$A$6092,[1]PlanCuentas!V$2:V$6092)</f>
        <v>0</v>
      </c>
      <c r="K22" s="12">
        <f>LOOKUP(401010900,[1]PlanCuentas!$A$2:$A$6092,[1]PlanCuentas!V$2:V$6092)</f>
        <v>10520375320</v>
      </c>
      <c r="L22" s="12">
        <f>LOOKUP(401011000,[1]PlanCuentas!$A$2:$A$6092,[1]PlanCuentas!V$2:V$6092)</f>
        <v>1029011321</v>
      </c>
      <c r="M22" s="12">
        <f>LOOKUP(401011100,[1]PlanCuentas!$A$2:$A$6092,[1]PlanCuentas!V$2:V$6092)</f>
        <v>108881880</v>
      </c>
      <c r="N22" s="12">
        <f>LOOKUP(401011200,[1]PlanCuentas!$A$2:$A$6092,[1]PlanCuentas!V$2:V$6092)</f>
        <v>815189006</v>
      </c>
      <c r="O22" s="12">
        <f>LOOKUP(401011300,[1]PlanCuentas!$A$2:$A$6092,[1]PlanCuentas!V$2:V$6092)</f>
        <v>660715276</v>
      </c>
      <c r="P22" s="12">
        <f>LOOKUP(401012000,[1]PlanCuentas!$A$2:$A$6092,[1]PlanCuentas!V$2:V$6092)</f>
        <v>3732623837</v>
      </c>
      <c r="Q22" s="13">
        <f t="shared" si="0"/>
        <v>57671105646</v>
      </c>
    </row>
    <row r="23" spans="1:17" x14ac:dyDescent="0.2">
      <c r="A23" s="10">
        <v>21</v>
      </c>
      <c r="B23" s="11" t="str">
        <f>[1]Aseguradoras!B22</f>
        <v>La Agricola S.A de Seguros y Reaseguros</v>
      </c>
      <c r="C23" s="12">
        <f>LOOKUP(401010100,[1]PlanCuentas!$A$2:$A$6092,[1]PlanCuentas!W$2:W$6092)</f>
        <v>972776373</v>
      </c>
      <c r="D23" s="12">
        <f>LOOKUP(401010200,[1]PlanCuentas!$A$2:$A$6092,[1]PlanCuentas!W$2:W$6092)</f>
        <v>159392959</v>
      </c>
      <c r="E23" s="12">
        <f>LOOKUP(401010300,[1]PlanCuentas!$A$2:$A$6092,[1]PlanCuentas!W$2:W$6092)</f>
        <v>65309238</v>
      </c>
      <c r="F23" s="12">
        <f>LOOKUP(401010400,[1]PlanCuentas!$A$2:$A$6092,[1]PlanCuentas!W$2:W$6092)</f>
        <v>11126483376</v>
      </c>
      <c r="G23" s="12">
        <f>LOOKUP(401010500,[1]PlanCuentas!$A$2:$A$6092,[1]PlanCuentas!W$2:W$6092)</f>
        <v>207258538</v>
      </c>
      <c r="H23" s="12">
        <f>LOOKUP(401010600,[1]PlanCuentas!$A$2:$A$6092,[1]PlanCuentas!W$2:W$6092)</f>
        <v>1209590559</v>
      </c>
      <c r="I23" s="12">
        <f>LOOKUP(401010700,[1]PlanCuentas!$A$2:$A$6092,[1]PlanCuentas!W$2:W$6092)</f>
        <v>20079901</v>
      </c>
      <c r="J23" s="12">
        <f>LOOKUP(401010800,[1]PlanCuentas!$A$2:$A$6092,[1]PlanCuentas!W$2:W$6092)</f>
        <v>0</v>
      </c>
      <c r="K23" s="12">
        <f>LOOKUP(401010900,[1]PlanCuentas!$A$2:$A$6092,[1]PlanCuentas!W$2:W$6092)</f>
        <v>463887918</v>
      </c>
      <c r="L23" s="12">
        <f>LOOKUP(401011000,[1]PlanCuentas!$A$2:$A$6092,[1]PlanCuentas!W$2:W$6092)</f>
        <v>509846865</v>
      </c>
      <c r="M23" s="12">
        <f>LOOKUP(401011100,[1]PlanCuentas!$A$2:$A$6092,[1]PlanCuentas!W$2:W$6092)</f>
        <v>27593845</v>
      </c>
      <c r="N23" s="12">
        <f>LOOKUP(401011200,[1]PlanCuentas!$A$2:$A$6092,[1]PlanCuentas!W$2:W$6092)</f>
        <v>63017471</v>
      </c>
      <c r="O23" s="12">
        <f>LOOKUP(401011300,[1]PlanCuentas!$A$2:$A$6092,[1]PlanCuentas!W$2:W$6092)</f>
        <v>145070772</v>
      </c>
      <c r="P23" s="12">
        <f>LOOKUP(401012000,[1]PlanCuentas!$A$2:$A$6092,[1]PlanCuentas!W$2:W$6092)</f>
        <v>87061870</v>
      </c>
      <c r="Q23" s="13">
        <f t="shared" si="0"/>
        <v>15057369685</v>
      </c>
    </row>
    <row r="24" spans="1:17" x14ac:dyDescent="0.2">
      <c r="A24" s="10">
        <v>22</v>
      </c>
      <c r="B24" s="11" t="str">
        <f>[1]Aseguradoras!B23</f>
        <v>Grupo General de Seguros y Reaseguros S.A.</v>
      </c>
      <c r="C24" s="12">
        <f>LOOKUP(401010100,[1]PlanCuentas!$A$2:$A$6092,[1]PlanCuentas!X$2:X$6092)</f>
        <v>1531061031</v>
      </c>
      <c r="D24" s="12">
        <f>LOOKUP(401010200,[1]PlanCuentas!$A$2:$A$6092,[1]PlanCuentas!X$2:X$6092)</f>
        <v>1777734281</v>
      </c>
      <c r="E24" s="12">
        <f>LOOKUP(401010300,[1]PlanCuentas!$A$2:$A$6092,[1]PlanCuentas!X$2:X$6092)</f>
        <v>249386634</v>
      </c>
      <c r="F24" s="12">
        <f>LOOKUP(401010400,[1]PlanCuentas!$A$2:$A$6092,[1]PlanCuentas!X$2:X$6092)</f>
        <v>11438696720</v>
      </c>
      <c r="G24" s="12">
        <f>LOOKUP(401010500,[1]PlanCuentas!$A$2:$A$6092,[1]PlanCuentas!X$2:X$6092)</f>
        <v>207258529</v>
      </c>
      <c r="H24" s="12">
        <f>LOOKUP(401010600,[1]PlanCuentas!$A$2:$A$6092,[1]PlanCuentas!X$2:X$6092)</f>
        <v>1306606554</v>
      </c>
      <c r="I24" s="12">
        <f>LOOKUP(401010700,[1]PlanCuentas!$A$2:$A$6092,[1]PlanCuentas!X$2:X$6092)</f>
        <v>62551896</v>
      </c>
      <c r="J24" s="12">
        <f>LOOKUP(401010800,[1]PlanCuentas!$A$2:$A$6092,[1]PlanCuentas!X$2:X$6092)</f>
        <v>0</v>
      </c>
      <c r="K24" s="12">
        <f>LOOKUP(401010900,[1]PlanCuentas!$A$2:$A$6092,[1]PlanCuentas!X$2:X$6092)</f>
        <v>301892788</v>
      </c>
      <c r="L24" s="12">
        <f>LOOKUP(401011000,[1]PlanCuentas!$A$2:$A$6092,[1]PlanCuentas!X$2:X$6092)</f>
        <v>651830243</v>
      </c>
      <c r="M24" s="12">
        <f>LOOKUP(401011100,[1]PlanCuentas!$A$2:$A$6092,[1]PlanCuentas!X$2:X$6092)</f>
        <v>140464235</v>
      </c>
      <c r="N24" s="12">
        <f>LOOKUP(401011200,[1]PlanCuentas!$A$2:$A$6092,[1]PlanCuentas!X$2:X$6092)</f>
        <v>296907930</v>
      </c>
      <c r="O24" s="12">
        <f>LOOKUP(401011300,[1]PlanCuentas!$A$2:$A$6092,[1]PlanCuentas!X$2:X$6092)</f>
        <v>1100816142</v>
      </c>
      <c r="P24" s="12">
        <f>LOOKUP(401012000,[1]PlanCuentas!$A$2:$A$6092,[1]PlanCuentas!X$2:X$6092)</f>
        <v>2092884970</v>
      </c>
      <c r="Q24" s="13">
        <f t="shared" si="0"/>
        <v>21158091953</v>
      </c>
    </row>
    <row r="25" spans="1:17" x14ac:dyDescent="0.2">
      <c r="A25" s="10">
        <v>23</v>
      </c>
      <c r="B25" s="11" t="str">
        <f>[1]Aseguradoras!B24</f>
        <v>Alfa S.A de Seguros y Reaseguros</v>
      </c>
      <c r="C25" s="12">
        <f>LOOKUP(401010100,[1]PlanCuentas!$A$2:$A$6092,[1]PlanCuentas!Y$2:Y$6092)</f>
        <v>234521890</v>
      </c>
      <c r="D25" s="12">
        <f>LOOKUP(401010200,[1]PlanCuentas!$A$2:$A$6092,[1]PlanCuentas!Y$2:Y$6092)</f>
        <v>116390075</v>
      </c>
      <c r="E25" s="12">
        <f>LOOKUP(401010300,[1]PlanCuentas!$A$2:$A$6092,[1]PlanCuentas!Y$2:Y$6092)</f>
        <v>17748318</v>
      </c>
      <c r="F25" s="12">
        <f>LOOKUP(401010400,[1]PlanCuentas!$A$2:$A$6092,[1]PlanCuentas!Y$2:Y$6092)</f>
        <v>2389939805</v>
      </c>
      <c r="G25" s="12">
        <f>LOOKUP(401010500,[1]PlanCuentas!$A$2:$A$6092,[1]PlanCuentas!Y$2:Y$6092)</f>
        <v>1438073222</v>
      </c>
      <c r="H25" s="12">
        <f>LOOKUP(401010600,[1]PlanCuentas!$A$2:$A$6092,[1]PlanCuentas!Y$2:Y$6092)</f>
        <v>48445898</v>
      </c>
      <c r="I25" s="12">
        <f>LOOKUP(401010700,[1]PlanCuentas!$A$2:$A$6092,[1]PlanCuentas!Y$2:Y$6092)</f>
        <v>359014</v>
      </c>
      <c r="J25" s="12">
        <f>LOOKUP(401010800,[1]PlanCuentas!$A$2:$A$6092,[1]PlanCuentas!Y$2:Y$6092)</f>
        <v>0</v>
      </c>
      <c r="K25" s="12">
        <f>LOOKUP(401010900,[1]PlanCuentas!$A$2:$A$6092,[1]PlanCuentas!Y$2:Y$6092)</f>
        <v>2626090</v>
      </c>
      <c r="L25" s="12">
        <f>LOOKUP(401011000,[1]PlanCuentas!$A$2:$A$6092,[1]PlanCuentas!Y$2:Y$6092)</f>
        <v>482386886</v>
      </c>
      <c r="M25" s="12">
        <f>LOOKUP(401011100,[1]PlanCuentas!$A$2:$A$6092,[1]PlanCuentas!Y$2:Y$6092)</f>
        <v>0</v>
      </c>
      <c r="N25" s="12">
        <f>LOOKUP(401011200,[1]PlanCuentas!$A$2:$A$6092,[1]PlanCuentas!Y$2:Y$6092)</f>
        <v>5250000</v>
      </c>
      <c r="O25" s="12">
        <f>LOOKUP(401011300,[1]PlanCuentas!$A$2:$A$6092,[1]PlanCuentas!Y$2:Y$6092)</f>
        <v>264439132</v>
      </c>
      <c r="P25" s="12">
        <f>LOOKUP(401012000,[1]PlanCuentas!$A$2:$A$6092,[1]PlanCuentas!Y$2:Y$6092)</f>
        <v>0</v>
      </c>
      <c r="Q25" s="13">
        <f t="shared" si="0"/>
        <v>5000180330</v>
      </c>
    </row>
    <row r="26" spans="1:17" x14ac:dyDescent="0.2">
      <c r="A26" s="10">
        <v>24</v>
      </c>
      <c r="B26" s="11" t="str">
        <f>[1]Aseguradoras!B25</f>
        <v>Cenit de Seguros S.A.</v>
      </c>
      <c r="C26" s="12">
        <f>LOOKUP(401010100,[1]PlanCuentas!$A$2:$A$6092,[1]PlanCuentas!Z$2:Z$6092)</f>
        <v>671017379</v>
      </c>
      <c r="D26" s="12">
        <f>LOOKUP(401010200,[1]PlanCuentas!$A$2:$A$6092,[1]PlanCuentas!Z$2:Z$6092)</f>
        <v>70434414</v>
      </c>
      <c r="E26" s="12">
        <f>LOOKUP(401010300,[1]PlanCuentas!$A$2:$A$6092,[1]PlanCuentas!Z$2:Z$6092)</f>
        <v>79279787</v>
      </c>
      <c r="F26" s="12">
        <f>LOOKUP(401010400,[1]PlanCuentas!$A$2:$A$6092,[1]PlanCuentas!Z$2:Z$6092)</f>
        <v>9828190010</v>
      </c>
      <c r="G26" s="12">
        <f>LOOKUP(401010500,[1]PlanCuentas!$A$2:$A$6092,[1]PlanCuentas!Z$2:Z$6092)</f>
        <v>207258529</v>
      </c>
      <c r="H26" s="12">
        <f>LOOKUP(401010600,[1]PlanCuentas!$A$2:$A$6092,[1]PlanCuentas!Z$2:Z$6092)</f>
        <v>3984224660</v>
      </c>
      <c r="I26" s="12">
        <f>LOOKUP(401010700,[1]PlanCuentas!$A$2:$A$6092,[1]PlanCuentas!Z$2:Z$6092)</f>
        <v>40608636</v>
      </c>
      <c r="J26" s="12">
        <f>LOOKUP(401010800,[1]PlanCuentas!$A$2:$A$6092,[1]PlanCuentas!Z$2:Z$6092)</f>
        <v>0</v>
      </c>
      <c r="K26" s="12">
        <f>LOOKUP(401010900,[1]PlanCuentas!$A$2:$A$6092,[1]PlanCuentas!Z$2:Z$6092)</f>
        <v>58462379</v>
      </c>
      <c r="L26" s="12">
        <f>LOOKUP(401011000,[1]PlanCuentas!$A$2:$A$6092,[1]PlanCuentas!Z$2:Z$6092)</f>
        <v>524061418</v>
      </c>
      <c r="M26" s="12">
        <f>LOOKUP(401011100,[1]PlanCuentas!$A$2:$A$6092,[1]PlanCuentas!Z$2:Z$6092)</f>
        <v>16027996</v>
      </c>
      <c r="N26" s="12">
        <f>LOOKUP(401011200,[1]PlanCuentas!$A$2:$A$6092,[1]PlanCuentas!Z$2:Z$6092)</f>
        <v>72563701</v>
      </c>
      <c r="O26" s="12">
        <f>LOOKUP(401011300,[1]PlanCuentas!$A$2:$A$6092,[1]PlanCuentas!Z$2:Z$6092)</f>
        <v>75279539</v>
      </c>
      <c r="P26" s="12">
        <f>LOOKUP(401012000,[1]PlanCuentas!$A$2:$A$6092,[1]PlanCuentas!Z$2:Z$6092)</f>
        <v>3707897826</v>
      </c>
      <c r="Q26" s="13">
        <f t="shared" si="0"/>
        <v>19335306274</v>
      </c>
    </row>
    <row r="27" spans="1:17" x14ac:dyDescent="0.2">
      <c r="A27" s="10">
        <v>25</v>
      </c>
      <c r="B27" s="11" t="str">
        <f>[1]Aseguradoras!B26</f>
        <v>La Meridional Paraguaya S.A de Seguros</v>
      </c>
      <c r="C27" s="12">
        <f>LOOKUP(401010100,[1]PlanCuentas!$A$2:$A$6092,[1]PlanCuentas!AA$2:AA$6092)</f>
        <v>871094134</v>
      </c>
      <c r="D27" s="12">
        <f>LOOKUP(401010200,[1]PlanCuentas!$A$2:$A$6092,[1]PlanCuentas!AA$2:AA$6092)</f>
        <v>395862129</v>
      </c>
      <c r="E27" s="12">
        <f>LOOKUP(401010300,[1]PlanCuentas!$A$2:$A$6092,[1]PlanCuentas!AA$2:AA$6092)</f>
        <v>41069904</v>
      </c>
      <c r="F27" s="12">
        <f>LOOKUP(401010400,[1]PlanCuentas!$A$2:$A$6092,[1]PlanCuentas!AA$2:AA$6092)</f>
        <v>3119209970</v>
      </c>
      <c r="G27" s="12">
        <f>LOOKUP(401010500,[1]PlanCuentas!$A$2:$A$6092,[1]PlanCuentas!AA$2:AA$6092)</f>
        <v>207258538</v>
      </c>
      <c r="H27" s="12">
        <f>LOOKUP(401010600,[1]PlanCuentas!$A$2:$A$6092,[1]PlanCuentas!AA$2:AA$6092)</f>
        <v>221744046</v>
      </c>
      <c r="I27" s="12">
        <f>LOOKUP(401010700,[1]PlanCuentas!$A$2:$A$6092,[1]PlanCuentas!AA$2:AA$6092)</f>
        <v>18450345</v>
      </c>
      <c r="J27" s="12">
        <f>LOOKUP(401010800,[1]PlanCuentas!$A$2:$A$6092,[1]PlanCuentas!AA$2:AA$6092)</f>
        <v>0</v>
      </c>
      <c r="K27" s="12">
        <f>LOOKUP(401010900,[1]PlanCuentas!$A$2:$A$6092,[1]PlanCuentas!AA$2:AA$6092)</f>
        <v>250500148</v>
      </c>
      <c r="L27" s="12">
        <f>LOOKUP(401011000,[1]PlanCuentas!$A$2:$A$6092,[1]PlanCuentas!AA$2:AA$6092)</f>
        <v>495824310</v>
      </c>
      <c r="M27" s="12">
        <f>LOOKUP(401011100,[1]PlanCuentas!$A$2:$A$6092,[1]PlanCuentas!AA$2:AA$6092)</f>
        <v>0</v>
      </c>
      <c r="N27" s="12">
        <f>LOOKUP(401011200,[1]PlanCuentas!$A$2:$A$6092,[1]PlanCuentas!AA$2:AA$6092)</f>
        <v>4958011</v>
      </c>
      <c r="O27" s="12">
        <f>LOOKUP(401011300,[1]PlanCuentas!$A$2:$A$6092,[1]PlanCuentas!AA$2:AA$6092)</f>
        <v>135850349</v>
      </c>
      <c r="P27" s="12">
        <f>LOOKUP(401012000,[1]PlanCuentas!$A$2:$A$6092,[1]PlanCuentas!AA$2:AA$6092)</f>
        <v>9380188</v>
      </c>
      <c r="Q27" s="13">
        <f t="shared" si="0"/>
        <v>5771202072</v>
      </c>
    </row>
    <row r="28" spans="1:17" x14ac:dyDescent="0.2">
      <c r="A28" s="10">
        <v>26</v>
      </c>
      <c r="B28" s="11" t="str">
        <f>[1]Aseguradoras!B27</f>
        <v>Aseguradora Del Este S.A de Seguros y Reaseguros</v>
      </c>
      <c r="C28" s="12">
        <f>LOOKUP(401010100,[1]PlanCuentas!$A$2:$A$6092,[1]PlanCuentas!AB$2:AB$6092)</f>
        <v>2601200605</v>
      </c>
      <c r="D28" s="12">
        <f>LOOKUP(401010200,[1]PlanCuentas!$A$2:$A$6092,[1]PlanCuentas!AB$2:AB$6092)</f>
        <v>2189575500</v>
      </c>
      <c r="E28" s="12">
        <f>LOOKUP(401010300,[1]PlanCuentas!$A$2:$A$6092,[1]PlanCuentas!AB$2:AB$6092)</f>
        <v>1500864586</v>
      </c>
      <c r="F28" s="12">
        <f>LOOKUP(401010400,[1]PlanCuentas!$A$2:$A$6092,[1]PlanCuentas!AB$2:AB$6092)</f>
        <v>24464679790</v>
      </c>
      <c r="G28" s="12">
        <f>LOOKUP(401010500,[1]PlanCuentas!$A$2:$A$6092,[1]PlanCuentas!AB$2:AB$6092)</f>
        <v>207258538</v>
      </c>
      <c r="H28" s="12">
        <f>LOOKUP(401010600,[1]PlanCuentas!$A$2:$A$6092,[1]PlanCuentas!AB$2:AB$6092)</f>
        <v>816751805</v>
      </c>
      <c r="I28" s="12">
        <f>LOOKUP(401010700,[1]PlanCuentas!$A$2:$A$6092,[1]PlanCuentas!AB$2:AB$6092)</f>
        <v>84167386</v>
      </c>
      <c r="J28" s="12">
        <f>LOOKUP(401010800,[1]PlanCuentas!$A$2:$A$6092,[1]PlanCuentas!AB$2:AB$6092)</f>
        <v>0</v>
      </c>
      <c r="K28" s="12">
        <f>LOOKUP(401010900,[1]PlanCuentas!$A$2:$A$6092,[1]PlanCuentas!AB$2:AB$6092)</f>
        <v>1082644216</v>
      </c>
      <c r="L28" s="12">
        <f>LOOKUP(401011000,[1]PlanCuentas!$A$2:$A$6092,[1]PlanCuentas!AB$2:AB$6092)</f>
        <v>948967161</v>
      </c>
      <c r="M28" s="12">
        <f>LOOKUP(401011100,[1]PlanCuentas!$A$2:$A$6092,[1]PlanCuentas!AB$2:AB$6092)</f>
        <v>227185146</v>
      </c>
      <c r="N28" s="12">
        <f>LOOKUP(401011200,[1]PlanCuentas!$A$2:$A$6092,[1]PlanCuentas!AB$2:AB$6092)</f>
        <v>363616265</v>
      </c>
      <c r="O28" s="12">
        <f>LOOKUP(401011300,[1]PlanCuentas!$A$2:$A$6092,[1]PlanCuentas!AB$2:AB$6092)</f>
        <v>1602231171</v>
      </c>
      <c r="P28" s="12">
        <f>LOOKUP(401012000,[1]PlanCuentas!$A$2:$A$6092,[1]PlanCuentas!AB$2:AB$6092)</f>
        <v>18588503063</v>
      </c>
      <c r="Q28" s="13">
        <f t="shared" si="0"/>
        <v>54677645232</v>
      </c>
    </row>
    <row r="29" spans="1:17" x14ac:dyDescent="0.2">
      <c r="A29" s="10">
        <v>27</v>
      </c>
      <c r="B29" s="11" t="str">
        <f>[1]Aseguradoras!B28</f>
        <v>Imperio S.A de Seguros y Reaseguros</v>
      </c>
      <c r="C29" s="12">
        <f>LOOKUP(401010100,[1]PlanCuentas!$A$2:$A$6092,[1]PlanCuentas!AC$2:AC$6092)</f>
        <v>434226744</v>
      </c>
      <c r="D29" s="12">
        <f>LOOKUP(401010200,[1]PlanCuentas!$A$2:$A$6092,[1]PlanCuentas!AC$2:AC$6092)</f>
        <v>74808769</v>
      </c>
      <c r="E29" s="12">
        <f>LOOKUP(401010300,[1]PlanCuentas!$A$2:$A$6092,[1]PlanCuentas!AC$2:AC$6092)</f>
        <v>27897692</v>
      </c>
      <c r="F29" s="12">
        <f>LOOKUP(401010400,[1]PlanCuentas!$A$2:$A$6092,[1]PlanCuentas!AC$2:AC$6092)</f>
        <v>4197998687</v>
      </c>
      <c r="G29" s="12">
        <f>LOOKUP(401010500,[1]PlanCuentas!$A$2:$A$6092,[1]PlanCuentas!AC$2:AC$6092)</f>
        <v>207258529</v>
      </c>
      <c r="H29" s="12">
        <f>LOOKUP(401010600,[1]PlanCuentas!$A$2:$A$6092,[1]PlanCuentas!AC$2:AC$6092)</f>
        <v>96743131</v>
      </c>
      <c r="I29" s="12">
        <f>LOOKUP(401010700,[1]PlanCuentas!$A$2:$A$6092,[1]PlanCuentas!AC$2:AC$6092)</f>
        <v>12518151</v>
      </c>
      <c r="J29" s="12">
        <f>LOOKUP(401010800,[1]PlanCuentas!$A$2:$A$6092,[1]PlanCuentas!AC$2:AC$6092)</f>
        <v>0</v>
      </c>
      <c r="K29" s="12">
        <f>LOOKUP(401010900,[1]PlanCuentas!$A$2:$A$6092,[1]PlanCuentas!AC$2:AC$6092)</f>
        <v>19226233</v>
      </c>
      <c r="L29" s="12">
        <f>LOOKUP(401011000,[1]PlanCuentas!$A$2:$A$6092,[1]PlanCuentas!AC$2:AC$6092)</f>
        <v>465161188</v>
      </c>
      <c r="M29" s="12">
        <f>LOOKUP(401011100,[1]PlanCuentas!$A$2:$A$6092,[1]PlanCuentas!AC$2:AC$6092)</f>
        <v>0</v>
      </c>
      <c r="N29" s="12">
        <f>LOOKUP(401011200,[1]PlanCuentas!$A$2:$A$6092,[1]PlanCuentas!AC$2:AC$6092)</f>
        <v>72065029</v>
      </c>
      <c r="O29" s="12">
        <f>LOOKUP(401011300,[1]PlanCuentas!$A$2:$A$6092,[1]PlanCuentas!AC$2:AC$6092)</f>
        <v>2460583494</v>
      </c>
      <c r="P29" s="12">
        <f>LOOKUP(401012000,[1]PlanCuentas!$A$2:$A$6092,[1]PlanCuentas!AC$2:AC$6092)</f>
        <v>40417018</v>
      </c>
      <c r="Q29" s="13">
        <f t="shared" si="0"/>
        <v>8108904665</v>
      </c>
    </row>
    <row r="30" spans="1:17" x14ac:dyDescent="0.2">
      <c r="A30" s="10">
        <v>28</v>
      </c>
      <c r="B30" s="11" t="str">
        <f>[1]Aseguradoras!B29</f>
        <v>Regional S.A de Seguros y Reaseguros</v>
      </c>
      <c r="C30" s="12">
        <f>LOOKUP(401010100,[1]PlanCuentas!$A$2:$A$6092,[1]PlanCuentas!AD$2:AD$6092)</f>
        <v>2221543245</v>
      </c>
      <c r="D30" s="12">
        <f>LOOKUP(401010200,[1]PlanCuentas!$A$2:$A$6092,[1]PlanCuentas!AD$2:AD$6092)</f>
        <v>880659086</v>
      </c>
      <c r="E30" s="12">
        <f>LOOKUP(401010300,[1]PlanCuentas!$A$2:$A$6092,[1]PlanCuentas!AD$2:AD$6092)</f>
        <v>154924932</v>
      </c>
      <c r="F30" s="12">
        <f>LOOKUP(401010400,[1]PlanCuentas!$A$2:$A$6092,[1]PlanCuentas!AD$2:AD$6092)</f>
        <v>16664811505</v>
      </c>
      <c r="G30" s="12">
        <f>LOOKUP(401010500,[1]PlanCuentas!$A$2:$A$6092,[1]PlanCuentas!AD$2:AD$6092)</f>
        <v>0</v>
      </c>
      <c r="H30" s="12">
        <f>LOOKUP(401010600,[1]PlanCuentas!$A$2:$A$6092,[1]PlanCuentas!AD$2:AD$6092)</f>
        <v>1303442183</v>
      </c>
      <c r="I30" s="12">
        <f>LOOKUP(401010700,[1]PlanCuentas!$A$2:$A$6092,[1]PlanCuentas!AD$2:AD$6092)</f>
        <v>41028100</v>
      </c>
      <c r="J30" s="12">
        <f>LOOKUP(401010800,[1]PlanCuentas!$A$2:$A$6092,[1]PlanCuentas!AD$2:AD$6092)</f>
        <v>0</v>
      </c>
      <c r="K30" s="12">
        <f>LOOKUP(401010900,[1]PlanCuentas!$A$2:$A$6092,[1]PlanCuentas!AD$2:AD$6092)</f>
        <v>1055499949</v>
      </c>
      <c r="L30" s="12">
        <f>LOOKUP(401011000,[1]PlanCuentas!$A$2:$A$6092,[1]PlanCuentas!AD$2:AD$6092)</f>
        <v>562862236</v>
      </c>
      <c r="M30" s="12">
        <f>LOOKUP(401011100,[1]PlanCuentas!$A$2:$A$6092,[1]PlanCuentas!AD$2:AD$6092)</f>
        <v>0</v>
      </c>
      <c r="N30" s="12">
        <f>LOOKUP(401011200,[1]PlanCuentas!$A$2:$A$6092,[1]PlanCuentas!AD$2:AD$6092)</f>
        <v>547143417</v>
      </c>
      <c r="O30" s="12">
        <f>LOOKUP(401011300,[1]PlanCuentas!$A$2:$A$6092,[1]PlanCuentas!AD$2:AD$6092)</f>
        <v>583010929</v>
      </c>
      <c r="P30" s="12">
        <f>LOOKUP(401012000,[1]PlanCuentas!$A$2:$A$6092,[1]PlanCuentas!AD$2:AD$6092)</f>
        <v>2452137040</v>
      </c>
      <c r="Q30" s="13">
        <f t="shared" si="0"/>
        <v>26467062622</v>
      </c>
    </row>
    <row r="31" spans="1:17" x14ac:dyDescent="0.2">
      <c r="A31" s="10">
        <v>29</v>
      </c>
      <c r="B31" s="11" t="str">
        <f>[1]Aseguradoras!B30</f>
        <v>Mapfre Paraguay Compañía de Seguros S.A.</v>
      </c>
      <c r="C31" s="12">
        <f>LOOKUP(401010100,[1]PlanCuentas!$A$2:$A$6092,[1]PlanCuentas!AE$2:AE$6092)</f>
        <v>24411893550</v>
      </c>
      <c r="D31" s="12">
        <f>LOOKUP(401010200,[1]PlanCuentas!$A$2:$A$6092,[1]PlanCuentas!AE$2:AE$6092)</f>
        <v>11581775028</v>
      </c>
      <c r="E31" s="12">
        <f>LOOKUP(401010300,[1]PlanCuentas!$A$2:$A$6092,[1]PlanCuentas!AE$2:AE$6092)</f>
        <v>2053969496</v>
      </c>
      <c r="F31" s="12">
        <f>LOOKUP(401010400,[1]PlanCuentas!$A$2:$A$6092,[1]PlanCuentas!AE$2:AE$6092)</f>
        <v>101817388704</v>
      </c>
      <c r="G31" s="12">
        <f>LOOKUP(401010500,[1]PlanCuentas!$A$2:$A$6092,[1]PlanCuentas!AE$2:AE$6092)</f>
        <v>0</v>
      </c>
      <c r="H31" s="12">
        <f>LOOKUP(401010600,[1]PlanCuentas!$A$2:$A$6092,[1]PlanCuentas!AE$2:AE$6092)</f>
        <v>9138819437</v>
      </c>
      <c r="I31" s="12">
        <f>LOOKUP(401010700,[1]PlanCuentas!$A$2:$A$6092,[1]PlanCuentas!AE$2:AE$6092)</f>
        <v>237809088</v>
      </c>
      <c r="J31" s="12">
        <f>LOOKUP(401010800,[1]PlanCuentas!$A$2:$A$6092,[1]PlanCuentas!AE$2:AE$6092)</f>
        <v>20328927111</v>
      </c>
      <c r="K31" s="12">
        <f>LOOKUP(401010900,[1]PlanCuentas!$A$2:$A$6092,[1]PlanCuentas!AE$2:AE$6092)</f>
        <v>4117528499</v>
      </c>
      <c r="L31" s="12">
        <f>LOOKUP(401011000,[1]PlanCuentas!$A$2:$A$6092,[1]PlanCuentas!AE$2:AE$6092)</f>
        <v>3398638900</v>
      </c>
      <c r="M31" s="12">
        <f>LOOKUP(401011100,[1]PlanCuentas!$A$2:$A$6092,[1]PlanCuentas!AE$2:AE$6092)</f>
        <v>392048762</v>
      </c>
      <c r="N31" s="12">
        <f>LOOKUP(401011200,[1]PlanCuentas!$A$2:$A$6092,[1]PlanCuentas!AE$2:AE$6092)</f>
        <v>27888409083</v>
      </c>
      <c r="O31" s="12">
        <f>LOOKUP(401011300,[1]PlanCuentas!$A$2:$A$6092,[1]PlanCuentas!AE$2:AE$6092)</f>
        <v>728121536</v>
      </c>
      <c r="P31" s="12">
        <f>LOOKUP(401012000,[1]PlanCuentas!$A$2:$A$6092,[1]PlanCuentas!AE$2:AE$6092)</f>
        <v>6404465424</v>
      </c>
      <c r="Q31" s="13">
        <f t="shared" si="0"/>
        <v>212499794618</v>
      </c>
    </row>
    <row r="32" spans="1:17" x14ac:dyDescent="0.2">
      <c r="A32" s="10">
        <v>30</v>
      </c>
      <c r="B32" s="11" t="str">
        <f>[1]Aseguradoras!B31</f>
        <v>Aseguradora Tajy Propiedad Cooperativa S.A. de Seguros</v>
      </c>
      <c r="C32" s="12">
        <f>LOOKUP(401010100,[1]PlanCuentas!$A$2:$A$6092,[1]PlanCuentas!AF$2:AF$6092)</f>
        <v>894862920</v>
      </c>
      <c r="D32" s="12">
        <f>LOOKUP(401010200,[1]PlanCuentas!$A$2:$A$6092,[1]PlanCuentas!AF$2:AF$6092)</f>
        <v>127796536</v>
      </c>
      <c r="E32" s="12">
        <f>LOOKUP(401010300,[1]PlanCuentas!$A$2:$A$6092,[1]PlanCuentas!AF$2:AF$6092)</f>
        <v>2809202427</v>
      </c>
      <c r="F32" s="12">
        <f>LOOKUP(401010400,[1]PlanCuentas!$A$2:$A$6092,[1]PlanCuentas!AF$2:AF$6092)</f>
        <v>7045156326</v>
      </c>
      <c r="G32" s="12">
        <f>LOOKUP(401010500,[1]PlanCuentas!$A$2:$A$6092,[1]PlanCuentas!AF$2:AF$6092)</f>
        <v>0</v>
      </c>
      <c r="H32" s="12">
        <f>LOOKUP(401010600,[1]PlanCuentas!$A$2:$A$6092,[1]PlanCuentas!AF$2:AF$6092)</f>
        <v>467711230</v>
      </c>
      <c r="I32" s="12">
        <f>LOOKUP(401010700,[1]PlanCuentas!$A$2:$A$6092,[1]PlanCuentas!AF$2:AF$6092)</f>
        <v>19473413</v>
      </c>
      <c r="J32" s="12">
        <f>LOOKUP(401010800,[1]PlanCuentas!$A$2:$A$6092,[1]PlanCuentas!AF$2:AF$6092)</f>
        <v>2028585121</v>
      </c>
      <c r="K32" s="12">
        <f>LOOKUP(401010900,[1]PlanCuentas!$A$2:$A$6092,[1]PlanCuentas!AF$2:AF$6092)</f>
        <v>976159752</v>
      </c>
      <c r="L32" s="12">
        <f>LOOKUP(401011000,[1]PlanCuentas!$A$2:$A$6092,[1]PlanCuentas!AF$2:AF$6092)</f>
        <v>548123649</v>
      </c>
      <c r="M32" s="12">
        <f>LOOKUP(401011100,[1]PlanCuentas!$A$2:$A$6092,[1]PlanCuentas!AF$2:AF$6092)</f>
        <v>0</v>
      </c>
      <c r="N32" s="12">
        <f>LOOKUP(401011200,[1]PlanCuentas!$A$2:$A$6092,[1]PlanCuentas!AF$2:AF$6092)</f>
        <v>344977411</v>
      </c>
      <c r="O32" s="12">
        <f>LOOKUP(401011300,[1]PlanCuentas!$A$2:$A$6092,[1]PlanCuentas!AF$2:AF$6092)</f>
        <v>378530755</v>
      </c>
      <c r="P32" s="12">
        <f>LOOKUP(401012000,[1]PlanCuentas!$A$2:$A$6092,[1]PlanCuentas!AF$2:AF$6092)</f>
        <v>4007547310</v>
      </c>
      <c r="Q32" s="13">
        <f t="shared" si="0"/>
        <v>19648126850</v>
      </c>
    </row>
    <row r="33" spans="1:30" x14ac:dyDescent="0.2">
      <c r="A33" s="10">
        <v>31</v>
      </c>
      <c r="B33" s="11" t="str">
        <f>[1]Aseguradoras!B32</f>
        <v>Aseguradora del Sur S.A. Seguros Generales - ASUR</v>
      </c>
      <c r="C33" s="12">
        <f>LOOKUP(401010100,[1]PlanCuentas!$A$2:$A$6092,[1]PlanCuentas!AG$2:AG$6092)</f>
        <v>553947532</v>
      </c>
      <c r="D33" s="12">
        <f>LOOKUP(401010200,[1]PlanCuentas!$A$2:$A$6092,[1]PlanCuentas!AG$2:AG$6092)</f>
        <v>1036158141</v>
      </c>
      <c r="E33" s="12">
        <f>LOOKUP(401010300,[1]PlanCuentas!$A$2:$A$6092,[1]PlanCuentas!AG$2:AG$6092)</f>
        <v>205447659</v>
      </c>
      <c r="F33" s="12">
        <f>LOOKUP(401010400,[1]PlanCuentas!$A$2:$A$6092,[1]PlanCuentas!AG$2:AG$6092)</f>
        <v>9523404453</v>
      </c>
      <c r="G33" s="12">
        <f>LOOKUP(401010500,[1]PlanCuentas!$A$2:$A$6092,[1]PlanCuentas!AG$2:AG$6092)</f>
        <v>207258529</v>
      </c>
      <c r="H33" s="12">
        <f>LOOKUP(401010600,[1]PlanCuentas!$A$2:$A$6092,[1]PlanCuentas!AG$2:AG$6092)</f>
        <v>355693115</v>
      </c>
      <c r="I33" s="12">
        <f>LOOKUP(401010700,[1]PlanCuentas!$A$2:$A$6092,[1]PlanCuentas!AG$2:AG$6092)</f>
        <v>21484780</v>
      </c>
      <c r="J33" s="12">
        <f>LOOKUP(401010800,[1]PlanCuentas!$A$2:$A$6092,[1]PlanCuentas!AG$2:AG$6092)</f>
        <v>0</v>
      </c>
      <c r="K33" s="12">
        <f>LOOKUP(401010900,[1]PlanCuentas!$A$2:$A$6092,[1]PlanCuentas!AG$2:AG$6092)</f>
        <v>57118773</v>
      </c>
      <c r="L33" s="12">
        <f>LOOKUP(401011000,[1]PlanCuentas!$A$2:$A$6092,[1]PlanCuentas!AG$2:AG$6092)</f>
        <v>507571393</v>
      </c>
      <c r="M33" s="12">
        <f>LOOKUP(401011100,[1]PlanCuentas!$A$2:$A$6092,[1]PlanCuentas!AG$2:AG$6092)</f>
        <v>10602649</v>
      </c>
      <c r="N33" s="12">
        <f>LOOKUP(401011200,[1]PlanCuentas!$A$2:$A$6092,[1]PlanCuentas!AG$2:AG$6092)</f>
        <v>18183279</v>
      </c>
      <c r="O33" s="12">
        <f>LOOKUP(401011300,[1]PlanCuentas!$A$2:$A$6092,[1]PlanCuentas!AG$2:AG$6092)</f>
        <v>687717091</v>
      </c>
      <c r="P33" s="12">
        <f>LOOKUP(401012000,[1]PlanCuentas!$A$2:$A$6092,[1]PlanCuentas!AG$2:AG$6092)</f>
        <v>19775028</v>
      </c>
      <c r="Q33" s="13">
        <f t="shared" si="0"/>
        <v>13204362422</v>
      </c>
    </row>
    <row r="34" spans="1:30" x14ac:dyDescent="0.2">
      <c r="A34" s="10">
        <v>32</v>
      </c>
      <c r="B34" s="11" t="str">
        <f>[1]Aseguradoras!B33</f>
        <v>Panal Compañía De Seguros Generales S.A.</v>
      </c>
      <c r="C34" s="12">
        <f>LOOKUP(401010100,[1]PlanCuentas!$A$2:$A$6092,[1]PlanCuentas!AH$2:AH$6092)</f>
        <v>732082092</v>
      </c>
      <c r="D34" s="12">
        <f>LOOKUP(401010200,[1]PlanCuentas!$A$2:$A$6092,[1]PlanCuentas!AH$2:AH$6092)</f>
        <v>120664500</v>
      </c>
      <c r="E34" s="12">
        <f>LOOKUP(401010300,[1]PlanCuentas!$A$2:$A$6092,[1]PlanCuentas!AH$2:AH$6092)</f>
        <v>191697537</v>
      </c>
      <c r="F34" s="12">
        <f>LOOKUP(401010400,[1]PlanCuentas!$A$2:$A$6092,[1]PlanCuentas!AH$2:AH$6092)</f>
        <v>10200644666</v>
      </c>
      <c r="G34" s="12">
        <f>LOOKUP(401010500,[1]PlanCuentas!$A$2:$A$6092,[1]PlanCuentas!AH$2:AH$6092)</f>
        <v>0</v>
      </c>
      <c r="H34" s="12">
        <f>LOOKUP(401010600,[1]PlanCuentas!$A$2:$A$6092,[1]PlanCuentas!AH$2:AH$6092)</f>
        <v>1172763010</v>
      </c>
      <c r="I34" s="12">
        <f>LOOKUP(401010700,[1]PlanCuentas!$A$2:$A$6092,[1]PlanCuentas!AH$2:AH$6092)</f>
        <v>51663572</v>
      </c>
      <c r="J34" s="12">
        <f>LOOKUP(401010800,[1]PlanCuentas!$A$2:$A$6092,[1]PlanCuentas!AH$2:AH$6092)</f>
        <v>0</v>
      </c>
      <c r="K34" s="12">
        <f>LOOKUP(401010900,[1]PlanCuentas!$A$2:$A$6092,[1]PlanCuentas!AH$2:AH$6092)</f>
        <v>930000853</v>
      </c>
      <c r="L34" s="12">
        <f>LOOKUP(401011000,[1]PlanCuentas!$A$2:$A$6092,[1]PlanCuentas!AH$2:AH$6092)</f>
        <v>60928133</v>
      </c>
      <c r="M34" s="12">
        <f>LOOKUP(401011100,[1]PlanCuentas!$A$2:$A$6092,[1]PlanCuentas!AH$2:AH$6092)</f>
        <v>406551</v>
      </c>
      <c r="N34" s="12">
        <f>LOOKUP(401011200,[1]PlanCuentas!$A$2:$A$6092,[1]PlanCuentas!AH$2:AH$6092)</f>
        <v>240873334</v>
      </c>
      <c r="O34" s="12">
        <f>LOOKUP(401011300,[1]PlanCuentas!$A$2:$A$6092,[1]PlanCuentas!AH$2:AH$6092)</f>
        <v>271512867</v>
      </c>
      <c r="P34" s="12">
        <f>LOOKUP(401012000,[1]PlanCuentas!$A$2:$A$6092,[1]PlanCuentas!AH$2:AH$6092)</f>
        <v>12755068601</v>
      </c>
      <c r="Q34" s="13">
        <f t="shared" si="0"/>
        <v>26728305716</v>
      </c>
    </row>
    <row r="35" spans="1:30" x14ac:dyDescent="0.2">
      <c r="A35" s="14">
        <v>33</v>
      </c>
      <c r="B35" s="11" t="str">
        <f>[1]Aseguradoras!B34</f>
        <v>Sancor Seguros del Paraguay S.A.</v>
      </c>
      <c r="C35" s="12">
        <f>LOOKUP(401010100,[1]PlanCuentas!$A$2:$A$6092,[1]PlanCuentas!AI$2:AI$6092)</f>
        <v>22126493</v>
      </c>
      <c r="D35" s="12">
        <f>LOOKUP(401010200,[1]PlanCuentas!$A$2:$A$6092,[1]PlanCuentas!AI$2:AI$6092)</f>
        <v>22922479</v>
      </c>
      <c r="E35" s="12">
        <f>LOOKUP(401010300,[1]PlanCuentas!$A$2:$A$6092,[1]PlanCuentas!AI$2:AI$6092)</f>
        <v>41349143</v>
      </c>
      <c r="F35" s="12">
        <f>LOOKUP(401010400,[1]PlanCuentas!$A$2:$A$6092,[1]PlanCuentas!AI$2:AI$6092)</f>
        <v>87750777</v>
      </c>
      <c r="G35" s="12">
        <f>LOOKUP(401010500,[1]PlanCuentas!$A$2:$A$6092,[1]PlanCuentas!AI$2:AI$6092)</f>
        <v>0</v>
      </c>
      <c r="H35" s="12">
        <f>LOOKUP(401010600,[1]PlanCuentas!$A$2:$A$6092,[1]PlanCuentas!AI$2:AI$6092)</f>
        <v>114276</v>
      </c>
      <c r="I35" s="12">
        <f>LOOKUP(401010700,[1]PlanCuentas!$A$2:$A$6092,[1]PlanCuentas!AI$2:AI$6092)</f>
        <v>0</v>
      </c>
      <c r="J35" s="12">
        <f>LOOKUP(401010800,[1]PlanCuentas!$A$2:$A$6092,[1]PlanCuentas!AI$2:AI$6092)</f>
        <v>12341471099</v>
      </c>
      <c r="K35" s="12">
        <f>LOOKUP(401010900,[1]PlanCuentas!$A$2:$A$6092,[1]PlanCuentas!AI$2:AI$6092)</f>
        <v>86739386</v>
      </c>
      <c r="L35" s="12">
        <f>LOOKUP(401011000,[1]PlanCuentas!$A$2:$A$6092,[1]PlanCuentas!AI$2:AI$6092)</f>
        <v>25934626</v>
      </c>
      <c r="M35" s="12">
        <f>LOOKUP(401011100,[1]PlanCuentas!$A$2:$A$6092,[1]PlanCuentas!AI$2:AI$6092)</f>
        <v>5309883</v>
      </c>
      <c r="N35" s="12">
        <f>LOOKUP(401011200,[1]PlanCuentas!$A$2:$A$6092,[1]PlanCuentas!AI$2:AI$6092)</f>
        <v>119790877</v>
      </c>
      <c r="O35" s="12">
        <f>LOOKUP(401011300,[1]PlanCuentas!$A$2:$A$6092,[1]PlanCuentas!AI$2:AI$6092)</f>
        <v>97880404</v>
      </c>
      <c r="P35" s="12">
        <f>LOOKUP(401012000,[1]PlanCuentas!$A$2:$A$6092,[1]PlanCuentas!AI$2:AI$6092)</f>
        <v>337711639</v>
      </c>
      <c r="Q35" s="13">
        <f t="shared" si="0"/>
        <v>13189101082</v>
      </c>
    </row>
    <row r="36" spans="1:30" x14ac:dyDescent="0.2">
      <c r="A36" s="14"/>
      <c r="B36" s="15" t="s">
        <v>18</v>
      </c>
      <c r="C36" s="16">
        <f t="shared" ref="C36:Q36" si="1">SUBTOTAL(109,C3:C35)</f>
        <v>78927804163</v>
      </c>
      <c r="D36" s="17">
        <f t="shared" si="1"/>
        <v>40252245537</v>
      </c>
      <c r="E36" s="17">
        <f t="shared" si="1"/>
        <v>13523551747</v>
      </c>
      <c r="F36" s="17">
        <f t="shared" si="1"/>
        <v>445379877640</v>
      </c>
      <c r="G36" s="17">
        <f t="shared" si="1"/>
        <v>6892540810</v>
      </c>
      <c r="H36" s="17">
        <f t="shared" si="1"/>
        <v>32813106233</v>
      </c>
      <c r="I36" s="17">
        <f t="shared" si="1"/>
        <v>1184165395</v>
      </c>
      <c r="J36" s="17">
        <f t="shared" si="1"/>
        <v>50823001317</v>
      </c>
      <c r="K36" s="17">
        <f t="shared" si="1"/>
        <v>35767384717</v>
      </c>
      <c r="L36" s="17">
        <f t="shared" si="1"/>
        <v>26091415281</v>
      </c>
      <c r="M36" s="17">
        <f t="shared" si="1"/>
        <v>3063944817</v>
      </c>
      <c r="N36" s="17">
        <f t="shared" si="1"/>
        <v>39039798063</v>
      </c>
      <c r="O36" s="17">
        <f t="shared" si="1"/>
        <v>34754183609</v>
      </c>
      <c r="P36" s="17">
        <f t="shared" si="1"/>
        <v>85112000416</v>
      </c>
      <c r="Q36" s="17">
        <f t="shared" si="1"/>
        <v>893625019745</v>
      </c>
    </row>
    <row r="37" spans="1:30" x14ac:dyDescent="0.2"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28.35" customHeight="1" x14ac:dyDescent="0.2">
      <c r="A38" s="1" t="s">
        <v>19</v>
      </c>
      <c r="B38" s="47" t="s">
        <v>20</v>
      </c>
      <c r="C38" s="47"/>
      <c r="D38" s="2"/>
      <c r="E38" s="3"/>
      <c r="F38" s="4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30" ht="24" x14ac:dyDescent="0.2">
      <c r="A39" s="7" t="s">
        <v>2</v>
      </c>
      <c r="B39" s="8" t="s">
        <v>3</v>
      </c>
      <c r="C39" s="9" t="s">
        <v>4</v>
      </c>
      <c r="D39" s="9" t="s">
        <v>5</v>
      </c>
      <c r="E39" s="9" t="s">
        <v>6</v>
      </c>
      <c r="F39" s="9" t="s">
        <v>7</v>
      </c>
      <c r="G39" s="9" t="s">
        <v>8</v>
      </c>
      <c r="H39" s="9" t="s">
        <v>9</v>
      </c>
      <c r="I39" s="9" t="s">
        <v>10</v>
      </c>
      <c r="J39" s="9" t="s">
        <v>11</v>
      </c>
      <c r="K39" s="9" t="s">
        <v>12</v>
      </c>
      <c r="L39" s="9" t="s">
        <v>13</v>
      </c>
      <c r="M39" s="9" t="s">
        <v>14</v>
      </c>
      <c r="N39" s="9" t="s">
        <v>15</v>
      </c>
      <c r="O39" s="9" t="s">
        <v>16</v>
      </c>
      <c r="P39" s="9" t="s">
        <v>17</v>
      </c>
      <c r="Q39" s="8" t="s">
        <v>18</v>
      </c>
    </row>
    <row r="40" spans="1:30" x14ac:dyDescent="0.2">
      <c r="A40" s="10">
        <v>1</v>
      </c>
      <c r="B40" s="11" t="str">
        <f>[1]Aseguradoras!B2</f>
        <v>El Comercio Paraguayo S.A. de Seguros</v>
      </c>
      <c r="C40" s="12">
        <f>LOOKUP(402010100,[1]PlanCuentas!$A$2:$A$6092,[1]PlanCuentas!C$2:C$6092)</f>
        <v>5793619</v>
      </c>
      <c r="D40" s="12">
        <f>LOOKUP(402010200,[1]PlanCuentas!$A$2:$A$6092,[1]PlanCuentas!C$2:C$6092)</f>
        <v>3626165</v>
      </c>
      <c r="E40" s="12">
        <f>LOOKUP(402010300,[1]PlanCuentas!$A$2:$A$6092,[1]PlanCuentas!C$2:C$6092)</f>
        <v>0</v>
      </c>
      <c r="F40" s="12">
        <f>LOOKUP(402010400,[1]PlanCuentas!$A$2:$A$6092,[1]PlanCuentas!C$2:C$6092)</f>
        <v>0</v>
      </c>
      <c r="G40" s="12">
        <f>LOOKUP(402010500,[1]PlanCuentas!$A$2:$A$6092,[1]PlanCuentas!C$2:C$6092)</f>
        <v>0</v>
      </c>
      <c r="H40" s="12">
        <f>LOOKUP(402010600,[1]PlanCuentas!$A$2:$A$6092,[1]PlanCuentas!C$2:C$6092)</f>
        <v>0</v>
      </c>
      <c r="I40" s="12">
        <f>LOOKUP(402010700,[1]PlanCuentas!$A$2:$A$6092,[1]PlanCuentas!C$2:C$6092)</f>
        <v>0</v>
      </c>
      <c r="J40" s="12">
        <f>LOOKUP(402010800,[1]PlanCuentas!$A$2:$A$6092,[1]PlanCuentas!C$2:C$6092)</f>
        <v>0</v>
      </c>
      <c r="K40" s="12">
        <f>LOOKUP(402010900,[1]PlanCuentas!$A$2:$A$6092,[1]PlanCuentas!C$2:C$6092)</f>
        <v>0</v>
      </c>
      <c r="L40" s="12">
        <f>LOOKUP(402011000,[1]PlanCuentas!$A$2:$A$6092,[1]PlanCuentas!C$2:C$6092)</f>
        <v>0</v>
      </c>
      <c r="M40" s="12">
        <f>LOOKUP(402011100,[1]PlanCuentas!$A$2:$A$6092,[1]PlanCuentas!C$2:C$6092)</f>
        <v>0</v>
      </c>
      <c r="N40" s="12">
        <f>LOOKUP(402011200,[1]PlanCuentas!$A$2:$A$6092,[1]PlanCuentas!C$2:C$6092)</f>
        <v>0</v>
      </c>
      <c r="O40" s="12">
        <f>LOOKUP(402011300,[1]PlanCuentas!$A$2:$A$6092,[1]PlanCuentas!C$2:C$6092)</f>
        <v>79767220</v>
      </c>
      <c r="P40" s="12">
        <f>LOOKUP(402012000,[1]PlanCuentas!$A$2:$A$6092,[1]PlanCuentas!C$2:C$6092)</f>
        <v>0</v>
      </c>
      <c r="Q40" s="13">
        <f t="shared" ref="Q40:Q72" si="2">SUM(C40:P40)</f>
        <v>89187004</v>
      </c>
    </row>
    <row r="41" spans="1:30" x14ac:dyDescent="0.2">
      <c r="A41" s="10">
        <v>2</v>
      </c>
      <c r="B41" s="11" t="str">
        <f>[1]Aseguradoras!B3</f>
        <v>La Rural S.A de Seguros</v>
      </c>
      <c r="C41" s="12">
        <f>LOOKUP(402010100,[1]PlanCuentas!$A$2:$A$6092,[1]PlanCuentas!D$2:D$6092)</f>
        <v>188706128</v>
      </c>
      <c r="D41" s="12">
        <f>LOOKUP(402010200,[1]PlanCuentas!$A$2:$A$6092,[1]PlanCuentas!D$2:D$6092)</f>
        <v>69121125</v>
      </c>
      <c r="E41" s="12">
        <f>LOOKUP(402010300,[1]PlanCuentas!$A$2:$A$6092,[1]PlanCuentas!D$2:D$6092)</f>
        <v>7647444</v>
      </c>
      <c r="F41" s="12">
        <f>LOOKUP(402010400,[1]PlanCuentas!$A$2:$A$6092,[1]PlanCuentas!D$2:D$6092)</f>
        <v>74231120</v>
      </c>
      <c r="G41" s="12">
        <f>LOOKUP(402010500,[1]PlanCuentas!$A$2:$A$6092,[1]PlanCuentas!D$2:D$6092)</f>
        <v>0</v>
      </c>
      <c r="H41" s="12">
        <f>LOOKUP(402010600,[1]PlanCuentas!$A$2:$A$6092,[1]PlanCuentas!D$2:D$6092)</f>
        <v>48681742</v>
      </c>
      <c r="I41" s="12">
        <f>LOOKUP(402010700,[1]PlanCuentas!$A$2:$A$6092,[1]PlanCuentas!D$2:D$6092)</f>
        <v>0</v>
      </c>
      <c r="J41" s="12">
        <f>LOOKUP(402010800,[1]PlanCuentas!$A$2:$A$6092,[1]PlanCuentas!D$2:D$6092)</f>
        <v>0</v>
      </c>
      <c r="K41" s="12">
        <f>LOOKUP(402010900,[1]PlanCuentas!$A$2:$A$6092,[1]PlanCuentas!D$2:D$6092)</f>
        <v>0</v>
      </c>
      <c r="L41" s="12">
        <f>LOOKUP(402011000,[1]PlanCuentas!$A$2:$A$6092,[1]PlanCuentas!D$2:D$6092)</f>
        <v>33715523</v>
      </c>
      <c r="M41" s="12">
        <f>LOOKUP(402011100,[1]PlanCuentas!$A$2:$A$6092,[1]PlanCuentas!D$2:D$6092)</f>
        <v>7074897</v>
      </c>
      <c r="N41" s="12">
        <f>LOOKUP(402011200,[1]PlanCuentas!$A$2:$A$6092,[1]PlanCuentas!D$2:D$6092)</f>
        <v>14474644</v>
      </c>
      <c r="O41" s="12">
        <f>LOOKUP(402011300,[1]PlanCuentas!$A$2:$A$6092,[1]PlanCuentas!D$2:D$6092)</f>
        <v>40850727</v>
      </c>
      <c r="P41" s="12">
        <f>LOOKUP(402012000,[1]PlanCuentas!$A$2:$A$6092,[1]PlanCuentas!D$2:D$6092)</f>
        <v>0</v>
      </c>
      <c r="Q41" s="13">
        <f t="shared" si="2"/>
        <v>484503350</v>
      </c>
    </row>
    <row r="42" spans="1:30" x14ac:dyDescent="0.2">
      <c r="A42" s="10">
        <v>3</v>
      </c>
      <c r="B42" s="11" t="str">
        <f>[1]Aseguradoras!B4</f>
        <v>La Paraguaya S.A de Seguros</v>
      </c>
      <c r="C42" s="12">
        <f>LOOKUP(402010100,[1]PlanCuentas!$A$2:$A$6092,[1]PlanCuentas!E$2:E$6092)</f>
        <v>401712822</v>
      </c>
      <c r="D42" s="12">
        <f>LOOKUP(402010200,[1]PlanCuentas!$A$2:$A$6092,[1]PlanCuentas!E$2:E$6092)</f>
        <v>69495860</v>
      </c>
      <c r="E42" s="12">
        <f>LOOKUP(402010300,[1]PlanCuentas!$A$2:$A$6092,[1]PlanCuentas!E$2:E$6092)</f>
        <v>2444083</v>
      </c>
      <c r="F42" s="12">
        <f>LOOKUP(402010400,[1]PlanCuentas!$A$2:$A$6092,[1]PlanCuentas!E$2:E$6092)</f>
        <v>198201429</v>
      </c>
      <c r="G42" s="12">
        <f>LOOKUP(402010500,[1]PlanCuentas!$A$2:$A$6092,[1]PlanCuentas!E$2:E$6092)</f>
        <v>0</v>
      </c>
      <c r="H42" s="12">
        <f>LOOKUP(402010600,[1]PlanCuentas!$A$2:$A$6092,[1]PlanCuentas!E$2:E$6092)</f>
        <v>54599442</v>
      </c>
      <c r="I42" s="12">
        <f>LOOKUP(402010700,[1]PlanCuentas!$A$2:$A$6092,[1]PlanCuentas!E$2:E$6092)</f>
        <v>0</v>
      </c>
      <c r="J42" s="12">
        <f>LOOKUP(402010800,[1]PlanCuentas!$A$2:$A$6092,[1]PlanCuentas!E$2:E$6092)</f>
        <v>0</v>
      </c>
      <c r="K42" s="12">
        <f>LOOKUP(402010900,[1]PlanCuentas!$A$2:$A$6092,[1]PlanCuentas!E$2:E$6092)</f>
        <v>23070933</v>
      </c>
      <c r="L42" s="12">
        <f>LOOKUP(402011000,[1]PlanCuentas!$A$2:$A$6092,[1]PlanCuentas!E$2:E$6092)</f>
        <v>34738218</v>
      </c>
      <c r="M42" s="12">
        <f>LOOKUP(402011100,[1]PlanCuentas!$A$2:$A$6092,[1]PlanCuentas!E$2:E$6092)</f>
        <v>0</v>
      </c>
      <c r="N42" s="12">
        <f>LOOKUP(402011200,[1]PlanCuentas!$A$2:$A$6092,[1]PlanCuentas!E$2:E$6092)</f>
        <v>19581183</v>
      </c>
      <c r="O42" s="12">
        <f>LOOKUP(402011300,[1]PlanCuentas!$A$2:$A$6092,[1]PlanCuentas!E$2:E$6092)</f>
        <v>76171644</v>
      </c>
      <c r="P42" s="12">
        <f>LOOKUP(402012000,[1]PlanCuentas!$A$2:$A$6092,[1]PlanCuentas!E$2:E$6092)</f>
        <v>0</v>
      </c>
      <c r="Q42" s="13">
        <f t="shared" si="2"/>
        <v>880015614</v>
      </c>
    </row>
    <row r="43" spans="1:30" x14ac:dyDescent="0.2">
      <c r="A43" s="10">
        <v>4</v>
      </c>
      <c r="B43" s="11" t="str">
        <f>[1]Aseguradoras!B5</f>
        <v>Seguros Generales S. A (SEGESA)</v>
      </c>
      <c r="C43" s="12">
        <f>LOOKUP(402010100,[1]PlanCuentas!$A$2:$A$6092,[1]PlanCuentas!F$2:F$6092)</f>
        <v>1531692</v>
      </c>
      <c r="D43" s="12">
        <f>LOOKUP(402010200,[1]PlanCuentas!$A$2:$A$6092,[1]PlanCuentas!F$2:F$6092)</f>
        <v>0</v>
      </c>
      <c r="E43" s="12">
        <f>LOOKUP(402010300,[1]PlanCuentas!$A$2:$A$6092,[1]PlanCuentas!F$2:F$6092)</f>
        <v>42952</v>
      </c>
      <c r="F43" s="12">
        <f>LOOKUP(402010400,[1]PlanCuentas!$A$2:$A$6092,[1]PlanCuentas!F$2:F$6092)</f>
        <v>426138</v>
      </c>
      <c r="G43" s="12">
        <f>LOOKUP(402010500,[1]PlanCuentas!$A$2:$A$6092,[1]PlanCuentas!F$2:F$6092)</f>
        <v>0</v>
      </c>
      <c r="H43" s="12">
        <f>LOOKUP(402010600,[1]PlanCuentas!$A$2:$A$6092,[1]PlanCuentas!F$2:F$6092)</f>
        <v>74883</v>
      </c>
      <c r="I43" s="12">
        <f>LOOKUP(402010700,[1]PlanCuentas!$A$2:$A$6092,[1]PlanCuentas!F$2:F$6092)</f>
        <v>0</v>
      </c>
      <c r="J43" s="12">
        <f>LOOKUP(402010800,[1]PlanCuentas!$A$2:$A$6092,[1]PlanCuentas!F$2:F$6092)</f>
        <v>0</v>
      </c>
      <c r="K43" s="12">
        <f>LOOKUP(402010900,[1]PlanCuentas!$A$2:$A$6092,[1]PlanCuentas!F$2:F$6092)</f>
        <v>343398</v>
      </c>
      <c r="L43" s="12">
        <f>LOOKUP(402011000,[1]PlanCuentas!$A$2:$A$6092,[1]PlanCuentas!F$2:F$6092)</f>
        <v>18284</v>
      </c>
      <c r="M43" s="12">
        <f>LOOKUP(402011100,[1]PlanCuentas!$A$2:$A$6092,[1]PlanCuentas!F$2:F$6092)</f>
        <v>0</v>
      </c>
      <c r="N43" s="12">
        <f>LOOKUP(402011200,[1]PlanCuentas!$A$2:$A$6092,[1]PlanCuentas!F$2:F$6092)</f>
        <v>0</v>
      </c>
      <c r="O43" s="12">
        <f>LOOKUP(402011300,[1]PlanCuentas!$A$2:$A$6092,[1]PlanCuentas!F$2:F$6092)</f>
        <v>3422682</v>
      </c>
      <c r="P43" s="12">
        <f>LOOKUP(402012000,[1]PlanCuentas!$A$2:$A$6092,[1]PlanCuentas!F$2:F$6092)</f>
        <v>0</v>
      </c>
      <c r="Q43" s="13">
        <f t="shared" si="2"/>
        <v>5860029</v>
      </c>
    </row>
    <row r="44" spans="1:30" x14ac:dyDescent="0.2">
      <c r="A44" s="10">
        <v>5</v>
      </c>
      <c r="B44" s="11" t="str">
        <f>[1]Aseguradoras!B6</f>
        <v>Rumbos S.A de Seguros</v>
      </c>
      <c r="C44" s="12">
        <f>LOOKUP(402010100,[1]PlanCuentas!$A$2:$A$6092,[1]PlanCuentas!G$2:G$6092)</f>
        <v>205640869</v>
      </c>
      <c r="D44" s="12">
        <f>LOOKUP(402010200,[1]PlanCuentas!$A$2:$A$6092,[1]PlanCuentas!G$2:G$6092)</f>
        <v>22156139</v>
      </c>
      <c r="E44" s="12">
        <f>LOOKUP(402010300,[1]PlanCuentas!$A$2:$A$6092,[1]PlanCuentas!G$2:G$6092)</f>
        <v>32195003</v>
      </c>
      <c r="F44" s="12">
        <f>LOOKUP(402010400,[1]PlanCuentas!$A$2:$A$6092,[1]PlanCuentas!G$2:G$6092)</f>
        <v>881295942</v>
      </c>
      <c r="G44" s="12">
        <f>LOOKUP(402010500,[1]PlanCuentas!$A$2:$A$6092,[1]PlanCuentas!G$2:G$6092)</f>
        <v>0</v>
      </c>
      <c r="H44" s="12">
        <f>LOOKUP(402010600,[1]PlanCuentas!$A$2:$A$6092,[1]PlanCuentas!G$2:G$6092)</f>
        <v>82667574</v>
      </c>
      <c r="I44" s="12">
        <f>LOOKUP(402010700,[1]PlanCuentas!$A$2:$A$6092,[1]PlanCuentas!G$2:G$6092)</f>
        <v>6215462</v>
      </c>
      <c r="J44" s="12">
        <f>LOOKUP(402010800,[1]PlanCuentas!$A$2:$A$6092,[1]PlanCuentas!G$2:G$6092)</f>
        <v>0</v>
      </c>
      <c r="K44" s="12">
        <f>LOOKUP(402010900,[1]PlanCuentas!$A$2:$A$6092,[1]PlanCuentas!G$2:G$6092)</f>
        <v>53504327</v>
      </c>
      <c r="L44" s="12">
        <f>LOOKUP(402011000,[1]PlanCuentas!$A$2:$A$6092,[1]PlanCuentas!G$2:G$6092)</f>
        <v>11574195</v>
      </c>
      <c r="M44" s="12">
        <f>LOOKUP(402011100,[1]PlanCuentas!$A$2:$A$6092,[1]PlanCuentas!G$2:G$6092)</f>
        <v>71249489</v>
      </c>
      <c r="N44" s="12">
        <f>LOOKUP(402011200,[1]PlanCuentas!$A$2:$A$6092,[1]PlanCuentas!G$2:G$6092)</f>
        <v>97993033</v>
      </c>
      <c r="O44" s="12">
        <f>LOOKUP(402011300,[1]PlanCuentas!$A$2:$A$6092,[1]PlanCuentas!G$2:G$6092)</f>
        <v>22202143</v>
      </c>
      <c r="P44" s="12">
        <f>LOOKUP(402012000,[1]PlanCuentas!$A$2:$A$6092,[1]PlanCuentas!G$2:G$6092)</f>
        <v>257852422</v>
      </c>
      <c r="Q44" s="13">
        <f t="shared" si="2"/>
        <v>1744546598</v>
      </c>
    </row>
    <row r="45" spans="1:30" x14ac:dyDescent="0.2">
      <c r="A45" s="10">
        <v>6</v>
      </c>
      <c r="B45" s="11" t="str">
        <f>[1]Aseguradoras!B7</f>
        <v>La Consolidada S.A de Seguros</v>
      </c>
      <c r="C45" s="12">
        <f>LOOKUP(402010100,[1]PlanCuentas!$A$2:$A$6092,[1]PlanCuentas!H$2:H$6092)</f>
        <v>36986324</v>
      </c>
      <c r="D45" s="12">
        <f>LOOKUP(402010200,[1]PlanCuentas!$A$2:$A$6092,[1]PlanCuentas!H$2:H$6092)</f>
        <v>1563831</v>
      </c>
      <c r="E45" s="12">
        <f>LOOKUP(402010300,[1]PlanCuentas!$A$2:$A$6092,[1]PlanCuentas!H$2:H$6092)</f>
        <v>3307</v>
      </c>
      <c r="F45" s="12">
        <f>LOOKUP(402010400,[1]PlanCuentas!$A$2:$A$6092,[1]PlanCuentas!H$2:H$6092)</f>
        <v>231305887</v>
      </c>
      <c r="G45" s="12">
        <f>LOOKUP(402010500,[1]PlanCuentas!$A$2:$A$6092,[1]PlanCuentas!H$2:H$6092)</f>
        <v>0</v>
      </c>
      <c r="H45" s="12">
        <f>LOOKUP(402010600,[1]PlanCuentas!$A$2:$A$6092,[1]PlanCuentas!H$2:H$6092)</f>
        <v>20907733</v>
      </c>
      <c r="I45" s="12">
        <f>LOOKUP(402010700,[1]PlanCuentas!$A$2:$A$6092,[1]PlanCuentas!H$2:H$6092)</f>
        <v>95742</v>
      </c>
      <c r="J45" s="12">
        <f>LOOKUP(402010800,[1]PlanCuentas!$A$2:$A$6092,[1]PlanCuentas!H$2:H$6092)</f>
        <v>0</v>
      </c>
      <c r="K45" s="12">
        <f>LOOKUP(402010900,[1]PlanCuentas!$A$2:$A$6092,[1]PlanCuentas!H$2:H$6092)</f>
        <v>13497202</v>
      </c>
      <c r="L45" s="12">
        <f>LOOKUP(402011000,[1]PlanCuentas!$A$2:$A$6092,[1]PlanCuentas!H$2:H$6092)</f>
        <v>71250</v>
      </c>
      <c r="M45" s="12">
        <f>LOOKUP(402011100,[1]PlanCuentas!$A$2:$A$6092,[1]PlanCuentas!H$2:H$6092)</f>
        <v>0</v>
      </c>
      <c r="N45" s="12">
        <f>LOOKUP(402011200,[1]PlanCuentas!$A$2:$A$6092,[1]PlanCuentas!H$2:H$6092)</f>
        <v>33509281</v>
      </c>
      <c r="O45" s="12">
        <f>LOOKUP(402011300,[1]PlanCuentas!$A$2:$A$6092,[1]PlanCuentas!H$2:H$6092)</f>
        <v>93991149</v>
      </c>
      <c r="P45" s="12">
        <f>LOOKUP(402012000,[1]PlanCuentas!$A$2:$A$6092,[1]PlanCuentas!H$2:H$6092)</f>
        <v>20622665</v>
      </c>
      <c r="Q45" s="13">
        <f t="shared" si="2"/>
        <v>452554371</v>
      </c>
    </row>
    <row r="46" spans="1:30" x14ac:dyDescent="0.2">
      <c r="A46" s="10">
        <v>7</v>
      </c>
      <c r="B46" s="11" t="str">
        <f>[1]Aseguradoras!B8</f>
        <v>El Productor S.A de Seguros y Reaseguros</v>
      </c>
      <c r="C46" s="12">
        <f>LOOKUP(402010100,[1]PlanCuentas!$A$2:$A$6092,[1]PlanCuentas!I$2:I$6092)</f>
        <v>243794602</v>
      </c>
      <c r="D46" s="12">
        <f>LOOKUP(402010200,[1]PlanCuentas!$A$2:$A$6092,[1]PlanCuentas!I$2:I$6092)</f>
        <v>14065233</v>
      </c>
      <c r="E46" s="12">
        <f>LOOKUP(402010300,[1]PlanCuentas!$A$2:$A$6092,[1]PlanCuentas!I$2:I$6092)</f>
        <v>21632460</v>
      </c>
      <c r="F46" s="12">
        <f>LOOKUP(402010400,[1]PlanCuentas!$A$2:$A$6092,[1]PlanCuentas!I$2:I$6092)</f>
        <v>413930241</v>
      </c>
      <c r="G46" s="12">
        <f>LOOKUP(402010500,[1]PlanCuentas!$A$2:$A$6092,[1]PlanCuentas!I$2:I$6092)</f>
        <v>0</v>
      </c>
      <c r="H46" s="12">
        <f>LOOKUP(402010600,[1]PlanCuentas!$A$2:$A$6092,[1]PlanCuentas!I$2:I$6092)</f>
        <v>42621933</v>
      </c>
      <c r="I46" s="12">
        <f>LOOKUP(402010700,[1]PlanCuentas!$A$2:$A$6092,[1]PlanCuentas!I$2:I$6092)</f>
        <v>6031802</v>
      </c>
      <c r="J46" s="12">
        <f>LOOKUP(402010800,[1]PlanCuentas!$A$2:$A$6092,[1]PlanCuentas!I$2:I$6092)</f>
        <v>0</v>
      </c>
      <c r="K46" s="12">
        <f>LOOKUP(402010900,[1]PlanCuentas!$A$2:$A$6092,[1]PlanCuentas!I$2:I$6092)</f>
        <v>11217221</v>
      </c>
      <c r="L46" s="12">
        <f>LOOKUP(402011000,[1]PlanCuentas!$A$2:$A$6092,[1]PlanCuentas!I$2:I$6092)</f>
        <v>16886138</v>
      </c>
      <c r="M46" s="12">
        <f>LOOKUP(402011100,[1]PlanCuentas!$A$2:$A$6092,[1]PlanCuentas!I$2:I$6092)</f>
        <v>17536032</v>
      </c>
      <c r="N46" s="12">
        <f>LOOKUP(402011200,[1]PlanCuentas!$A$2:$A$6092,[1]PlanCuentas!I$2:I$6092)</f>
        <v>116707514</v>
      </c>
      <c r="O46" s="12">
        <f>LOOKUP(402011300,[1]PlanCuentas!$A$2:$A$6092,[1]PlanCuentas!I$2:I$6092)</f>
        <v>0</v>
      </c>
      <c r="P46" s="12">
        <f>LOOKUP(402012000,[1]PlanCuentas!$A$2:$A$6092,[1]PlanCuentas!I$2:I$6092)</f>
        <v>192864025</v>
      </c>
      <c r="Q46" s="13">
        <f t="shared" si="2"/>
        <v>1097287201</v>
      </c>
    </row>
    <row r="47" spans="1:30" x14ac:dyDescent="0.2">
      <c r="A47" s="10">
        <v>8</v>
      </c>
      <c r="B47" s="11" t="str">
        <f>[1]Aseguradoras!B9</f>
        <v>Atalaya S.A de Seguros Generales</v>
      </c>
      <c r="C47" s="12">
        <f>LOOKUP(402010100,[1]PlanCuentas!$A$2:$A$6092,[1]PlanCuentas!J$2:J$6092)</f>
        <v>4976228</v>
      </c>
      <c r="D47" s="12">
        <f>LOOKUP(402010200,[1]PlanCuentas!$A$2:$A$6092,[1]PlanCuentas!J$2:J$6092)</f>
        <v>8135024</v>
      </c>
      <c r="E47" s="12">
        <f>LOOKUP(402010300,[1]PlanCuentas!$A$2:$A$6092,[1]PlanCuentas!J$2:J$6092)</f>
        <v>96034</v>
      </c>
      <c r="F47" s="12">
        <f>LOOKUP(402010400,[1]PlanCuentas!$A$2:$A$6092,[1]PlanCuentas!J$2:J$6092)</f>
        <v>184891107</v>
      </c>
      <c r="G47" s="12">
        <f>LOOKUP(402010500,[1]PlanCuentas!$A$2:$A$6092,[1]PlanCuentas!J$2:J$6092)</f>
        <v>124763</v>
      </c>
      <c r="H47" s="12">
        <f>LOOKUP(402010600,[1]PlanCuentas!$A$2:$A$6092,[1]PlanCuentas!J$2:J$6092)</f>
        <v>470913</v>
      </c>
      <c r="I47" s="12">
        <f>LOOKUP(402010700,[1]PlanCuentas!$A$2:$A$6092,[1]PlanCuentas!J$2:J$6092)</f>
        <v>0</v>
      </c>
      <c r="J47" s="12">
        <f>LOOKUP(402010800,[1]PlanCuentas!$A$2:$A$6092,[1]PlanCuentas!J$2:J$6092)</f>
        <v>0</v>
      </c>
      <c r="K47" s="12">
        <f>LOOKUP(402010900,[1]PlanCuentas!$A$2:$A$6092,[1]PlanCuentas!J$2:J$6092)</f>
        <v>218635</v>
      </c>
      <c r="L47" s="12">
        <f>LOOKUP(402011000,[1]PlanCuentas!$A$2:$A$6092,[1]PlanCuentas!J$2:J$6092)</f>
        <v>2939912</v>
      </c>
      <c r="M47" s="12">
        <f>LOOKUP(402011100,[1]PlanCuentas!$A$2:$A$6092,[1]PlanCuentas!J$2:J$6092)</f>
        <v>0</v>
      </c>
      <c r="N47" s="12">
        <f>LOOKUP(402011200,[1]PlanCuentas!$A$2:$A$6092,[1]PlanCuentas!J$2:J$6092)</f>
        <v>0</v>
      </c>
      <c r="O47" s="12">
        <f>LOOKUP(402011300,[1]PlanCuentas!$A$2:$A$6092,[1]PlanCuentas!J$2:J$6092)</f>
        <v>2194887</v>
      </c>
      <c r="P47" s="12">
        <f>LOOKUP(402012000,[1]PlanCuentas!$A$2:$A$6092,[1]PlanCuentas!J$2:J$6092)</f>
        <v>0</v>
      </c>
      <c r="Q47" s="13">
        <f t="shared" si="2"/>
        <v>204047503</v>
      </c>
    </row>
    <row r="48" spans="1:30" x14ac:dyDescent="0.2">
      <c r="A48" s="10">
        <v>9</v>
      </c>
      <c r="B48" s="11" t="str">
        <f>[1]Aseguradoras!B10</f>
        <v>La Independencia de Seguros S.A.</v>
      </c>
      <c r="C48" s="12">
        <f>LOOKUP(402010100,[1]PlanCuentas!$A$2:$A$6092,[1]PlanCuentas!K$2:K$6092)</f>
        <v>0</v>
      </c>
      <c r="D48" s="12">
        <f>LOOKUP(402010200,[1]PlanCuentas!$A$2:$A$6092,[1]PlanCuentas!K$2:K$6092)</f>
        <v>0</v>
      </c>
      <c r="E48" s="12">
        <f>LOOKUP(402010300,[1]PlanCuentas!$A$2:$A$6092,[1]PlanCuentas!K$2:K$6092)</f>
        <v>0</v>
      </c>
      <c r="F48" s="12">
        <f>LOOKUP(402010400,[1]PlanCuentas!$A$2:$A$6092,[1]PlanCuentas!K$2:K$6092)</f>
        <v>0</v>
      </c>
      <c r="G48" s="12">
        <f>LOOKUP(402010500,[1]PlanCuentas!$A$2:$A$6092,[1]PlanCuentas!K$2:K$6092)</f>
        <v>0</v>
      </c>
      <c r="H48" s="12">
        <f>LOOKUP(402010600,[1]PlanCuentas!$A$2:$A$6092,[1]PlanCuentas!K$2:K$6092)</f>
        <v>0</v>
      </c>
      <c r="I48" s="12">
        <f>LOOKUP(402010700,[1]PlanCuentas!$A$2:$A$6092,[1]PlanCuentas!K$2:K$6092)</f>
        <v>0</v>
      </c>
      <c r="J48" s="12">
        <f>LOOKUP(402010800,[1]PlanCuentas!$A$2:$A$6092,[1]PlanCuentas!K$2:K$6092)</f>
        <v>0</v>
      </c>
      <c r="K48" s="12">
        <f>LOOKUP(402010900,[1]PlanCuentas!$A$2:$A$6092,[1]PlanCuentas!K$2:K$6092)</f>
        <v>0</v>
      </c>
      <c r="L48" s="12">
        <f>LOOKUP(402011000,[1]PlanCuentas!$A$2:$A$6092,[1]PlanCuentas!K$2:K$6092)</f>
        <v>0</v>
      </c>
      <c r="M48" s="12">
        <f>LOOKUP(402011100,[1]PlanCuentas!$A$2:$A$6092,[1]PlanCuentas!K$2:K$6092)</f>
        <v>0</v>
      </c>
      <c r="N48" s="12">
        <f>LOOKUP(402011200,[1]PlanCuentas!$A$2:$A$6092,[1]PlanCuentas!K$2:K$6092)</f>
        <v>0</v>
      </c>
      <c r="O48" s="12">
        <f>LOOKUP(402011300,[1]PlanCuentas!$A$2:$A$6092,[1]PlanCuentas!K$2:K$6092)</f>
        <v>0</v>
      </c>
      <c r="P48" s="12">
        <f>LOOKUP(402012000,[1]PlanCuentas!$A$2:$A$6092,[1]PlanCuentas!K$2:K$6092)</f>
        <v>0</v>
      </c>
      <c r="Q48" s="13">
        <f t="shared" si="2"/>
        <v>0</v>
      </c>
    </row>
    <row r="49" spans="1:17" x14ac:dyDescent="0.2">
      <c r="A49" s="10">
        <v>10</v>
      </c>
      <c r="B49" s="11" t="str">
        <f>[1]Aseguradoras!B11</f>
        <v>Patria S.A de Seguros y Reaseguros</v>
      </c>
      <c r="C49" s="12">
        <f>LOOKUP(402010100,[1]PlanCuentas!$A$2:$A$6092,[1]PlanCuentas!L$2:L$6092)</f>
        <v>99112056</v>
      </c>
      <c r="D49" s="12">
        <f>LOOKUP(402010200,[1]PlanCuentas!$A$2:$A$6092,[1]PlanCuentas!L$2:L$6092)</f>
        <v>17411719</v>
      </c>
      <c r="E49" s="12">
        <f>LOOKUP(402010300,[1]PlanCuentas!$A$2:$A$6092,[1]PlanCuentas!L$2:L$6092)</f>
        <v>2556315</v>
      </c>
      <c r="F49" s="12">
        <f>LOOKUP(402010400,[1]PlanCuentas!$A$2:$A$6092,[1]PlanCuentas!L$2:L$6092)</f>
        <v>47686795</v>
      </c>
      <c r="G49" s="12">
        <f>LOOKUP(402010500,[1]PlanCuentas!$A$2:$A$6092,[1]PlanCuentas!L$2:L$6092)</f>
        <v>0</v>
      </c>
      <c r="H49" s="12">
        <f>LOOKUP(402010600,[1]PlanCuentas!$A$2:$A$6092,[1]PlanCuentas!L$2:L$6092)</f>
        <v>11202896</v>
      </c>
      <c r="I49" s="12">
        <f>LOOKUP(402010700,[1]PlanCuentas!$A$2:$A$6092,[1]PlanCuentas!L$2:L$6092)</f>
        <v>0</v>
      </c>
      <c r="J49" s="12">
        <f>LOOKUP(402010800,[1]PlanCuentas!$A$2:$A$6092,[1]PlanCuentas!L$2:L$6092)</f>
        <v>0</v>
      </c>
      <c r="K49" s="12">
        <f>LOOKUP(402010900,[1]PlanCuentas!$A$2:$A$6092,[1]PlanCuentas!L$2:L$6092)</f>
        <v>0</v>
      </c>
      <c r="L49" s="12">
        <f>LOOKUP(402011000,[1]PlanCuentas!$A$2:$A$6092,[1]PlanCuentas!L$2:L$6092)</f>
        <v>5263314</v>
      </c>
      <c r="M49" s="12">
        <f>LOOKUP(402011100,[1]PlanCuentas!$A$2:$A$6092,[1]PlanCuentas!L$2:L$6092)</f>
        <v>0</v>
      </c>
      <c r="N49" s="12">
        <f>LOOKUP(402011200,[1]PlanCuentas!$A$2:$A$6092,[1]PlanCuentas!L$2:L$6092)</f>
        <v>1645214</v>
      </c>
      <c r="O49" s="12">
        <f>LOOKUP(402011300,[1]PlanCuentas!$A$2:$A$6092,[1]PlanCuentas!L$2:L$6092)</f>
        <v>82549805</v>
      </c>
      <c r="P49" s="12">
        <f>LOOKUP(402012000,[1]PlanCuentas!$A$2:$A$6092,[1]PlanCuentas!L$2:L$6092)</f>
        <v>0</v>
      </c>
      <c r="Q49" s="13">
        <f t="shared" si="2"/>
        <v>267428114</v>
      </c>
    </row>
    <row r="50" spans="1:17" x14ac:dyDescent="0.2">
      <c r="A50" s="10">
        <v>11</v>
      </c>
      <c r="B50" s="11" t="str">
        <f>[1]Aseguradoras!B12</f>
        <v>Garantía S.A de Seguros y Reaseguros</v>
      </c>
      <c r="C50" s="12">
        <f>LOOKUP(402010100,[1]PlanCuentas!$A$2:$A$6092,[1]PlanCuentas!M$2:M$6092)</f>
        <v>300097</v>
      </c>
      <c r="D50" s="12">
        <f>LOOKUP(402010200,[1]PlanCuentas!$A$2:$A$6092,[1]PlanCuentas!M$2:M$6092)</f>
        <v>0</v>
      </c>
      <c r="E50" s="12">
        <f>LOOKUP(402010300,[1]PlanCuentas!$A$2:$A$6092,[1]PlanCuentas!M$2:M$6092)</f>
        <v>43975</v>
      </c>
      <c r="F50" s="12">
        <f>LOOKUP(402010400,[1]PlanCuentas!$A$2:$A$6092,[1]PlanCuentas!M$2:M$6092)</f>
        <v>28849003</v>
      </c>
      <c r="G50" s="12">
        <f>LOOKUP(402010500,[1]PlanCuentas!$A$2:$A$6092,[1]PlanCuentas!M$2:M$6092)</f>
        <v>0</v>
      </c>
      <c r="H50" s="12">
        <f>LOOKUP(402010600,[1]PlanCuentas!$A$2:$A$6092,[1]PlanCuentas!M$2:M$6092)</f>
        <v>461970</v>
      </c>
      <c r="I50" s="12">
        <f>LOOKUP(402010700,[1]PlanCuentas!$A$2:$A$6092,[1]PlanCuentas!M$2:M$6092)</f>
        <v>0</v>
      </c>
      <c r="J50" s="12">
        <f>LOOKUP(402010800,[1]PlanCuentas!$A$2:$A$6092,[1]PlanCuentas!M$2:M$6092)</f>
        <v>0</v>
      </c>
      <c r="K50" s="12">
        <f>LOOKUP(402010900,[1]PlanCuentas!$A$2:$A$6092,[1]PlanCuentas!M$2:M$6092)</f>
        <v>365268</v>
      </c>
      <c r="L50" s="12">
        <f>LOOKUP(402011000,[1]PlanCuentas!$A$2:$A$6092,[1]PlanCuentas!M$2:M$6092)</f>
        <v>1016</v>
      </c>
      <c r="M50" s="12">
        <f>LOOKUP(402011100,[1]PlanCuentas!$A$2:$A$6092,[1]PlanCuentas!M$2:M$6092)</f>
        <v>0</v>
      </c>
      <c r="N50" s="12">
        <f>LOOKUP(402011200,[1]PlanCuentas!$A$2:$A$6092,[1]PlanCuentas!M$2:M$6092)</f>
        <v>34984</v>
      </c>
      <c r="O50" s="12">
        <f>LOOKUP(402011300,[1]PlanCuentas!$A$2:$A$6092,[1]PlanCuentas!M$2:M$6092)</f>
        <v>265498</v>
      </c>
      <c r="P50" s="12">
        <f>LOOKUP(402012000,[1]PlanCuentas!$A$2:$A$6092,[1]PlanCuentas!M$2:M$6092)</f>
        <v>0</v>
      </c>
      <c r="Q50" s="13">
        <f t="shared" si="2"/>
        <v>30321811</v>
      </c>
    </row>
    <row r="51" spans="1:17" x14ac:dyDescent="0.2">
      <c r="A51" s="10">
        <v>12</v>
      </c>
      <c r="B51" s="11" t="str">
        <f>[1]Aseguradoras!B13</f>
        <v>Aseguradora Paraguaya S.A.</v>
      </c>
      <c r="C51" s="12">
        <f>LOOKUP(402010100,[1]PlanCuentas!$A$2:$A$6092,[1]PlanCuentas!N$2:N$6092)</f>
        <v>117422406</v>
      </c>
      <c r="D51" s="12">
        <f>LOOKUP(402010200,[1]PlanCuentas!$A$2:$A$6092,[1]PlanCuentas!N$2:N$6092)</f>
        <v>12471074</v>
      </c>
      <c r="E51" s="12">
        <f>LOOKUP(402010300,[1]PlanCuentas!$A$2:$A$6092,[1]PlanCuentas!N$2:N$6092)</f>
        <v>1387549</v>
      </c>
      <c r="F51" s="12">
        <f>LOOKUP(402010400,[1]PlanCuentas!$A$2:$A$6092,[1]PlanCuentas!N$2:N$6092)</f>
        <v>132544069</v>
      </c>
      <c r="G51" s="12">
        <f>LOOKUP(402010500,[1]PlanCuentas!$A$2:$A$6092,[1]PlanCuentas!N$2:N$6092)</f>
        <v>0</v>
      </c>
      <c r="H51" s="12">
        <f>LOOKUP(402010600,[1]PlanCuentas!$A$2:$A$6092,[1]PlanCuentas!N$2:N$6092)</f>
        <v>29700404</v>
      </c>
      <c r="I51" s="12">
        <f>LOOKUP(402010700,[1]PlanCuentas!$A$2:$A$6092,[1]PlanCuentas!N$2:N$6092)</f>
        <v>0</v>
      </c>
      <c r="J51" s="12">
        <f>LOOKUP(402010800,[1]PlanCuentas!$A$2:$A$6092,[1]PlanCuentas!N$2:N$6092)</f>
        <v>0</v>
      </c>
      <c r="K51" s="12">
        <f>LOOKUP(402010900,[1]PlanCuentas!$A$2:$A$6092,[1]PlanCuentas!N$2:N$6092)</f>
        <v>0</v>
      </c>
      <c r="L51" s="12">
        <f>LOOKUP(402011000,[1]PlanCuentas!$A$2:$A$6092,[1]PlanCuentas!N$2:N$6092)</f>
        <v>0</v>
      </c>
      <c r="M51" s="12">
        <f>LOOKUP(402011100,[1]PlanCuentas!$A$2:$A$6092,[1]PlanCuentas!N$2:N$6092)</f>
        <v>6147204</v>
      </c>
      <c r="N51" s="12">
        <f>LOOKUP(402011200,[1]PlanCuentas!$A$2:$A$6092,[1]PlanCuentas!N$2:N$6092)</f>
        <v>17689349</v>
      </c>
      <c r="O51" s="12">
        <f>LOOKUP(402011300,[1]PlanCuentas!$A$2:$A$6092,[1]PlanCuentas!N$2:N$6092)</f>
        <v>37484549</v>
      </c>
      <c r="P51" s="12">
        <f>LOOKUP(402012000,[1]PlanCuentas!$A$2:$A$6092,[1]PlanCuentas!N$2:N$6092)</f>
        <v>268241627</v>
      </c>
      <c r="Q51" s="13">
        <f t="shared" si="2"/>
        <v>623088231</v>
      </c>
    </row>
    <row r="52" spans="1:17" x14ac:dyDescent="0.2">
      <c r="A52" s="10">
        <v>13</v>
      </c>
      <c r="B52" s="11" t="str">
        <f>[1]Aseguradoras!B14</f>
        <v>Fénix S.A de Seguros y Reaseguros</v>
      </c>
      <c r="C52" s="12">
        <f>LOOKUP(402010100,[1]PlanCuentas!$A$2:$A$6092,[1]PlanCuentas!O$2:O$6092)</f>
        <v>158147661</v>
      </c>
      <c r="D52" s="12">
        <f>LOOKUP(402010200,[1]PlanCuentas!$A$2:$A$6092,[1]PlanCuentas!O$2:O$6092)</f>
        <v>21676907</v>
      </c>
      <c r="E52" s="12">
        <f>LOOKUP(402010300,[1]PlanCuentas!$A$2:$A$6092,[1]PlanCuentas!O$2:O$6092)</f>
        <v>4051341</v>
      </c>
      <c r="F52" s="12">
        <f>LOOKUP(402010400,[1]PlanCuentas!$A$2:$A$6092,[1]PlanCuentas!O$2:O$6092)</f>
        <v>14468450</v>
      </c>
      <c r="G52" s="12">
        <f>LOOKUP(402010500,[1]PlanCuentas!$A$2:$A$6092,[1]PlanCuentas!O$2:O$6092)</f>
        <v>0</v>
      </c>
      <c r="H52" s="12">
        <f>LOOKUP(402010600,[1]PlanCuentas!$A$2:$A$6092,[1]PlanCuentas!O$2:O$6092)</f>
        <v>41179670</v>
      </c>
      <c r="I52" s="12">
        <f>LOOKUP(402010700,[1]PlanCuentas!$A$2:$A$6092,[1]PlanCuentas!O$2:O$6092)</f>
        <v>5552794</v>
      </c>
      <c r="J52" s="12">
        <f>LOOKUP(402010800,[1]PlanCuentas!$A$2:$A$6092,[1]PlanCuentas!O$2:O$6092)</f>
        <v>0</v>
      </c>
      <c r="K52" s="12">
        <f>LOOKUP(402010900,[1]PlanCuentas!$A$2:$A$6092,[1]PlanCuentas!O$2:O$6092)</f>
        <v>483671</v>
      </c>
      <c r="L52" s="12">
        <f>LOOKUP(402011000,[1]PlanCuentas!$A$2:$A$6092,[1]PlanCuentas!O$2:O$6092)</f>
        <v>8130935</v>
      </c>
      <c r="M52" s="12">
        <f>LOOKUP(402011100,[1]PlanCuentas!$A$2:$A$6092,[1]PlanCuentas!O$2:O$6092)</f>
        <v>0</v>
      </c>
      <c r="N52" s="12">
        <f>LOOKUP(402011200,[1]PlanCuentas!$A$2:$A$6092,[1]PlanCuentas!O$2:O$6092)</f>
        <v>51086408</v>
      </c>
      <c r="O52" s="12">
        <f>LOOKUP(402011300,[1]PlanCuentas!$A$2:$A$6092,[1]PlanCuentas!O$2:O$6092)</f>
        <v>190994871</v>
      </c>
      <c r="P52" s="12">
        <f>LOOKUP(402012000,[1]PlanCuentas!$A$2:$A$6092,[1]PlanCuentas!O$2:O$6092)</f>
        <v>0</v>
      </c>
      <c r="Q52" s="13">
        <f t="shared" si="2"/>
        <v>495772708</v>
      </c>
    </row>
    <row r="53" spans="1:17" x14ac:dyDescent="0.2">
      <c r="A53" s="10">
        <v>14</v>
      </c>
      <c r="B53" s="11" t="str">
        <f>[1]Aseguradoras!B15</f>
        <v>Central S.A de Seguros</v>
      </c>
      <c r="C53" s="12">
        <f>LOOKUP(402010100,[1]PlanCuentas!$A$2:$A$6092,[1]PlanCuentas!P$2:P$6092)</f>
        <v>69325121</v>
      </c>
      <c r="D53" s="12">
        <f>LOOKUP(402010200,[1]PlanCuentas!$A$2:$A$6092,[1]PlanCuentas!P$2:P$6092)</f>
        <v>10151519</v>
      </c>
      <c r="E53" s="12">
        <f>LOOKUP(402010300,[1]PlanCuentas!$A$2:$A$6092,[1]PlanCuentas!P$2:P$6092)</f>
        <v>973284</v>
      </c>
      <c r="F53" s="12">
        <f>LOOKUP(402010400,[1]PlanCuentas!$A$2:$A$6092,[1]PlanCuentas!P$2:P$6092)</f>
        <v>53815827</v>
      </c>
      <c r="G53" s="12">
        <f>LOOKUP(402010500,[1]PlanCuentas!$A$2:$A$6092,[1]PlanCuentas!P$2:P$6092)</f>
        <v>0</v>
      </c>
      <c r="H53" s="12">
        <f>LOOKUP(402010600,[1]PlanCuentas!$A$2:$A$6092,[1]PlanCuentas!P$2:P$6092)</f>
        <v>64242472</v>
      </c>
      <c r="I53" s="12">
        <f>LOOKUP(402010700,[1]PlanCuentas!$A$2:$A$6092,[1]PlanCuentas!P$2:P$6092)</f>
        <v>1375890</v>
      </c>
      <c r="J53" s="12">
        <f>LOOKUP(402010800,[1]PlanCuentas!$A$2:$A$6092,[1]PlanCuentas!P$2:P$6092)</f>
        <v>0</v>
      </c>
      <c r="K53" s="12">
        <f>LOOKUP(402010900,[1]PlanCuentas!$A$2:$A$6092,[1]PlanCuentas!P$2:P$6092)</f>
        <v>0</v>
      </c>
      <c r="L53" s="12">
        <f>LOOKUP(402011000,[1]PlanCuentas!$A$2:$A$6092,[1]PlanCuentas!P$2:P$6092)</f>
        <v>27069708</v>
      </c>
      <c r="M53" s="12">
        <f>LOOKUP(402011100,[1]PlanCuentas!$A$2:$A$6092,[1]PlanCuentas!P$2:P$6092)</f>
        <v>703549</v>
      </c>
      <c r="N53" s="12">
        <f>LOOKUP(402011200,[1]PlanCuentas!$A$2:$A$6092,[1]PlanCuentas!P$2:P$6092)</f>
        <v>4836347</v>
      </c>
      <c r="O53" s="12">
        <f>LOOKUP(402011300,[1]PlanCuentas!$A$2:$A$6092,[1]PlanCuentas!P$2:P$6092)</f>
        <v>20022228</v>
      </c>
      <c r="P53" s="12">
        <f>LOOKUP(402012000,[1]PlanCuentas!$A$2:$A$6092,[1]PlanCuentas!P$2:P$6092)</f>
        <v>0</v>
      </c>
      <c r="Q53" s="13">
        <f t="shared" si="2"/>
        <v>252515945</v>
      </c>
    </row>
    <row r="54" spans="1:17" x14ac:dyDescent="0.2">
      <c r="A54" s="10">
        <v>15</v>
      </c>
      <c r="B54" s="11" t="str">
        <f>[1]Aseguradoras!B16</f>
        <v>Seguros Chaco S.A de Seguros y Reaseguros</v>
      </c>
      <c r="C54" s="12">
        <f>LOOKUP(402010100,[1]PlanCuentas!$A$2:$A$6092,[1]PlanCuentas!Q$2:Q$6092)</f>
        <v>580441578</v>
      </c>
      <c r="D54" s="12">
        <f>LOOKUP(402010200,[1]PlanCuentas!$A$2:$A$6092,[1]PlanCuentas!Q$2:Q$6092)</f>
        <v>72424169</v>
      </c>
      <c r="E54" s="12">
        <f>LOOKUP(402010300,[1]PlanCuentas!$A$2:$A$6092,[1]PlanCuentas!Q$2:Q$6092)</f>
        <v>7972235</v>
      </c>
      <c r="F54" s="12">
        <f>LOOKUP(402010400,[1]PlanCuentas!$A$2:$A$6092,[1]PlanCuentas!Q$2:Q$6092)</f>
        <v>64771955</v>
      </c>
      <c r="G54" s="12">
        <f>LOOKUP(402010500,[1]PlanCuentas!$A$2:$A$6092,[1]PlanCuentas!Q$2:Q$6092)</f>
        <v>0</v>
      </c>
      <c r="H54" s="12">
        <f>LOOKUP(402010600,[1]PlanCuentas!$A$2:$A$6092,[1]PlanCuentas!Q$2:Q$6092)</f>
        <v>55728939</v>
      </c>
      <c r="I54" s="12">
        <f>LOOKUP(402010700,[1]PlanCuentas!$A$2:$A$6092,[1]PlanCuentas!Q$2:Q$6092)</f>
        <v>3937400</v>
      </c>
      <c r="J54" s="12">
        <f>LOOKUP(402010800,[1]PlanCuentas!$A$2:$A$6092,[1]PlanCuentas!Q$2:Q$6092)</f>
        <v>0</v>
      </c>
      <c r="K54" s="12">
        <f>LOOKUP(402010900,[1]PlanCuentas!$A$2:$A$6092,[1]PlanCuentas!Q$2:Q$6092)</f>
        <v>1239452</v>
      </c>
      <c r="L54" s="12">
        <f>LOOKUP(402011000,[1]PlanCuentas!$A$2:$A$6092,[1]PlanCuentas!Q$2:Q$6092)</f>
        <v>50126769</v>
      </c>
      <c r="M54" s="12">
        <f>LOOKUP(402011100,[1]PlanCuentas!$A$2:$A$6092,[1]PlanCuentas!Q$2:Q$6092)</f>
        <v>2941276</v>
      </c>
      <c r="N54" s="12">
        <f>LOOKUP(402011200,[1]PlanCuentas!$A$2:$A$6092,[1]PlanCuentas!Q$2:Q$6092)</f>
        <v>10362374</v>
      </c>
      <c r="O54" s="12">
        <f>LOOKUP(402011300,[1]PlanCuentas!$A$2:$A$6092,[1]PlanCuentas!Q$2:Q$6092)</f>
        <v>155249381</v>
      </c>
      <c r="P54" s="12">
        <f>LOOKUP(402012000,[1]PlanCuentas!$A$2:$A$6092,[1]PlanCuentas!Q$2:Q$6092)</f>
        <v>0</v>
      </c>
      <c r="Q54" s="13">
        <f t="shared" si="2"/>
        <v>1005195528</v>
      </c>
    </row>
    <row r="55" spans="1:17" x14ac:dyDescent="0.2">
      <c r="A55" s="10">
        <v>16</v>
      </c>
      <c r="B55" s="11" t="str">
        <f>[1]Aseguradoras!B17</f>
        <v>El Sol Del Paraguay Compañía de Seguros y Reaseguros S.A.</v>
      </c>
      <c r="C55" s="12">
        <f>LOOKUP(402010100,[1]PlanCuentas!$A$2:$A$6092,[1]PlanCuentas!R$2:R$6092)</f>
        <v>194214778</v>
      </c>
      <c r="D55" s="12">
        <f>LOOKUP(402010200,[1]PlanCuentas!$A$2:$A$6092,[1]PlanCuentas!R$2:R$6092)</f>
        <v>39301025</v>
      </c>
      <c r="E55" s="12">
        <f>LOOKUP(402010300,[1]PlanCuentas!$A$2:$A$6092,[1]PlanCuentas!R$2:R$6092)</f>
        <v>2635732</v>
      </c>
      <c r="F55" s="12">
        <f>LOOKUP(402010400,[1]PlanCuentas!$A$2:$A$6092,[1]PlanCuentas!R$2:R$6092)</f>
        <v>118139885</v>
      </c>
      <c r="G55" s="12">
        <f>LOOKUP(402010500,[1]PlanCuentas!$A$2:$A$6092,[1]PlanCuentas!R$2:R$6092)</f>
        <v>0</v>
      </c>
      <c r="H55" s="12">
        <f>LOOKUP(402010600,[1]PlanCuentas!$A$2:$A$6092,[1]PlanCuentas!R$2:R$6092)</f>
        <v>60323530</v>
      </c>
      <c r="I55" s="12">
        <f>LOOKUP(402010700,[1]PlanCuentas!$A$2:$A$6092,[1]PlanCuentas!R$2:R$6092)</f>
        <v>0</v>
      </c>
      <c r="J55" s="12">
        <f>LOOKUP(402010800,[1]PlanCuentas!$A$2:$A$6092,[1]PlanCuentas!R$2:R$6092)</f>
        <v>0</v>
      </c>
      <c r="K55" s="12">
        <f>LOOKUP(402010900,[1]PlanCuentas!$A$2:$A$6092,[1]PlanCuentas!R$2:R$6092)</f>
        <v>34587776</v>
      </c>
      <c r="L55" s="12">
        <f>LOOKUP(402011000,[1]PlanCuentas!$A$2:$A$6092,[1]PlanCuentas!R$2:R$6092)</f>
        <v>37351099</v>
      </c>
      <c r="M55" s="12">
        <f>LOOKUP(402011100,[1]PlanCuentas!$A$2:$A$6092,[1]PlanCuentas!R$2:R$6092)</f>
        <v>18660527</v>
      </c>
      <c r="N55" s="12">
        <f>LOOKUP(402011200,[1]PlanCuentas!$A$2:$A$6092,[1]PlanCuentas!R$2:R$6092)</f>
        <v>10551504</v>
      </c>
      <c r="O55" s="12">
        <f>LOOKUP(402011300,[1]PlanCuentas!$A$2:$A$6092,[1]PlanCuentas!R$2:R$6092)</f>
        <v>82510938</v>
      </c>
      <c r="P55" s="12">
        <f>LOOKUP(402012000,[1]PlanCuentas!$A$2:$A$6092,[1]PlanCuentas!R$2:R$6092)</f>
        <v>5227896</v>
      </c>
      <c r="Q55" s="13">
        <f t="shared" si="2"/>
        <v>603504690</v>
      </c>
    </row>
    <row r="56" spans="1:17" x14ac:dyDescent="0.2">
      <c r="A56" s="10">
        <v>17</v>
      </c>
      <c r="B56" s="11" t="str">
        <f>[1]Aseguradoras!B18</f>
        <v>Intercontinental de Seguros y Reaseguros S.A.</v>
      </c>
      <c r="C56" s="12">
        <f>LOOKUP(402010100,[1]PlanCuentas!$A$2:$A$6092,[1]PlanCuentas!S$2:S$6092)</f>
        <v>0</v>
      </c>
      <c r="D56" s="12">
        <f>LOOKUP(402010200,[1]PlanCuentas!$A$2:$A$6092,[1]PlanCuentas!S$2:S$6092)</f>
        <v>0</v>
      </c>
      <c r="E56" s="12">
        <f>LOOKUP(402010300,[1]PlanCuentas!$A$2:$A$6092,[1]PlanCuentas!S$2:S$6092)</f>
        <v>0</v>
      </c>
      <c r="F56" s="12">
        <f>LOOKUP(402010400,[1]PlanCuentas!$A$2:$A$6092,[1]PlanCuentas!S$2:S$6092)</f>
        <v>0</v>
      </c>
      <c r="G56" s="12">
        <f>LOOKUP(402010500,[1]PlanCuentas!$A$2:$A$6092,[1]PlanCuentas!S$2:S$6092)</f>
        <v>0</v>
      </c>
      <c r="H56" s="12">
        <f>LOOKUP(402010600,[1]PlanCuentas!$A$2:$A$6092,[1]PlanCuentas!S$2:S$6092)</f>
        <v>0</v>
      </c>
      <c r="I56" s="12">
        <f>LOOKUP(402010700,[1]PlanCuentas!$A$2:$A$6092,[1]PlanCuentas!S$2:S$6092)</f>
        <v>0</v>
      </c>
      <c r="J56" s="12">
        <f>LOOKUP(402010800,[1]PlanCuentas!$A$2:$A$6092,[1]PlanCuentas!S$2:S$6092)</f>
        <v>0</v>
      </c>
      <c r="K56" s="12">
        <f>LOOKUP(402010900,[1]PlanCuentas!$A$2:$A$6092,[1]PlanCuentas!S$2:S$6092)</f>
        <v>0</v>
      </c>
      <c r="L56" s="12">
        <f>LOOKUP(402011000,[1]PlanCuentas!$A$2:$A$6092,[1]PlanCuentas!S$2:S$6092)</f>
        <v>0</v>
      </c>
      <c r="M56" s="12">
        <f>LOOKUP(402011100,[1]PlanCuentas!$A$2:$A$6092,[1]PlanCuentas!S$2:S$6092)</f>
        <v>0</v>
      </c>
      <c r="N56" s="12">
        <f>LOOKUP(402011200,[1]PlanCuentas!$A$2:$A$6092,[1]PlanCuentas!S$2:S$6092)</f>
        <v>0</v>
      </c>
      <c r="O56" s="12">
        <f>LOOKUP(402011300,[1]PlanCuentas!$A$2:$A$6092,[1]PlanCuentas!S$2:S$6092)</f>
        <v>0</v>
      </c>
      <c r="P56" s="12">
        <f>LOOKUP(402012000,[1]PlanCuentas!$A$2:$A$6092,[1]PlanCuentas!S$2:S$6092)</f>
        <v>0</v>
      </c>
      <c r="Q56" s="13">
        <f t="shared" si="2"/>
        <v>0</v>
      </c>
    </row>
    <row r="57" spans="1:17" x14ac:dyDescent="0.2">
      <c r="A57" s="10">
        <v>18</v>
      </c>
      <c r="B57" s="11" t="str">
        <f>[1]Aseguradoras!B19</f>
        <v>Seguridad S.A Compañía de Seguros</v>
      </c>
      <c r="C57" s="12">
        <f>LOOKUP(402010100,[1]PlanCuentas!$A$2:$A$6092,[1]PlanCuentas!T$2:T$6092)</f>
        <v>0</v>
      </c>
      <c r="D57" s="12">
        <f>LOOKUP(402010200,[1]PlanCuentas!$A$2:$A$6092,[1]PlanCuentas!T$2:T$6092)</f>
        <v>289714</v>
      </c>
      <c r="E57" s="12">
        <f>LOOKUP(402010300,[1]PlanCuentas!$A$2:$A$6092,[1]PlanCuentas!T$2:T$6092)</f>
        <v>0</v>
      </c>
      <c r="F57" s="12">
        <f>LOOKUP(402010400,[1]PlanCuentas!$A$2:$A$6092,[1]PlanCuentas!T$2:T$6092)</f>
        <v>0</v>
      </c>
      <c r="G57" s="12">
        <f>LOOKUP(402010500,[1]PlanCuentas!$A$2:$A$6092,[1]PlanCuentas!T$2:T$6092)</f>
        <v>0</v>
      </c>
      <c r="H57" s="12">
        <f>LOOKUP(402010600,[1]PlanCuentas!$A$2:$A$6092,[1]PlanCuentas!T$2:T$6092)</f>
        <v>0</v>
      </c>
      <c r="I57" s="12">
        <f>LOOKUP(402010700,[1]PlanCuentas!$A$2:$A$6092,[1]PlanCuentas!T$2:T$6092)</f>
        <v>0</v>
      </c>
      <c r="J57" s="12">
        <f>LOOKUP(402010800,[1]PlanCuentas!$A$2:$A$6092,[1]PlanCuentas!T$2:T$6092)</f>
        <v>0</v>
      </c>
      <c r="K57" s="12">
        <f>LOOKUP(402010900,[1]PlanCuentas!$A$2:$A$6092,[1]PlanCuentas!T$2:T$6092)</f>
        <v>0</v>
      </c>
      <c r="L57" s="12">
        <f>LOOKUP(402011000,[1]PlanCuentas!$A$2:$A$6092,[1]PlanCuentas!T$2:T$6092)</f>
        <v>0</v>
      </c>
      <c r="M57" s="12">
        <f>LOOKUP(402011100,[1]PlanCuentas!$A$2:$A$6092,[1]PlanCuentas!T$2:T$6092)</f>
        <v>0</v>
      </c>
      <c r="N57" s="12">
        <f>LOOKUP(402011200,[1]PlanCuentas!$A$2:$A$6092,[1]PlanCuentas!T$2:T$6092)</f>
        <v>0</v>
      </c>
      <c r="O57" s="12">
        <f>LOOKUP(402011300,[1]PlanCuentas!$A$2:$A$6092,[1]PlanCuentas!T$2:T$6092)</f>
        <v>6470677</v>
      </c>
      <c r="P57" s="12">
        <f>LOOKUP(402012000,[1]PlanCuentas!$A$2:$A$6092,[1]PlanCuentas!T$2:T$6092)</f>
        <v>0</v>
      </c>
      <c r="Q57" s="13">
        <f t="shared" si="2"/>
        <v>6760391</v>
      </c>
    </row>
    <row r="58" spans="1:17" x14ac:dyDescent="0.2">
      <c r="A58" s="10">
        <v>19</v>
      </c>
      <c r="B58" s="11" t="str">
        <f>[1]Aseguradoras!B20</f>
        <v>Universo de Seguros y Reaseguros S.A.</v>
      </c>
      <c r="C58" s="12">
        <f>LOOKUP(402010100,[1]PlanCuentas!$A$2:$A$6092,[1]PlanCuentas!U$2:U$6092)</f>
        <v>0</v>
      </c>
      <c r="D58" s="12">
        <f>LOOKUP(402010200,[1]PlanCuentas!$A$2:$A$6092,[1]PlanCuentas!U$2:U$6092)</f>
        <v>0</v>
      </c>
      <c r="E58" s="12">
        <f>LOOKUP(402010300,[1]PlanCuentas!$A$2:$A$6092,[1]PlanCuentas!U$2:U$6092)</f>
        <v>0</v>
      </c>
      <c r="F58" s="12">
        <f>LOOKUP(402010400,[1]PlanCuentas!$A$2:$A$6092,[1]PlanCuentas!U$2:U$6092)</f>
        <v>0</v>
      </c>
      <c r="G58" s="12">
        <f>LOOKUP(402010500,[1]PlanCuentas!$A$2:$A$6092,[1]PlanCuentas!U$2:U$6092)</f>
        <v>0</v>
      </c>
      <c r="H58" s="12">
        <f>LOOKUP(402010600,[1]PlanCuentas!$A$2:$A$6092,[1]PlanCuentas!U$2:U$6092)</f>
        <v>0</v>
      </c>
      <c r="I58" s="12">
        <f>LOOKUP(402010700,[1]PlanCuentas!$A$2:$A$6092,[1]PlanCuentas!U$2:U$6092)</f>
        <v>0</v>
      </c>
      <c r="J58" s="12">
        <f>LOOKUP(402010800,[1]PlanCuentas!$A$2:$A$6092,[1]PlanCuentas!U$2:U$6092)</f>
        <v>0</v>
      </c>
      <c r="K58" s="12">
        <f>LOOKUP(402010900,[1]PlanCuentas!$A$2:$A$6092,[1]PlanCuentas!U$2:U$6092)</f>
        <v>0</v>
      </c>
      <c r="L58" s="12">
        <f>LOOKUP(402011000,[1]PlanCuentas!$A$2:$A$6092,[1]PlanCuentas!U$2:U$6092)</f>
        <v>0</v>
      </c>
      <c r="M58" s="12">
        <f>LOOKUP(402011100,[1]PlanCuentas!$A$2:$A$6092,[1]PlanCuentas!U$2:U$6092)</f>
        <v>0</v>
      </c>
      <c r="N58" s="12">
        <f>LOOKUP(402011200,[1]PlanCuentas!$A$2:$A$6092,[1]PlanCuentas!U$2:U$6092)</f>
        <v>0</v>
      </c>
      <c r="O58" s="12">
        <f>LOOKUP(402011300,[1]PlanCuentas!$A$2:$A$6092,[1]PlanCuentas!U$2:U$6092)</f>
        <v>0</v>
      </c>
      <c r="P58" s="12">
        <f>LOOKUP(402012000,[1]PlanCuentas!$A$2:$A$6092,[1]PlanCuentas!U$2:U$6092)</f>
        <v>0</v>
      </c>
      <c r="Q58" s="13">
        <f t="shared" si="2"/>
        <v>0</v>
      </c>
    </row>
    <row r="59" spans="1:17" x14ac:dyDescent="0.2">
      <c r="A59" s="10">
        <v>20</v>
      </c>
      <c r="B59" s="11" t="str">
        <f>[1]Aseguradoras!B21</f>
        <v>Aseguradora Yacyreta S.A de Seguros y Reaseguros</v>
      </c>
      <c r="C59" s="12">
        <f>LOOKUP(402010100,[1]PlanCuentas!$A$2:$A$6092,[1]PlanCuentas!V$2:V$6092)</f>
        <v>131661237</v>
      </c>
      <c r="D59" s="12">
        <f>LOOKUP(402010200,[1]PlanCuentas!$A$2:$A$6092,[1]PlanCuentas!V$2:V$6092)</f>
        <v>12003950</v>
      </c>
      <c r="E59" s="12">
        <f>LOOKUP(402010300,[1]PlanCuentas!$A$2:$A$6092,[1]PlanCuentas!V$2:V$6092)</f>
        <v>7500962</v>
      </c>
      <c r="F59" s="12">
        <f>LOOKUP(402010400,[1]PlanCuentas!$A$2:$A$6092,[1]PlanCuentas!V$2:V$6092)</f>
        <v>22110765</v>
      </c>
      <c r="G59" s="12">
        <f>LOOKUP(402010500,[1]PlanCuentas!$A$2:$A$6092,[1]PlanCuentas!V$2:V$6092)</f>
        <v>0</v>
      </c>
      <c r="H59" s="12">
        <f>LOOKUP(402010600,[1]PlanCuentas!$A$2:$A$6092,[1]PlanCuentas!V$2:V$6092)</f>
        <v>13587535</v>
      </c>
      <c r="I59" s="12">
        <f>LOOKUP(402010700,[1]PlanCuentas!$A$2:$A$6092,[1]PlanCuentas!V$2:V$6092)</f>
        <v>480822</v>
      </c>
      <c r="J59" s="12">
        <f>LOOKUP(402010800,[1]PlanCuentas!$A$2:$A$6092,[1]PlanCuentas!V$2:V$6092)</f>
        <v>0</v>
      </c>
      <c r="K59" s="12">
        <f>LOOKUP(402010900,[1]PlanCuentas!$A$2:$A$6092,[1]PlanCuentas!V$2:V$6092)</f>
        <v>357921</v>
      </c>
      <c r="L59" s="12">
        <f>LOOKUP(402011000,[1]PlanCuentas!$A$2:$A$6092,[1]PlanCuentas!V$2:V$6092)</f>
        <v>2497636</v>
      </c>
      <c r="M59" s="12">
        <f>LOOKUP(402011100,[1]PlanCuentas!$A$2:$A$6092,[1]PlanCuentas!V$2:V$6092)</f>
        <v>6097278</v>
      </c>
      <c r="N59" s="12">
        <f>LOOKUP(402011200,[1]PlanCuentas!$A$2:$A$6092,[1]PlanCuentas!V$2:V$6092)</f>
        <v>4480808</v>
      </c>
      <c r="O59" s="12">
        <f>LOOKUP(402011300,[1]PlanCuentas!$A$2:$A$6092,[1]PlanCuentas!V$2:V$6092)</f>
        <v>0</v>
      </c>
      <c r="P59" s="12">
        <f>LOOKUP(402012000,[1]PlanCuentas!$A$2:$A$6092,[1]PlanCuentas!V$2:V$6092)</f>
        <v>0</v>
      </c>
      <c r="Q59" s="13">
        <f t="shared" si="2"/>
        <v>200778914</v>
      </c>
    </row>
    <row r="60" spans="1:17" x14ac:dyDescent="0.2">
      <c r="A60" s="10">
        <v>21</v>
      </c>
      <c r="B60" s="11" t="str">
        <f>[1]Aseguradoras!B22</f>
        <v>La Agricola S.A de Seguros y Reaseguros</v>
      </c>
      <c r="C60" s="12">
        <f>LOOKUP(402010100,[1]PlanCuentas!$A$2:$A$6092,[1]PlanCuentas!W$2:W$6092)</f>
        <v>54783496</v>
      </c>
      <c r="D60" s="12">
        <f>LOOKUP(402010200,[1]PlanCuentas!$A$2:$A$6092,[1]PlanCuentas!W$2:W$6092)</f>
        <v>2988684</v>
      </c>
      <c r="E60" s="12">
        <f>LOOKUP(402010300,[1]PlanCuentas!$A$2:$A$6092,[1]PlanCuentas!W$2:W$6092)</f>
        <v>51838</v>
      </c>
      <c r="F60" s="12">
        <f>LOOKUP(402010400,[1]PlanCuentas!$A$2:$A$6092,[1]PlanCuentas!W$2:W$6092)</f>
        <v>120000658</v>
      </c>
      <c r="G60" s="12">
        <f>LOOKUP(402010500,[1]PlanCuentas!$A$2:$A$6092,[1]PlanCuentas!W$2:W$6092)</f>
        <v>0</v>
      </c>
      <c r="H60" s="12">
        <f>LOOKUP(402010600,[1]PlanCuentas!$A$2:$A$6092,[1]PlanCuentas!W$2:W$6092)</f>
        <v>41042231</v>
      </c>
      <c r="I60" s="12">
        <f>LOOKUP(402010700,[1]PlanCuentas!$A$2:$A$6092,[1]PlanCuentas!W$2:W$6092)</f>
        <v>0</v>
      </c>
      <c r="J60" s="12">
        <f>LOOKUP(402010800,[1]PlanCuentas!$A$2:$A$6092,[1]PlanCuentas!W$2:W$6092)</f>
        <v>0</v>
      </c>
      <c r="K60" s="12">
        <f>LOOKUP(402010900,[1]PlanCuentas!$A$2:$A$6092,[1]PlanCuentas!W$2:W$6092)</f>
        <v>115387</v>
      </c>
      <c r="L60" s="12">
        <f>LOOKUP(402011000,[1]PlanCuentas!$A$2:$A$6092,[1]PlanCuentas!W$2:W$6092)</f>
        <v>3068307</v>
      </c>
      <c r="M60" s="12">
        <f>LOOKUP(402011100,[1]PlanCuentas!$A$2:$A$6092,[1]PlanCuentas!W$2:W$6092)</f>
        <v>0</v>
      </c>
      <c r="N60" s="12">
        <f>LOOKUP(402011200,[1]PlanCuentas!$A$2:$A$6092,[1]PlanCuentas!W$2:W$6092)</f>
        <v>534308</v>
      </c>
      <c r="O60" s="12">
        <f>LOOKUP(402011300,[1]PlanCuentas!$A$2:$A$6092,[1]PlanCuentas!W$2:W$6092)</f>
        <v>2553189</v>
      </c>
      <c r="P60" s="12">
        <f>LOOKUP(402012000,[1]PlanCuentas!$A$2:$A$6092,[1]PlanCuentas!W$2:W$6092)</f>
        <v>0</v>
      </c>
      <c r="Q60" s="13">
        <f t="shared" si="2"/>
        <v>225138098</v>
      </c>
    </row>
    <row r="61" spans="1:17" x14ac:dyDescent="0.2">
      <c r="A61" s="10">
        <v>22</v>
      </c>
      <c r="B61" s="11" t="str">
        <f>[1]Aseguradoras!B23</f>
        <v>Grupo General de Seguros y Reaseguros S.A.</v>
      </c>
      <c r="C61" s="12">
        <f>LOOKUP(402010100,[1]PlanCuentas!$A$2:$A$6092,[1]PlanCuentas!X$2:X$6092)</f>
        <v>217132101</v>
      </c>
      <c r="D61" s="12">
        <f>LOOKUP(402010200,[1]PlanCuentas!$A$2:$A$6092,[1]PlanCuentas!X$2:X$6092)</f>
        <v>42322448</v>
      </c>
      <c r="E61" s="12">
        <f>LOOKUP(402010300,[1]PlanCuentas!$A$2:$A$6092,[1]PlanCuentas!X$2:X$6092)</f>
        <v>222052</v>
      </c>
      <c r="F61" s="12">
        <f>LOOKUP(402010400,[1]PlanCuentas!$A$2:$A$6092,[1]PlanCuentas!X$2:X$6092)</f>
        <v>365546423</v>
      </c>
      <c r="G61" s="12">
        <f>LOOKUP(402010500,[1]PlanCuentas!$A$2:$A$6092,[1]PlanCuentas!X$2:X$6092)</f>
        <v>0</v>
      </c>
      <c r="H61" s="12">
        <f>LOOKUP(402010600,[1]PlanCuentas!$A$2:$A$6092,[1]PlanCuentas!X$2:X$6092)</f>
        <v>60415067</v>
      </c>
      <c r="I61" s="12">
        <f>LOOKUP(402010700,[1]PlanCuentas!$A$2:$A$6092,[1]PlanCuentas!X$2:X$6092)</f>
        <v>5321505</v>
      </c>
      <c r="J61" s="12">
        <f>LOOKUP(402010800,[1]PlanCuentas!$A$2:$A$6092,[1]PlanCuentas!X$2:X$6092)</f>
        <v>0</v>
      </c>
      <c r="K61" s="12">
        <f>LOOKUP(402010900,[1]PlanCuentas!$A$2:$A$6092,[1]PlanCuentas!X$2:X$6092)</f>
        <v>0</v>
      </c>
      <c r="L61" s="12">
        <f>LOOKUP(402011000,[1]PlanCuentas!$A$2:$A$6092,[1]PlanCuentas!X$2:X$6092)</f>
        <v>4743813</v>
      </c>
      <c r="M61" s="12">
        <f>LOOKUP(402011100,[1]PlanCuentas!$A$2:$A$6092,[1]PlanCuentas!X$2:X$6092)</f>
        <v>29375157</v>
      </c>
      <c r="N61" s="12">
        <f>LOOKUP(402011200,[1]PlanCuentas!$A$2:$A$6092,[1]PlanCuentas!X$2:X$6092)</f>
        <v>69533158</v>
      </c>
      <c r="O61" s="12">
        <f>LOOKUP(402011300,[1]PlanCuentas!$A$2:$A$6092,[1]PlanCuentas!X$2:X$6092)</f>
        <v>122697243</v>
      </c>
      <c r="P61" s="12">
        <f>LOOKUP(402012000,[1]PlanCuentas!$A$2:$A$6092,[1]PlanCuentas!X$2:X$6092)</f>
        <v>751878</v>
      </c>
      <c r="Q61" s="13">
        <f t="shared" si="2"/>
        <v>918060845</v>
      </c>
    </row>
    <row r="62" spans="1:17" x14ac:dyDescent="0.2">
      <c r="A62" s="10">
        <v>23</v>
      </c>
      <c r="B62" s="11" t="str">
        <f>[1]Aseguradoras!B24</f>
        <v>Alfa S.A de Seguros y Reaseguros</v>
      </c>
      <c r="C62" s="12">
        <f>LOOKUP(402010100,[1]PlanCuentas!$A$2:$A$6092,[1]PlanCuentas!Y$2:Y$6092)</f>
        <v>0</v>
      </c>
      <c r="D62" s="12">
        <f>LOOKUP(402010200,[1]PlanCuentas!$A$2:$A$6092,[1]PlanCuentas!Y$2:Y$6092)</f>
        <v>0</v>
      </c>
      <c r="E62" s="12">
        <f>LOOKUP(402010300,[1]PlanCuentas!$A$2:$A$6092,[1]PlanCuentas!Y$2:Y$6092)</f>
        <v>0</v>
      </c>
      <c r="F62" s="12">
        <f>LOOKUP(402010400,[1]PlanCuentas!$A$2:$A$6092,[1]PlanCuentas!Y$2:Y$6092)</f>
        <v>0</v>
      </c>
      <c r="G62" s="12">
        <f>LOOKUP(402010500,[1]PlanCuentas!$A$2:$A$6092,[1]PlanCuentas!Y$2:Y$6092)</f>
        <v>0</v>
      </c>
      <c r="H62" s="12">
        <f>LOOKUP(402010600,[1]PlanCuentas!$A$2:$A$6092,[1]PlanCuentas!Y$2:Y$6092)</f>
        <v>0</v>
      </c>
      <c r="I62" s="12">
        <f>LOOKUP(402010700,[1]PlanCuentas!$A$2:$A$6092,[1]PlanCuentas!Y$2:Y$6092)</f>
        <v>0</v>
      </c>
      <c r="J62" s="12">
        <f>LOOKUP(402010800,[1]PlanCuentas!$A$2:$A$6092,[1]PlanCuentas!Y$2:Y$6092)</f>
        <v>0</v>
      </c>
      <c r="K62" s="12">
        <f>LOOKUP(402010900,[1]PlanCuentas!$A$2:$A$6092,[1]PlanCuentas!Y$2:Y$6092)</f>
        <v>0</v>
      </c>
      <c r="L62" s="12">
        <f>LOOKUP(402011000,[1]PlanCuentas!$A$2:$A$6092,[1]PlanCuentas!Y$2:Y$6092)</f>
        <v>0</v>
      </c>
      <c r="M62" s="12">
        <f>LOOKUP(402011100,[1]PlanCuentas!$A$2:$A$6092,[1]PlanCuentas!Y$2:Y$6092)</f>
        <v>0</v>
      </c>
      <c r="N62" s="12">
        <f>LOOKUP(402011200,[1]PlanCuentas!$A$2:$A$6092,[1]PlanCuentas!Y$2:Y$6092)</f>
        <v>0</v>
      </c>
      <c r="O62" s="12">
        <f>LOOKUP(402011300,[1]PlanCuentas!$A$2:$A$6092,[1]PlanCuentas!Y$2:Y$6092)</f>
        <v>0</v>
      </c>
      <c r="P62" s="12">
        <f>LOOKUP(402012000,[1]PlanCuentas!$A$2:$A$6092,[1]PlanCuentas!Y$2:Y$6092)</f>
        <v>0</v>
      </c>
      <c r="Q62" s="13">
        <f t="shared" si="2"/>
        <v>0</v>
      </c>
    </row>
    <row r="63" spans="1:17" x14ac:dyDescent="0.2">
      <c r="A63" s="10">
        <v>24</v>
      </c>
      <c r="B63" s="11" t="str">
        <f>[1]Aseguradoras!B25</f>
        <v>Cenit de Seguros S.A.</v>
      </c>
      <c r="C63" s="12">
        <f>LOOKUP(402010100,[1]PlanCuentas!$A$2:$A$6092,[1]PlanCuentas!Z$2:Z$6092)</f>
        <v>6201428</v>
      </c>
      <c r="D63" s="12">
        <f>LOOKUP(402010200,[1]PlanCuentas!$A$2:$A$6092,[1]PlanCuentas!Z$2:Z$6092)</f>
        <v>1751561</v>
      </c>
      <c r="E63" s="12">
        <f>LOOKUP(402010300,[1]PlanCuentas!$A$2:$A$6092,[1]PlanCuentas!Z$2:Z$6092)</f>
        <v>0</v>
      </c>
      <c r="F63" s="12">
        <f>LOOKUP(402010400,[1]PlanCuentas!$A$2:$A$6092,[1]PlanCuentas!Z$2:Z$6092)</f>
        <v>0</v>
      </c>
      <c r="G63" s="12">
        <f>LOOKUP(402010500,[1]PlanCuentas!$A$2:$A$6092,[1]PlanCuentas!Z$2:Z$6092)</f>
        <v>0</v>
      </c>
      <c r="H63" s="12">
        <f>LOOKUP(402010600,[1]PlanCuentas!$A$2:$A$6092,[1]PlanCuentas!Z$2:Z$6092)</f>
        <v>0</v>
      </c>
      <c r="I63" s="12">
        <f>LOOKUP(402010700,[1]PlanCuentas!$A$2:$A$6092,[1]PlanCuentas!Z$2:Z$6092)</f>
        <v>0</v>
      </c>
      <c r="J63" s="12">
        <f>LOOKUP(402010800,[1]PlanCuentas!$A$2:$A$6092,[1]PlanCuentas!Z$2:Z$6092)</f>
        <v>0</v>
      </c>
      <c r="K63" s="12">
        <f>LOOKUP(402010900,[1]PlanCuentas!$A$2:$A$6092,[1]PlanCuentas!Z$2:Z$6092)</f>
        <v>0</v>
      </c>
      <c r="L63" s="12">
        <f>LOOKUP(402011000,[1]PlanCuentas!$A$2:$A$6092,[1]PlanCuentas!Z$2:Z$6092)</f>
        <v>0</v>
      </c>
      <c r="M63" s="12">
        <f>LOOKUP(402011100,[1]PlanCuentas!$A$2:$A$6092,[1]PlanCuentas!Z$2:Z$6092)</f>
        <v>0</v>
      </c>
      <c r="N63" s="12">
        <f>LOOKUP(402011200,[1]PlanCuentas!$A$2:$A$6092,[1]PlanCuentas!Z$2:Z$6092)</f>
        <v>708524</v>
      </c>
      <c r="O63" s="12">
        <f>LOOKUP(402011300,[1]PlanCuentas!$A$2:$A$6092,[1]PlanCuentas!Z$2:Z$6092)</f>
        <v>12329</v>
      </c>
      <c r="P63" s="12">
        <f>LOOKUP(402012000,[1]PlanCuentas!$A$2:$A$6092,[1]PlanCuentas!Z$2:Z$6092)</f>
        <v>0</v>
      </c>
      <c r="Q63" s="13">
        <f t="shared" si="2"/>
        <v>8673842</v>
      </c>
    </row>
    <row r="64" spans="1:17" x14ac:dyDescent="0.2">
      <c r="A64" s="10">
        <v>25</v>
      </c>
      <c r="B64" s="11" t="str">
        <f>[1]Aseguradoras!B26</f>
        <v>La Meridional Paraguaya S.A de Seguros</v>
      </c>
      <c r="C64" s="12">
        <f>LOOKUP(402010100,[1]PlanCuentas!$A$2:$A$6092,[1]PlanCuentas!AA$2:AA$6092)</f>
        <v>792182</v>
      </c>
      <c r="D64" s="12">
        <f>LOOKUP(402010200,[1]PlanCuentas!$A$2:$A$6092,[1]PlanCuentas!AA$2:AA$6092)</f>
        <v>2413349</v>
      </c>
      <c r="E64" s="12">
        <f>LOOKUP(402010300,[1]PlanCuentas!$A$2:$A$6092,[1]PlanCuentas!AA$2:AA$6092)</f>
        <v>2444</v>
      </c>
      <c r="F64" s="12">
        <f>LOOKUP(402010400,[1]PlanCuentas!$A$2:$A$6092,[1]PlanCuentas!AA$2:AA$6092)</f>
        <v>3623768</v>
      </c>
      <c r="G64" s="12">
        <f>LOOKUP(402010500,[1]PlanCuentas!$A$2:$A$6092,[1]PlanCuentas!AA$2:AA$6092)</f>
        <v>0</v>
      </c>
      <c r="H64" s="12">
        <f>LOOKUP(402010600,[1]PlanCuentas!$A$2:$A$6092,[1]PlanCuentas!AA$2:AA$6092)</f>
        <v>0</v>
      </c>
      <c r="I64" s="12">
        <f>LOOKUP(402010700,[1]PlanCuentas!$A$2:$A$6092,[1]PlanCuentas!AA$2:AA$6092)</f>
        <v>0</v>
      </c>
      <c r="J64" s="12">
        <f>LOOKUP(402010800,[1]PlanCuentas!$A$2:$A$6092,[1]PlanCuentas!AA$2:AA$6092)</f>
        <v>0</v>
      </c>
      <c r="K64" s="12">
        <f>LOOKUP(402010900,[1]PlanCuentas!$A$2:$A$6092,[1]PlanCuentas!AA$2:AA$6092)</f>
        <v>0</v>
      </c>
      <c r="L64" s="12">
        <f>LOOKUP(402011000,[1]PlanCuentas!$A$2:$A$6092,[1]PlanCuentas!AA$2:AA$6092)</f>
        <v>221415</v>
      </c>
      <c r="M64" s="12">
        <f>LOOKUP(402011100,[1]PlanCuentas!$A$2:$A$6092,[1]PlanCuentas!AA$2:AA$6092)</f>
        <v>0</v>
      </c>
      <c r="N64" s="12">
        <f>LOOKUP(402011200,[1]PlanCuentas!$A$2:$A$6092,[1]PlanCuentas!AA$2:AA$6092)</f>
        <v>0</v>
      </c>
      <c r="O64" s="12">
        <f>LOOKUP(402011300,[1]PlanCuentas!$A$2:$A$6092,[1]PlanCuentas!AA$2:AA$6092)</f>
        <v>8105102</v>
      </c>
      <c r="P64" s="12">
        <f>LOOKUP(402012000,[1]PlanCuentas!$A$2:$A$6092,[1]PlanCuentas!AA$2:AA$6092)</f>
        <v>0</v>
      </c>
      <c r="Q64" s="13">
        <f t="shared" si="2"/>
        <v>15158260</v>
      </c>
    </row>
    <row r="65" spans="1:31" x14ac:dyDescent="0.2">
      <c r="A65" s="10">
        <v>26</v>
      </c>
      <c r="B65" s="11" t="str">
        <f>[1]Aseguradoras!B27</f>
        <v>Aseguradora Del Este S.A de Seguros y Reaseguros</v>
      </c>
      <c r="C65" s="12">
        <f>LOOKUP(402010100,[1]PlanCuentas!$A$2:$A$6092,[1]PlanCuentas!AB$2:AB$6092)</f>
        <v>289359361</v>
      </c>
      <c r="D65" s="12">
        <f>LOOKUP(402010200,[1]PlanCuentas!$A$2:$A$6092,[1]PlanCuentas!AB$2:AB$6092)</f>
        <v>28661078</v>
      </c>
      <c r="E65" s="12">
        <f>LOOKUP(402010300,[1]PlanCuentas!$A$2:$A$6092,[1]PlanCuentas!AB$2:AB$6092)</f>
        <v>46247974</v>
      </c>
      <c r="F65" s="12">
        <f>LOOKUP(402010400,[1]PlanCuentas!$A$2:$A$6092,[1]PlanCuentas!AB$2:AB$6092)</f>
        <v>797361338</v>
      </c>
      <c r="G65" s="12">
        <f>LOOKUP(402010500,[1]PlanCuentas!$A$2:$A$6092,[1]PlanCuentas!AB$2:AB$6092)</f>
        <v>0</v>
      </c>
      <c r="H65" s="12">
        <f>LOOKUP(402010600,[1]PlanCuentas!$A$2:$A$6092,[1]PlanCuentas!AB$2:AB$6092)</f>
        <v>104927225</v>
      </c>
      <c r="I65" s="12">
        <f>LOOKUP(402010700,[1]PlanCuentas!$A$2:$A$6092,[1]PlanCuentas!AB$2:AB$6092)</f>
        <v>7883501</v>
      </c>
      <c r="J65" s="12">
        <f>LOOKUP(402010800,[1]PlanCuentas!$A$2:$A$6092,[1]PlanCuentas!AB$2:AB$6092)</f>
        <v>0</v>
      </c>
      <c r="K65" s="12">
        <f>LOOKUP(402010900,[1]PlanCuentas!$A$2:$A$6092,[1]PlanCuentas!AB$2:AB$6092)</f>
        <v>39117635</v>
      </c>
      <c r="L65" s="12">
        <f>LOOKUP(402011000,[1]PlanCuentas!$A$2:$A$6092,[1]PlanCuentas!AB$2:AB$6092)</f>
        <v>20387832</v>
      </c>
      <c r="M65" s="12">
        <f>LOOKUP(402011100,[1]PlanCuentas!$A$2:$A$6092,[1]PlanCuentas!AB$2:AB$6092)</f>
        <v>35567310</v>
      </c>
      <c r="N65" s="12">
        <f>LOOKUP(402011200,[1]PlanCuentas!$A$2:$A$6092,[1]PlanCuentas!AB$2:AB$6092)</f>
        <v>160368231</v>
      </c>
      <c r="O65" s="12">
        <f>LOOKUP(402011300,[1]PlanCuentas!$A$2:$A$6092,[1]PlanCuentas!AB$2:AB$6092)</f>
        <v>31460649</v>
      </c>
      <c r="P65" s="12">
        <f>LOOKUP(402012000,[1]PlanCuentas!$A$2:$A$6092,[1]PlanCuentas!AB$2:AB$6092)</f>
        <v>204883062</v>
      </c>
      <c r="Q65" s="13">
        <f t="shared" si="2"/>
        <v>1766225196</v>
      </c>
    </row>
    <row r="66" spans="1:31" x14ac:dyDescent="0.2">
      <c r="A66" s="10">
        <v>27</v>
      </c>
      <c r="B66" s="11" t="str">
        <f>[1]Aseguradoras!B28</f>
        <v>Imperio S.A de Seguros y Reaseguros</v>
      </c>
      <c r="C66" s="12">
        <f>LOOKUP(402010100,[1]PlanCuentas!$A$2:$A$6092,[1]PlanCuentas!AC$2:AC$6092)</f>
        <v>0</v>
      </c>
      <c r="D66" s="12">
        <f>LOOKUP(402010200,[1]PlanCuentas!$A$2:$A$6092,[1]PlanCuentas!AC$2:AC$6092)</f>
        <v>0</v>
      </c>
      <c r="E66" s="12">
        <f>LOOKUP(402010300,[1]PlanCuentas!$A$2:$A$6092,[1]PlanCuentas!AC$2:AC$6092)</f>
        <v>0</v>
      </c>
      <c r="F66" s="12">
        <f>LOOKUP(402010400,[1]PlanCuentas!$A$2:$A$6092,[1]PlanCuentas!AC$2:AC$6092)</f>
        <v>0</v>
      </c>
      <c r="G66" s="12">
        <f>LOOKUP(402010500,[1]PlanCuentas!$A$2:$A$6092,[1]PlanCuentas!AC$2:AC$6092)</f>
        <v>0</v>
      </c>
      <c r="H66" s="12">
        <f>LOOKUP(402010600,[1]PlanCuentas!$A$2:$A$6092,[1]PlanCuentas!AC$2:AC$6092)</f>
        <v>0</v>
      </c>
      <c r="I66" s="12">
        <f>LOOKUP(402010700,[1]PlanCuentas!$A$2:$A$6092,[1]PlanCuentas!AC$2:AC$6092)</f>
        <v>0</v>
      </c>
      <c r="J66" s="12">
        <f>LOOKUP(402010800,[1]PlanCuentas!$A$2:$A$6092,[1]PlanCuentas!AC$2:AC$6092)</f>
        <v>0</v>
      </c>
      <c r="K66" s="12">
        <f>LOOKUP(402010900,[1]PlanCuentas!$A$2:$A$6092,[1]PlanCuentas!AC$2:AC$6092)</f>
        <v>0</v>
      </c>
      <c r="L66" s="12">
        <f>LOOKUP(402011000,[1]PlanCuentas!$A$2:$A$6092,[1]PlanCuentas!AC$2:AC$6092)</f>
        <v>0</v>
      </c>
      <c r="M66" s="12">
        <f>LOOKUP(402011100,[1]PlanCuentas!$A$2:$A$6092,[1]PlanCuentas!AC$2:AC$6092)</f>
        <v>0</v>
      </c>
      <c r="N66" s="12">
        <f>LOOKUP(402011200,[1]PlanCuentas!$A$2:$A$6092,[1]PlanCuentas!AC$2:AC$6092)</f>
        <v>0</v>
      </c>
      <c r="O66" s="12">
        <f>LOOKUP(402011300,[1]PlanCuentas!$A$2:$A$6092,[1]PlanCuentas!AC$2:AC$6092)</f>
        <v>0</v>
      </c>
      <c r="P66" s="12">
        <f>LOOKUP(402012000,[1]PlanCuentas!$A$2:$A$6092,[1]PlanCuentas!AC$2:AC$6092)</f>
        <v>0</v>
      </c>
      <c r="Q66" s="13">
        <f t="shared" si="2"/>
        <v>0</v>
      </c>
    </row>
    <row r="67" spans="1:31" x14ac:dyDescent="0.2">
      <c r="A67" s="10">
        <v>28</v>
      </c>
      <c r="B67" s="11" t="str">
        <f>[1]Aseguradoras!B29</f>
        <v>Regional S.A de Seguros y Reaseguros</v>
      </c>
      <c r="C67" s="12">
        <f>LOOKUP(402010100,[1]PlanCuentas!$A$2:$A$6092,[1]PlanCuentas!AD$2:AD$6092)</f>
        <v>75105512</v>
      </c>
      <c r="D67" s="12">
        <f>LOOKUP(402010200,[1]PlanCuentas!$A$2:$A$6092,[1]PlanCuentas!AD$2:AD$6092)</f>
        <v>43793816</v>
      </c>
      <c r="E67" s="12">
        <f>LOOKUP(402010300,[1]PlanCuentas!$A$2:$A$6092,[1]PlanCuentas!AD$2:AD$6092)</f>
        <v>2362184</v>
      </c>
      <c r="F67" s="12">
        <f>LOOKUP(402010400,[1]PlanCuentas!$A$2:$A$6092,[1]PlanCuentas!AD$2:AD$6092)</f>
        <v>10919198</v>
      </c>
      <c r="G67" s="12">
        <f>LOOKUP(402010500,[1]PlanCuentas!$A$2:$A$6092,[1]PlanCuentas!AD$2:AD$6092)</f>
        <v>0</v>
      </c>
      <c r="H67" s="12">
        <f>LOOKUP(402010600,[1]PlanCuentas!$A$2:$A$6092,[1]PlanCuentas!AD$2:AD$6092)</f>
        <v>36910560</v>
      </c>
      <c r="I67" s="12">
        <f>LOOKUP(402010700,[1]PlanCuentas!$A$2:$A$6092,[1]PlanCuentas!AD$2:AD$6092)</f>
        <v>1150142</v>
      </c>
      <c r="J67" s="12">
        <f>LOOKUP(402010800,[1]PlanCuentas!$A$2:$A$6092,[1]PlanCuentas!AD$2:AD$6092)</f>
        <v>0</v>
      </c>
      <c r="K67" s="12">
        <f>LOOKUP(402010900,[1]PlanCuentas!$A$2:$A$6092,[1]PlanCuentas!AD$2:AD$6092)</f>
        <v>2685260</v>
      </c>
      <c r="L67" s="12">
        <f>LOOKUP(402011000,[1]PlanCuentas!$A$2:$A$6092,[1]PlanCuentas!AD$2:AD$6092)</f>
        <v>14706697</v>
      </c>
      <c r="M67" s="12">
        <f>LOOKUP(402011100,[1]PlanCuentas!$A$2:$A$6092,[1]PlanCuentas!AD$2:AD$6092)</f>
        <v>0</v>
      </c>
      <c r="N67" s="12">
        <f>LOOKUP(402011200,[1]PlanCuentas!$A$2:$A$6092,[1]PlanCuentas!AD$2:AD$6092)</f>
        <v>9099213</v>
      </c>
      <c r="O67" s="12">
        <f>LOOKUP(402011300,[1]PlanCuentas!$A$2:$A$6092,[1]PlanCuentas!AD$2:AD$6092)</f>
        <v>48229635</v>
      </c>
      <c r="P67" s="12">
        <f>LOOKUP(402012000,[1]PlanCuentas!$A$2:$A$6092,[1]PlanCuentas!AD$2:AD$6092)</f>
        <v>0</v>
      </c>
      <c r="Q67" s="13">
        <f t="shared" si="2"/>
        <v>244962217</v>
      </c>
    </row>
    <row r="68" spans="1:31" x14ac:dyDescent="0.2">
      <c r="A68" s="10">
        <v>29</v>
      </c>
      <c r="B68" s="11" t="str">
        <f>[1]Aseguradoras!B30</f>
        <v>Mapfre Paraguay Compañía de Seguros S.A.</v>
      </c>
      <c r="C68" s="12">
        <f>LOOKUP(402010100,[1]PlanCuentas!$A$2:$A$6092,[1]PlanCuentas!AE$2:AE$6092)</f>
        <v>0</v>
      </c>
      <c r="D68" s="12">
        <f>LOOKUP(402010200,[1]PlanCuentas!$A$2:$A$6092,[1]PlanCuentas!AE$2:AE$6092)</f>
        <v>0</v>
      </c>
      <c r="E68" s="12">
        <f>LOOKUP(402010300,[1]PlanCuentas!$A$2:$A$6092,[1]PlanCuentas!AE$2:AE$6092)</f>
        <v>0</v>
      </c>
      <c r="F68" s="12">
        <f>LOOKUP(402010400,[1]PlanCuentas!$A$2:$A$6092,[1]PlanCuentas!AE$2:AE$6092)</f>
        <v>0</v>
      </c>
      <c r="G68" s="12">
        <f>LOOKUP(402010500,[1]PlanCuentas!$A$2:$A$6092,[1]PlanCuentas!AE$2:AE$6092)</f>
        <v>0</v>
      </c>
      <c r="H68" s="12">
        <f>LOOKUP(402010600,[1]PlanCuentas!$A$2:$A$6092,[1]PlanCuentas!AE$2:AE$6092)</f>
        <v>0</v>
      </c>
      <c r="I68" s="12">
        <f>LOOKUP(402010700,[1]PlanCuentas!$A$2:$A$6092,[1]PlanCuentas!AE$2:AE$6092)</f>
        <v>0</v>
      </c>
      <c r="J68" s="12">
        <f>LOOKUP(402010800,[1]PlanCuentas!$A$2:$A$6092,[1]PlanCuentas!AE$2:AE$6092)</f>
        <v>0</v>
      </c>
      <c r="K68" s="12">
        <f>LOOKUP(402010900,[1]PlanCuentas!$A$2:$A$6092,[1]PlanCuentas!AE$2:AE$6092)</f>
        <v>0</v>
      </c>
      <c r="L68" s="12">
        <f>LOOKUP(402011000,[1]PlanCuentas!$A$2:$A$6092,[1]PlanCuentas!AE$2:AE$6092)</f>
        <v>0</v>
      </c>
      <c r="M68" s="12">
        <f>LOOKUP(402011100,[1]PlanCuentas!$A$2:$A$6092,[1]PlanCuentas!AE$2:AE$6092)</f>
        <v>0</v>
      </c>
      <c r="N68" s="12">
        <f>LOOKUP(402011200,[1]PlanCuentas!$A$2:$A$6092,[1]PlanCuentas!AE$2:AE$6092)</f>
        <v>0</v>
      </c>
      <c r="O68" s="12">
        <f>LOOKUP(402011300,[1]PlanCuentas!$A$2:$A$6092,[1]PlanCuentas!AE$2:AE$6092)</f>
        <v>0</v>
      </c>
      <c r="P68" s="12">
        <f>LOOKUP(402012000,[1]PlanCuentas!$A$2:$A$6092,[1]PlanCuentas!AE$2:AE$6092)</f>
        <v>0</v>
      </c>
      <c r="Q68" s="13">
        <f t="shared" si="2"/>
        <v>0</v>
      </c>
    </row>
    <row r="69" spans="1:31" x14ac:dyDescent="0.2">
      <c r="A69" s="10">
        <v>30</v>
      </c>
      <c r="B69" s="11" t="str">
        <f>[1]Aseguradoras!B31</f>
        <v>Aseguradora Tajy Propiedad Cooperativa S.A. de Seguros</v>
      </c>
      <c r="C69" s="12">
        <f>LOOKUP(402010100,[1]PlanCuentas!$A$2:$A$6092,[1]PlanCuentas!AF$2:AF$6092)</f>
        <v>12723894</v>
      </c>
      <c r="D69" s="12">
        <f>LOOKUP(402010200,[1]PlanCuentas!$A$2:$A$6092,[1]PlanCuentas!AF$2:AF$6092)</f>
        <v>0</v>
      </c>
      <c r="E69" s="12">
        <f>LOOKUP(402010300,[1]PlanCuentas!$A$2:$A$6092,[1]PlanCuentas!AF$2:AF$6092)</f>
        <v>0</v>
      </c>
      <c r="F69" s="12">
        <f>LOOKUP(402010400,[1]PlanCuentas!$A$2:$A$6092,[1]PlanCuentas!AF$2:AF$6092)</f>
        <v>0</v>
      </c>
      <c r="G69" s="12">
        <f>LOOKUP(402010500,[1]PlanCuentas!$A$2:$A$6092,[1]PlanCuentas!AF$2:AF$6092)</f>
        <v>0</v>
      </c>
      <c r="H69" s="12">
        <f>LOOKUP(402010600,[1]PlanCuentas!$A$2:$A$6092,[1]PlanCuentas!AF$2:AF$6092)</f>
        <v>0</v>
      </c>
      <c r="I69" s="12">
        <f>LOOKUP(402010700,[1]PlanCuentas!$A$2:$A$6092,[1]PlanCuentas!AF$2:AF$6092)</f>
        <v>0</v>
      </c>
      <c r="J69" s="12">
        <f>LOOKUP(402010800,[1]PlanCuentas!$A$2:$A$6092,[1]PlanCuentas!AF$2:AF$6092)</f>
        <v>0</v>
      </c>
      <c r="K69" s="12">
        <f>LOOKUP(402010900,[1]PlanCuentas!$A$2:$A$6092,[1]PlanCuentas!AF$2:AF$6092)</f>
        <v>0</v>
      </c>
      <c r="L69" s="12">
        <f>LOOKUP(402011000,[1]PlanCuentas!$A$2:$A$6092,[1]PlanCuentas!AF$2:AF$6092)</f>
        <v>0</v>
      </c>
      <c r="M69" s="12">
        <f>LOOKUP(402011100,[1]PlanCuentas!$A$2:$A$6092,[1]PlanCuentas!AF$2:AF$6092)</f>
        <v>0</v>
      </c>
      <c r="N69" s="12">
        <f>LOOKUP(402011200,[1]PlanCuentas!$A$2:$A$6092,[1]PlanCuentas!AF$2:AF$6092)</f>
        <v>0</v>
      </c>
      <c r="O69" s="12">
        <f>LOOKUP(402011300,[1]PlanCuentas!$A$2:$A$6092,[1]PlanCuentas!AF$2:AF$6092)</f>
        <v>0</v>
      </c>
      <c r="P69" s="12">
        <f>LOOKUP(402012000,[1]PlanCuentas!$A$2:$A$6092,[1]PlanCuentas!AF$2:AF$6092)</f>
        <v>0</v>
      </c>
      <c r="Q69" s="13">
        <f t="shared" si="2"/>
        <v>12723894</v>
      </c>
    </row>
    <row r="70" spans="1:31" x14ac:dyDescent="0.2">
      <c r="A70" s="10">
        <v>31</v>
      </c>
      <c r="B70" s="11" t="str">
        <f>[1]Aseguradoras!B32</f>
        <v>Aseguradora del Sur S.A. Seguros Generales - ASUR</v>
      </c>
      <c r="C70" s="12">
        <f>LOOKUP(402010100,[1]PlanCuentas!$A$2:$A$6092,[1]PlanCuentas!AG$2:AG$6092)</f>
        <v>7617340</v>
      </c>
      <c r="D70" s="12">
        <f>LOOKUP(402010200,[1]PlanCuentas!$A$2:$A$6092,[1]PlanCuentas!AG$2:AG$6092)</f>
        <v>3394707</v>
      </c>
      <c r="E70" s="12">
        <f>LOOKUP(402010300,[1]PlanCuentas!$A$2:$A$6092,[1]PlanCuentas!AG$2:AG$6092)</f>
        <v>0</v>
      </c>
      <c r="F70" s="12">
        <f>LOOKUP(402010400,[1]PlanCuentas!$A$2:$A$6092,[1]PlanCuentas!AG$2:AG$6092)</f>
        <v>0</v>
      </c>
      <c r="G70" s="12">
        <f>LOOKUP(402010500,[1]PlanCuentas!$A$2:$A$6092,[1]PlanCuentas!AG$2:AG$6092)</f>
        <v>0</v>
      </c>
      <c r="H70" s="12">
        <f>LOOKUP(402010600,[1]PlanCuentas!$A$2:$A$6092,[1]PlanCuentas!AG$2:AG$6092)</f>
        <v>2111691</v>
      </c>
      <c r="I70" s="12">
        <f>LOOKUP(402010700,[1]PlanCuentas!$A$2:$A$6092,[1]PlanCuentas!AG$2:AG$6092)</f>
        <v>0</v>
      </c>
      <c r="J70" s="12">
        <f>LOOKUP(402010800,[1]PlanCuentas!$A$2:$A$6092,[1]PlanCuentas!AG$2:AG$6092)</f>
        <v>0</v>
      </c>
      <c r="K70" s="12">
        <f>LOOKUP(402010900,[1]PlanCuentas!$A$2:$A$6092,[1]PlanCuentas!AG$2:AG$6092)</f>
        <v>0</v>
      </c>
      <c r="L70" s="12">
        <f>LOOKUP(402011000,[1]PlanCuentas!$A$2:$A$6092,[1]PlanCuentas!AG$2:AG$6092)</f>
        <v>9669147</v>
      </c>
      <c r="M70" s="12">
        <f>LOOKUP(402011100,[1]PlanCuentas!$A$2:$A$6092,[1]PlanCuentas!AG$2:AG$6092)</f>
        <v>0</v>
      </c>
      <c r="N70" s="12">
        <f>LOOKUP(402011200,[1]PlanCuentas!$A$2:$A$6092,[1]PlanCuentas!AG$2:AG$6092)</f>
        <v>0</v>
      </c>
      <c r="O70" s="12">
        <f>LOOKUP(402011300,[1]PlanCuentas!$A$2:$A$6092,[1]PlanCuentas!AG$2:AG$6092)</f>
        <v>36561131</v>
      </c>
      <c r="P70" s="12">
        <f>LOOKUP(402012000,[1]PlanCuentas!$A$2:$A$6092,[1]PlanCuentas!AG$2:AG$6092)</f>
        <v>0</v>
      </c>
      <c r="Q70" s="13">
        <f t="shared" si="2"/>
        <v>59354016</v>
      </c>
    </row>
    <row r="71" spans="1:31" x14ac:dyDescent="0.2">
      <c r="A71" s="10">
        <v>32</v>
      </c>
      <c r="B71" s="11" t="str">
        <f>[1]Aseguradoras!B33</f>
        <v>Panal Compañía De Seguros Generales S.A.</v>
      </c>
      <c r="C71" s="12">
        <f>LOOKUP(402010100,[1]PlanCuentas!$A$2:$A$6092,[1]PlanCuentas!AH$2:AH$6092)</f>
        <v>34388248</v>
      </c>
      <c r="D71" s="12">
        <f>LOOKUP(402010200,[1]PlanCuentas!$A$2:$A$6092,[1]PlanCuentas!AH$2:AH$6092)</f>
        <v>0</v>
      </c>
      <c r="E71" s="12">
        <f>LOOKUP(402010300,[1]PlanCuentas!$A$2:$A$6092,[1]PlanCuentas!AH$2:AH$6092)</f>
        <v>352815</v>
      </c>
      <c r="F71" s="12">
        <f>LOOKUP(402010400,[1]PlanCuentas!$A$2:$A$6092,[1]PlanCuentas!AH$2:AH$6092)</f>
        <v>6874575</v>
      </c>
      <c r="G71" s="12">
        <f>LOOKUP(402010500,[1]PlanCuentas!$A$2:$A$6092,[1]PlanCuentas!AH$2:AH$6092)</f>
        <v>0</v>
      </c>
      <c r="H71" s="12">
        <f>LOOKUP(402010600,[1]PlanCuentas!$A$2:$A$6092,[1]PlanCuentas!AH$2:AH$6092)</f>
        <v>2015530</v>
      </c>
      <c r="I71" s="12">
        <f>LOOKUP(402010700,[1]PlanCuentas!$A$2:$A$6092,[1]PlanCuentas!AH$2:AH$6092)</f>
        <v>0</v>
      </c>
      <c r="J71" s="12">
        <f>LOOKUP(402010800,[1]PlanCuentas!$A$2:$A$6092,[1]PlanCuentas!AH$2:AH$6092)</f>
        <v>0</v>
      </c>
      <c r="K71" s="12">
        <f>LOOKUP(402010900,[1]PlanCuentas!$A$2:$A$6092,[1]PlanCuentas!AH$2:AH$6092)</f>
        <v>0</v>
      </c>
      <c r="L71" s="12">
        <f>LOOKUP(402011000,[1]PlanCuentas!$A$2:$A$6092,[1]PlanCuentas!AH$2:AH$6092)</f>
        <v>4000523</v>
      </c>
      <c r="M71" s="12">
        <f>LOOKUP(402011100,[1]PlanCuentas!$A$2:$A$6092,[1]PlanCuentas!AH$2:AH$6092)</f>
        <v>0</v>
      </c>
      <c r="N71" s="12">
        <f>LOOKUP(402011200,[1]PlanCuentas!$A$2:$A$6092,[1]PlanCuentas!AH$2:AH$6092)</f>
        <v>894680</v>
      </c>
      <c r="O71" s="12">
        <f>LOOKUP(402011300,[1]PlanCuentas!$A$2:$A$6092,[1]PlanCuentas!AH$2:AH$6092)</f>
        <v>13181355</v>
      </c>
      <c r="P71" s="12">
        <f>LOOKUP(402012000,[1]PlanCuentas!$A$2:$A$6092,[1]PlanCuentas!AH$2:AH$6092)</f>
        <v>0</v>
      </c>
      <c r="Q71" s="13">
        <f t="shared" si="2"/>
        <v>61707726</v>
      </c>
    </row>
    <row r="72" spans="1:31" x14ac:dyDescent="0.2">
      <c r="A72" s="14">
        <v>33</v>
      </c>
      <c r="B72" s="19" t="str">
        <f>[1]Aseguradoras!B34</f>
        <v>Sancor Seguros del Paraguay S.A.</v>
      </c>
      <c r="C72" s="12">
        <f>LOOKUP(402010100,[1]PlanCuentas!$A$2:$A$6092,[1]PlanCuentas!AI$2:AI$6092)</f>
        <v>0</v>
      </c>
      <c r="D72" s="12">
        <f>LOOKUP(402010200,[1]PlanCuentas!$A$2:$A$6092,[1]PlanCuentas!AI$2:AI$6092)</f>
        <v>0</v>
      </c>
      <c r="E72" s="12">
        <f>LOOKUP(402010300,[1]PlanCuentas!$A$2:$A$6092,[1]PlanCuentas!AI$2:AI$6092)</f>
        <v>0</v>
      </c>
      <c r="F72" s="12">
        <f>LOOKUP(402010400,[1]PlanCuentas!$A$2:$A$6092,[1]PlanCuentas!AI$2:AI$6092)</f>
        <v>0</v>
      </c>
      <c r="G72" s="12">
        <f>LOOKUP(402010500,[1]PlanCuentas!$A$2:$A$6092,[1]PlanCuentas!AI$2:AI$6092)</f>
        <v>0</v>
      </c>
      <c r="H72" s="12">
        <f>LOOKUP(402010600,[1]PlanCuentas!$A$2:$A$6092,[1]PlanCuentas!AI$2:AI$6092)</f>
        <v>0</v>
      </c>
      <c r="I72" s="12">
        <f>LOOKUP(402010700,[1]PlanCuentas!$A$2:$A$6092,[1]PlanCuentas!AI$2:AI$6092)</f>
        <v>0</v>
      </c>
      <c r="J72" s="12">
        <f>LOOKUP(402010800,[1]PlanCuentas!$A$2:$A$6092,[1]PlanCuentas!AI$2:AI$6092)</f>
        <v>0</v>
      </c>
      <c r="K72" s="12">
        <f>LOOKUP(402010900,[1]PlanCuentas!$A$2:$A$6092,[1]PlanCuentas!AI$2:AI$6092)</f>
        <v>0</v>
      </c>
      <c r="L72" s="12">
        <f>LOOKUP(402011000,[1]PlanCuentas!$A$2:$A$6092,[1]PlanCuentas!AI$2:AI$6092)</f>
        <v>0</v>
      </c>
      <c r="M72" s="12">
        <f>LOOKUP(402011100,[1]PlanCuentas!$A$2:$A$6092,[1]PlanCuentas!AI$2:AI$6092)</f>
        <v>0</v>
      </c>
      <c r="N72" s="12">
        <f>LOOKUP(402011200,[1]PlanCuentas!$A$2:$A$6092,[1]PlanCuentas!AI$2:AI$6092)</f>
        <v>0</v>
      </c>
      <c r="O72" s="12">
        <f>LOOKUP(402011300,[1]PlanCuentas!$A$2:$A$6092,[1]PlanCuentas!AI$2:AI$6092)</f>
        <v>0</v>
      </c>
      <c r="P72" s="12">
        <f>LOOKUP(402012000,[1]PlanCuentas!$A$2:$A$6092,[1]PlanCuentas!AI$2:AI$6092)</f>
        <v>0</v>
      </c>
      <c r="Q72" s="13">
        <f t="shared" si="2"/>
        <v>0</v>
      </c>
    </row>
    <row r="73" spans="1:31" x14ac:dyDescent="0.2">
      <c r="A73" s="14"/>
      <c r="B73" s="15" t="s">
        <v>18</v>
      </c>
      <c r="C73" s="17">
        <f t="shared" ref="C73:Q73" si="3">SUBTOTAL(109,C40:C72)</f>
        <v>3137870780</v>
      </c>
      <c r="D73" s="17">
        <f t="shared" si="3"/>
        <v>499219097</v>
      </c>
      <c r="E73" s="17">
        <f t="shared" si="3"/>
        <v>140421983</v>
      </c>
      <c r="F73" s="17">
        <f t="shared" si="3"/>
        <v>3770994573</v>
      </c>
      <c r="G73" s="17">
        <f t="shared" si="3"/>
        <v>124763</v>
      </c>
      <c r="H73" s="17">
        <f t="shared" si="3"/>
        <v>773873940</v>
      </c>
      <c r="I73" s="17">
        <f t="shared" si="3"/>
        <v>38045060</v>
      </c>
      <c r="J73" s="17">
        <f t="shared" si="3"/>
        <v>0</v>
      </c>
      <c r="K73" s="17">
        <f t="shared" si="3"/>
        <v>180804086</v>
      </c>
      <c r="L73" s="17">
        <f t="shared" si="3"/>
        <v>287181731</v>
      </c>
      <c r="M73" s="17">
        <f t="shared" si="3"/>
        <v>195352719</v>
      </c>
      <c r="N73" s="17">
        <f t="shared" si="3"/>
        <v>624090757</v>
      </c>
      <c r="O73" s="17">
        <f t="shared" si="3"/>
        <v>1156949032</v>
      </c>
      <c r="P73" s="17">
        <f t="shared" si="3"/>
        <v>950443575</v>
      </c>
      <c r="Q73" s="17">
        <f t="shared" si="3"/>
        <v>11755372096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5" spans="1:31" ht="28.35" customHeight="1" x14ac:dyDescent="0.2">
      <c r="A75" s="1" t="s">
        <v>19</v>
      </c>
      <c r="B75" s="47" t="s">
        <v>21</v>
      </c>
      <c r="C75" s="47"/>
      <c r="D75" s="2"/>
      <c r="E75" s="3"/>
      <c r="F75" s="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</row>
    <row r="76" spans="1:31" ht="24" x14ac:dyDescent="0.2">
      <c r="A76" s="7" t="s">
        <v>2</v>
      </c>
      <c r="B76" s="8" t="s">
        <v>3</v>
      </c>
      <c r="C76" s="9" t="s">
        <v>4</v>
      </c>
      <c r="D76" s="9" t="s">
        <v>5</v>
      </c>
      <c r="E76" s="9" t="s">
        <v>6</v>
      </c>
      <c r="F76" s="9" t="s">
        <v>7</v>
      </c>
      <c r="G76" s="9" t="s">
        <v>8</v>
      </c>
      <c r="H76" s="9" t="s">
        <v>9</v>
      </c>
      <c r="I76" s="9" t="s">
        <v>10</v>
      </c>
      <c r="J76" s="9" t="s">
        <v>11</v>
      </c>
      <c r="K76" s="9" t="s">
        <v>12</v>
      </c>
      <c r="L76" s="9" t="s">
        <v>13</v>
      </c>
      <c r="M76" s="9" t="s">
        <v>14</v>
      </c>
      <c r="N76" s="9" t="s">
        <v>15</v>
      </c>
      <c r="O76" s="9" t="s">
        <v>16</v>
      </c>
      <c r="P76" s="9" t="s">
        <v>17</v>
      </c>
      <c r="Q76" s="8" t="s">
        <v>18</v>
      </c>
    </row>
    <row r="77" spans="1:31" x14ac:dyDescent="0.2">
      <c r="A77" s="10">
        <v>1</v>
      </c>
      <c r="B77" s="11" t="str">
        <f>[1]Aseguradoras!B2</f>
        <v>El Comercio Paraguayo S.A. de Seguros</v>
      </c>
      <c r="C77" s="12">
        <f>LOOKUP(402020100,[1]PlanCuentas!$A$2:$A$6092,[1]PlanCuentas!C$2:C$6092)</f>
        <v>0</v>
      </c>
      <c r="D77" s="12">
        <f>LOOKUP(402020200,[1]PlanCuentas!$A$2:$A$6092,[1]PlanCuentas!C$2:C$6092)</f>
        <v>0</v>
      </c>
      <c r="E77" s="12">
        <f>LOOKUP(402020300,[1]PlanCuentas!$A$2:$A$6092,[1]PlanCuentas!C$2:C$6092)</f>
        <v>0</v>
      </c>
      <c r="F77" s="12">
        <f>LOOKUP(402020400,[1]PlanCuentas!$A$2:$A$6092,[1]PlanCuentas!C$2:C$6092)</f>
        <v>0</v>
      </c>
      <c r="G77" s="12">
        <f>LOOKUP(402020500,[1]PlanCuentas!$A$2:$A$6092,[1]PlanCuentas!C$2:C$6092)</f>
        <v>0</v>
      </c>
      <c r="H77" s="12">
        <f>LOOKUP(402020600,[1]PlanCuentas!$A$2:$A$6092,[1]PlanCuentas!C$2:C$6092)</f>
        <v>0</v>
      </c>
      <c r="I77" s="12">
        <f>LOOKUP(402020700,[1]PlanCuentas!$A$2:$A$6092,[1]PlanCuentas!C$2:C$6092)</f>
        <v>0</v>
      </c>
      <c r="J77" s="12">
        <f>LOOKUP(402020800,[1]PlanCuentas!$A$2:$A$6092,[1]PlanCuentas!C$2:C$6092)</f>
        <v>0</v>
      </c>
      <c r="K77" s="12">
        <f>LOOKUP(402020900,[1]PlanCuentas!$A$2:$A$6092,[1]PlanCuentas!C$2:C$6092)</f>
        <v>0</v>
      </c>
      <c r="L77" s="12">
        <f>LOOKUP(402021000,[1]PlanCuentas!$A$2:$A$6092,[1]PlanCuentas!C$2:C$6092)</f>
        <v>0</v>
      </c>
      <c r="M77" s="12">
        <f>LOOKUP(402021100,[1]PlanCuentas!$A$2:$A$6092,[1]PlanCuentas!C$2:C$6092)</f>
        <v>0</v>
      </c>
      <c r="N77" s="12">
        <f>LOOKUP(402021200,[1]PlanCuentas!$A$2:$A$6092,[1]PlanCuentas!C$2:C$6092)</f>
        <v>0</v>
      </c>
      <c r="O77" s="12">
        <f>LOOKUP(402021300,[1]PlanCuentas!$A$2:$A$6092,[1]PlanCuentas!C$2:C$6092)</f>
        <v>0</v>
      </c>
      <c r="P77" s="12">
        <f>LOOKUP(402022000,[1]PlanCuentas!$A$2:$A$6092,[1]PlanCuentas!C$2:C$6092)</f>
        <v>0</v>
      </c>
      <c r="Q77" s="13">
        <f t="shared" ref="Q77:Q108" si="4">SUM(C77:P77)</f>
        <v>0</v>
      </c>
    </row>
    <row r="78" spans="1:31" x14ac:dyDescent="0.2">
      <c r="A78" s="10">
        <v>2</v>
      </c>
      <c r="B78" s="11" t="str">
        <f>[1]Aseguradoras!B3</f>
        <v>La Rural S.A de Seguros</v>
      </c>
      <c r="C78" s="12">
        <f>LOOKUP(402020100,[1]PlanCuentas!$A$2:$A$6092,[1]PlanCuentas!D$2:D$6092)</f>
        <v>0</v>
      </c>
      <c r="D78" s="12">
        <f>LOOKUP(402020200,[1]PlanCuentas!$A$2:$A$6092,[1]PlanCuentas!D$2:D$6092)</f>
        <v>0</v>
      </c>
      <c r="E78" s="12">
        <f>LOOKUP(402020300,[1]PlanCuentas!$A$2:$A$6092,[1]PlanCuentas!D$2:D$6092)</f>
        <v>0</v>
      </c>
      <c r="F78" s="12">
        <f>LOOKUP(402020400,[1]PlanCuentas!$A$2:$A$6092,[1]PlanCuentas!D$2:D$6092)</f>
        <v>0</v>
      </c>
      <c r="G78" s="12">
        <f>LOOKUP(402020500,[1]PlanCuentas!$A$2:$A$6092,[1]PlanCuentas!D$2:D$6092)</f>
        <v>0</v>
      </c>
      <c r="H78" s="12">
        <f>LOOKUP(402020600,[1]PlanCuentas!$A$2:$A$6092,[1]PlanCuentas!D$2:D$6092)</f>
        <v>0</v>
      </c>
      <c r="I78" s="12">
        <f>LOOKUP(402020700,[1]PlanCuentas!$A$2:$A$6092,[1]PlanCuentas!D$2:D$6092)</f>
        <v>0</v>
      </c>
      <c r="J78" s="12">
        <f>LOOKUP(402020800,[1]PlanCuentas!$A$2:$A$6092,[1]PlanCuentas!D$2:D$6092)</f>
        <v>0</v>
      </c>
      <c r="K78" s="12">
        <f>LOOKUP(402020900,[1]PlanCuentas!$A$2:$A$6092,[1]PlanCuentas!D$2:D$6092)</f>
        <v>0</v>
      </c>
      <c r="L78" s="12">
        <f>LOOKUP(402021000,[1]PlanCuentas!$A$2:$A$6092,[1]PlanCuentas!D$2:D$6092)</f>
        <v>0</v>
      </c>
      <c r="M78" s="12">
        <f>LOOKUP(402021100,[1]PlanCuentas!$A$2:$A$6092,[1]PlanCuentas!D$2:D$6092)</f>
        <v>0</v>
      </c>
      <c r="N78" s="12">
        <f>LOOKUP(402021200,[1]PlanCuentas!$A$2:$A$6092,[1]PlanCuentas!D$2:D$6092)</f>
        <v>0</v>
      </c>
      <c r="O78" s="12">
        <f>LOOKUP(402021300,[1]PlanCuentas!$A$2:$A$6092,[1]PlanCuentas!D$2:D$6092)</f>
        <v>0</v>
      </c>
      <c r="P78" s="12">
        <f>LOOKUP(402022000,[1]PlanCuentas!$A$2:$A$6092,[1]PlanCuentas!D$2:D$6092)</f>
        <v>0</v>
      </c>
      <c r="Q78" s="13">
        <f t="shared" si="4"/>
        <v>0</v>
      </c>
    </row>
    <row r="79" spans="1:31" x14ac:dyDescent="0.2">
      <c r="A79" s="10">
        <v>3</v>
      </c>
      <c r="B79" s="11" t="str">
        <f>[1]Aseguradoras!B4</f>
        <v>La Paraguaya S.A de Seguros</v>
      </c>
      <c r="C79" s="12">
        <f>LOOKUP(402020100,[1]PlanCuentas!$A$2:$A$6092,[1]PlanCuentas!E$2:E$6092)</f>
        <v>0</v>
      </c>
      <c r="D79" s="12">
        <f>LOOKUP(402020200,[1]PlanCuentas!$A$2:$A$6092,[1]PlanCuentas!E$2:E$6092)</f>
        <v>0</v>
      </c>
      <c r="E79" s="12">
        <f>LOOKUP(402020300,[1]PlanCuentas!$A$2:$A$6092,[1]PlanCuentas!E$2:E$6092)</f>
        <v>0</v>
      </c>
      <c r="F79" s="12">
        <f>LOOKUP(402020400,[1]PlanCuentas!$A$2:$A$6092,[1]PlanCuentas!E$2:E$6092)</f>
        <v>0</v>
      </c>
      <c r="G79" s="12">
        <f>LOOKUP(402020500,[1]PlanCuentas!$A$2:$A$6092,[1]PlanCuentas!E$2:E$6092)</f>
        <v>0</v>
      </c>
      <c r="H79" s="12">
        <f>LOOKUP(402020600,[1]PlanCuentas!$A$2:$A$6092,[1]PlanCuentas!E$2:E$6092)</f>
        <v>0</v>
      </c>
      <c r="I79" s="12">
        <f>LOOKUP(402020700,[1]PlanCuentas!$A$2:$A$6092,[1]PlanCuentas!E$2:E$6092)</f>
        <v>0</v>
      </c>
      <c r="J79" s="12">
        <f>LOOKUP(402020800,[1]PlanCuentas!$A$2:$A$6092,[1]PlanCuentas!E$2:E$6092)</f>
        <v>0</v>
      </c>
      <c r="K79" s="12">
        <f>LOOKUP(402020900,[1]PlanCuentas!$A$2:$A$6092,[1]PlanCuentas!E$2:E$6092)</f>
        <v>0</v>
      </c>
      <c r="L79" s="12">
        <f>LOOKUP(402021000,[1]PlanCuentas!$A$2:$A$6092,[1]PlanCuentas!E$2:E$6092)</f>
        <v>0</v>
      </c>
      <c r="M79" s="12">
        <f>LOOKUP(402021100,[1]PlanCuentas!$A$2:$A$6092,[1]PlanCuentas!E$2:E$6092)</f>
        <v>0</v>
      </c>
      <c r="N79" s="12">
        <f>LOOKUP(402021200,[1]PlanCuentas!$A$2:$A$6092,[1]PlanCuentas!E$2:E$6092)</f>
        <v>0</v>
      </c>
      <c r="O79" s="12">
        <f>LOOKUP(402021300,[1]PlanCuentas!$A$2:$A$6092,[1]PlanCuentas!E$2:E$6092)</f>
        <v>0</v>
      </c>
      <c r="P79" s="12">
        <f>LOOKUP(402022000,[1]PlanCuentas!$A$2:$A$6092,[1]PlanCuentas!E$2:E$6092)</f>
        <v>0</v>
      </c>
      <c r="Q79" s="13">
        <f t="shared" si="4"/>
        <v>0</v>
      </c>
    </row>
    <row r="80" spans="1:31" x14ac:dyDescent="0.2">
      <c r="A80" s="10">
        <v>4</v>
      </c>
      <c r="B80" s="11" t="str">
        <f>[1]Aseguradoras!B5</f>
        <v>Seguros Generales S. A (SEGESA)</v>
      </c>
      <c r="C80" s="12">
        <f>LOOKUP(402020100,[1]PlanCuentas!$A$2:$A$6092,[1]PlanCuentas!F$2:F$6092)</f>
        <v>0</v>
      </c>
      <c r="D80" s="12">
        <f>LOOKUP(402020200,[1]PlanCuentas!$A$2:$A$6092,[1]PlanCuentas!F$2:F$6092)</f>
        <v>0</v>
      </c>
      <c r="E80" s="12">
        <f>LOOKUP(402020300,[1]PlanCuentas!$A$2:$A$6092,[1]PlanCuentas!F$2:F$6092)</f>
        <v>0</v>
      </c>
      <c r="F80" s="12">
        <f>LOOKUP(402020400,[1]PlanCuentas!$A$2:$A$6092,[1]PlanCuentas!F$2:F$6092)</f>
        <v>195131824</v>
      </c>
      <c r="G80" s="12">
        <f>LOOKUP(402020500,[1]PlanCuentas!$A$2:$A$6092,[1]PlanCuentas!F$2:F$6092)</f>
        <v>0</v>
      </c>
      <c r="H80" s="12">
        <f>LOOKUP(402020600,[1]PlanCuentas!$A$2:$A$6092,[1]PlanCuentas!F$2:F$6092)</f>
        <v>0</v>
      </c>
      <c r="I80" s="12">
        <f>LOOKUP(402020700,[1]PlanCuentas!$A$2:$A$6092,[1]PlanCuentas!F$2:F$6092)</f>
        <v>0</v>
      </c>
      <c r="J80" s="12">
        <f>LOOKUP(402020800,[1]PlanCuentas!$A$2:$A$6092,[1]PlanCuentas!F$2:F$6092)</f>
        <v>0</v>
      </c>
      <c r="K80" s="12">
        <f>LOOKUP(402020900,[1]PlanCuentas!$A$2:$A$6092,[1]PlanCuentas!F$2:F$6092)</f>
        <v>0</v>
      </c>
      <c r="L80" s="12">
        <f>LOOKUP(402021000,[1]PlanCuentas!$A$2:$A$6092,[1]PlanCuentas!F$2:F$6092)</f>
        <v>0</v>
      </c>
      <c r="M80" s="12">
        <f>LOOKUP(402021100,[1]PlanCuentas!$A$2:$A$6092,[1]PlanCuentas!F$2:F$6092)</f>
        <v>0</v>
      </c>
      <c r="N80" s="12">
        <f>LOOKUP(402021200,[1]PlanCuentas!$A$2:$A$6092,[1]PlanCuentas!F$2:F$6092)</f>
        <v>0</v>
      </c>
      <c r="O80" s="12">
        <f>LOOKUP(402021300,[1]PlanCuentas!$A$2:$A$6092,[1]PlanCuentas!F$2:F$6092)</f>
        <v>0</v>
      </c>
      <c r="P80" s="12">
        <f>LOOKUP(402022000,[1]PlanCuentas!$A$2:$A$6092,[1]PlanCuentas!F$2:F$6092)</f>
        <v>0</v>
      </c>
      <c r="Q80" s="13">
        <f t="shared" si="4"/>
        <v>195131824</v>
      </c>
    </row>
    <row r="81" spans="1:17" x14ac:dyDescent="0.2">
      <c r="A81" s="10">
        <v>5</v>
      </c>
      <c r="B81" s="11" t="str">
        <f>[1]Aseguradoras!B6</f>
        <v>Rumbos S.A de Seguros</v>
      </c>
      <c r="C81" s="12">
        <f>LOOKUP(402020100,[1]PlanCuentas!$A$2:$A$6092,[1]PlanCuentas!G$2:G$6092)</f>
        <v>0</v>
      </c>
      <c r="D81" s="12">
        <f>LOOKUP(402020200,[1]PlanCuentas!$A$2:$A$6092,[1]PlanCuentas!G$2:G$6092)</f>
        <v>0</v>
      </c>
      <c r="E81" s="12">
        <f>LOOKUP(402020300,[1]PlanCuentas!$A$2:$A$6092,[1]PlanCuentas!G$2:G$6092)</f>
        <v>0</v>
      </c>
      <c r="F81" s="12">
        <f>LOOKUP(402020400,[1]PlanCuentas!$A$2:$A$6092,[1]PlanCuentas!G$2:G$6092)</f>
        <v>0</v>
      </c>
      <c r="G81" s="12">
        <f>LOOKUP(402020500,[1]PlanCuentas!$A$2:$A$6092,[1]PlanCuentas!G$2:G$6092)</f>
        <v>0</v>
      </c>
      <c r="H81" s="12">
        <f>LOOKUP(402020600,[1]PlanCuentas!$A$2:$A$6092,[1]PlanCuentas!G$2:G$6092)</f>
        <v>0</v>
      </c>
      <c r="I81" s="12">
        <f>LOOKUP(402020700,[1]PlanCuentas!$A$2:$A$6092,[1]PlanCuentas!G$2:G$6092)</f>
        <v>0</v>
      </c>
      <c r="J81" s="12">
        <f>LOOKUP(402020800,[1]PlanCuentas!$A$2:$A$6092,[1]PlanCuentas!G$2:G$6092)</f>
        <v>0</v>
      </c>
      <c r="K81" s="12">
        <f>LOOKUP(402020900,[1]PlanCuentas!$A$2:$A$6092,[1]PlanCuentas!G$2:G$6092)</f>
        <v>0</v>
      </c>
      <c r="L81" s="12">
        <f>LOOKUP(402021000,[1]PlanCuentas!$A$2:$A$6092,[1]PlanCuentas!G$2:G$6092)</f>
        <v>0</v>
      </c>
      <c r="M81" s="12">
        <f>LOOKUP(402021100,[1]PlanCuentas!$A$2:$A$6092,[1]PlanCuentas!G$2:G$6092)</f>
        <v>0</v>
      </c>
      <c r="N81" s="12">
        <f>LOOKUP(402021200,[1]PlanCuentas!$A$2:$A$6092,[1]PlanCuentas!G$2:G$6092)</f>
        <v>0</v>
      </c>
      <c r="O81" s="12">
        <f>LOOKUP(402021300,[1]PlanCuentas!$A$2:$A$6092,[1]PlanCuentas!G$2:G$6092)</f>
        <v>0</v>
      </c>
      <c r="P81" s="12">
        <f>LOOKUP(402022000,[1]PlanCuentas!$A$2:$A$6092,[1]PlanCuentas!G$2:G$6092)</f>
        <v>0</v>
      </c>
      <c r="Q81" s="13">
        <f t="shared" si="4"/>
        <v>0</v>
      </c>
    </row>
    <row r="82" spans="1:17" x14ac:dyDescent="0.2">
      <c r="A82" s="10">
        <v>6</v>
      </c>
      <c r="B82" s="11" t="str">
        <f>[1]Aseguradoras!B7</f>
        <v>La Consolidada S.A de Seguros</v>
      </c>
      <c r="C82" s="12">
        <f>LOOKUP(402020100,[1]PlanCuentas!$A$2:$A$6092,[1]PlanCuentas!H$2:H$6092)</f>
        <v>0</v>
      </c>
      <c r="D82" s="12">
        <f>LOOKUP(402020200,[1]PlanCuentas!$A$2:$A$6092,[1]PlanCuentas!H$2:H$6092)</f>
        <v>0</v>
      </c>
      <c r="E82" s="12">
        <f>LOOKUP(402020300,[1]PlanCuentas!$A$2:$A$6092,[1]PlanCuentas!H$2:H$6092)</f>
        <v>0</v>
      </c>
      <c r="F82" s="12">
        <f>LOOKUP(402020400,[1]PlanCuentas!$A$2:$A$6092,[1]PlanCuentas!H$2:H$6092)</f>
        <v>0</v>
      </c>
      <c r="G82" s="12">
        <f>LOOKUP(402020500,[1]PlanCuentas!$A$2:$A$6092,[1]PlanCuentas!H$2:H$6092)</f>
        <v>0</v>
      </c>
      <c r="H82" s="12">
        <f>LOOKUP(402020600,[1]PlanCuentas!$A$2:$A$6092,[1]PlanCuentas!H$2:H$6092)</f>
        <v>0</v>
      </c>
      <c r="I82" s="12">
        <f>LOOKUP(402020700,[1]PlanCuentas!$A$2:$A$6092,[1]PlanCuentas!H$2:H$6092)</f>
        <v>0</v>
      </c>
      <c r="J82" s="12">
        <f>LOOKUP(402020800,[1]PlanCuentas!$A$2:$A$6092,[1]PlanCuentas!H$2:H$6092)</f>
        <v>0</v>
      </c>
      <c r="K82" s="12">
        <f>LOOKUP(402020900,[1]PlanCuentas!$A$2:$A$6092,[1]PlanCuentas!H$2:H$6092)</f>
        <v>0</v>
      </c>
      <c r="L82" s="12">
        <f>LOOKUP(402021000,[1]PlanCuentas!$A$2:$A$6092,[1]PlanCuentas!H$2:H$6092)</f>
        <v>0</v>
      </c>
      <c r="M82" s="12">
        <f>LOOKUP(402021100,[1]PlanCuentas!$A$2:$A$6092,[1]PlanCuentas!H$2:H$6092)</f>
        <v>0</v>
      </c>
      <c r="N82" s="12">
        <f>LOOKUP(402021200,[1]PlanCuentas!$A$2:$A$6092,[1]PlanCuentas!H$2:H$6092)</f>
        <v>0</v>
      </c>
      <c r="O82" s="12">
        <f>LOOKUP(402021300,[1]PlanCuentas!$A$2:$A$6092,[1]PlanCuentas!H$2:H$6092)</f>
        <v>0</v>
      </c>
      <c r="P82" s="12">
        <f>LOOKUP(402022000,[1]PlanCuentas!$A$2:$A$6092,[1]PlanCuentas!H$2:H$6092)</f>
        <v>0</v>
      </c>
      <c r="Q82" s="13">
        <f t="shared" si="4"/>
        <v>0</v>
      </c>
    </row>
    <row r="83" spans="1:17" x14ac:dyDescent="0.2">
      <c r="A83" s="10">
        <v>7</v>
      </c>
      <c r="B83" s="11" t="str">
        <f>[1]Aseguradoras!B8</f>
        <v>El Productor S.A de Seguros y Reaseguros</v>
      </c>
      <c r="C83" s="12">
        <f>LOOKUP(402020100,[1]PlanCuentas!$A$2:$A$6092,[1]PlanCuentas!I$2:I$6092)</f>
        <v>0</v>
      </c>
      <c r="D83" s="12">
        <f>LOOKUP(402020200,[1]PlanCuentas!$A$2:$A$6092,[1]PlanCuentas!I$2:I$6092)</f>
        <v>0</v>
      </c>
      <c r="E83" s="12">
        <f>LOOKUP(402020300,[1]PlanCuentas!$A$2:$A$6092,[1]PlanCuentas!I$2:I$6092)</f>
        <v>0</v>
      </c>
      <c r="F83" s="12">
        <f>LOOKUP(402020400,[1]PlanCuentas!$A$2:$A$6092,[1]PlanCuentas!I$2:I$6092)</f>
        <v>0</v>
      </c>
      <c r="G83" s="12">
        <f>LOOKUP(402020500,[1]PlanCuentas!$A$2:$A$6092,[1]PlanCuentas!I$2:I$6092)</f>
        <v>0</v>
      </c>
      <c r="H83" s="12">
        <f>LOOKUP(402020600,[1]PlanCuentas!$A$2:$A$6092,[1]PlanCuentas!I$2:I$6092)</f>
        <v>0</v>
      </c>
      <c r="I83" s="12">
        <f>LOOKUP(402020700,[1]PlanCuentas!$A$2:$A$6092,[1]PlanCuentas!I$2:I$6092)</f>
        <v>0</v>
      </c>
      <c r="J83" s="12">
        <f>LOOKUP(402020800,[1]PlanCuentas!$A$2:$A$6092,[1]PlanCuentas!I$2:I$6092)</f>
        <v>0</v>
      </c>
      <c r="K83" s="12">
        <f>LOOKUP(402020900,[1]PlanCuentas!$A$2:$A$6092,[1]PlanCuentas!I$2:I$6092)</f>
        <v>0</v>
      </c>
      <c r="L83" s="12">
        <f>LOOKUP(402021000,[1]PlanCuentas!$A$2:$A$6092,[1]PlanCuentas!I$2:I$6092)</f>
        <v>0</v>
      </c>
      <c r="M83" s="12">
        <f>LOOKUP(402021100,[1]PlanCuentas!$A$2:$A$6092,[1]PlanCuentas!I$2:I$6092)</f>
        <v>0</v>
      </c>
      <c r="N83" s="12">
        <f>LOOKUP(402021200,[1]PlanCuentas!$A$2:$A$6092,[1]PlanCuentas!I$2:I$6092)</f>
        <v>0</v>
      </c>
      <c r="O83" s="12">
        <f>LOOKUP(402021300,[1]PlanCuentas!$A$2:$A$6092,[1]PlanCuentas!I$2:I$6092)</f>
        <v>0</v>
      </c>
      <c r="P83" s="12">
        <f>LOOKUP(402022000,[1]PlanCuentas!$A$2:$A$6092,[1]PlanCuentas!I$2:I$6092)</f>
        <v>0</v>
      </c>
      <c r="Q83" s="13">
        <f t="shared" si="4"/>
        <v>0</v>
      </c>
    </row>
    <row r="84" spans="1:17" x14ac:dyDescent="0.2">
      <c r="A84" s="10">
        <v>8</v>
      </c>
      <c r="B84" s="11" t="str">
        <f>[1]Aseguradoras!B9</f>
        <v>Atalaya S.A de Seguros Generales</v>
      </c>
      <c r="C84" s="12">
        <f>LOOKUP(402020100,[1]PlanCuentas!$A$2:$A$6092,[1]PlanCuentas!J$2:J$6092)</f>
        <v>0</v>
      </c>
      <c r="D84" s="12">
        <f>LOOKUP(402020200,[1]PlanCuentas!$A$2:$A$6092,[1]PlanCuentas!J$2:J$6092)</f>
        <v>0</v>
      </c>
      <c r="E84" s="12">
        <f>LOOKUP(402020300,[1]PlanCuentas!$A$2:$A$6092,[1]PlanCuentas!J$2:J$6092)</f>
        <v>0</v>
      </c>
      <c r="F84" s="12">
        <f>LOOKUP(402020400,[1]PlanCuentas!$A$2:$A$6092,[1]PlanCuentas!J$2:J$6092)</f>
        <v>0</v>
      </c>
      <c r="G84" s="12">
        <f>LOOKUP(402020500,[1]PlanCuentas!$A$2:$A$6092,[1]PlanCuentas!J$2:J$6092)</f>
        <v>0</v>
      </c>
      <c r="H84" s="12">
        <f>LOOKUP(402020600,[1]PlanCuentas!$A$2:$A$6092,[1]PlanCuentas!J$2:J$6092)</f>
        <v>0</v>
      </c>
      <c r="I84" s="12">
        <f>LOOKUP(402020700,[1]PlanCuentas!$A$2:$A$6092,[1]PlanCuentas!J$2:J$6092)</f>
        <v>0</v>
      </c>
      <c r="J84" s="12">
        <f>LOOKUP(402020800,[1]PlanCuentas!$A$2:$A$6092,[1]PlanCuentas!J$2:J$6092)</f>
        <v>0</v>
      </c>
      <c r="K84" s="12">
        <f>LOOKUP(402020900,[1]PlanCuentas!$A$2:$A$6092,[1]PlanCuentas!J$2:J$6092)</f>
        <v>0</v>
      </c>
      <c r="L84" s="12">
        <f>LOOKUP(402021000,[1]PlanCuentas!$A$2:$A$6092,[1]PlanCuentas!J$2:J$6092)</f>
        <v>0</v>
      </c>
      <c r="M84" s="12">
        <f>LOOKUP(402021100,[1]PlanCuentas!$A$2:$A$6092,[1]PlanCuentas!J$2:J$6092)</f>
        <v>0</v>
      </c>
      <c r="N84" s="12">
        <f>LOOKUP(402021200,[1]PlanCuentas!$A$2:$A$6092,[1]PlanCuentas!J$2:J$6092)</f>
        <v>0</v>
      </c>
      <c r="O84" s="12">
        <f>LOOKUP(402021300,[1]PlanCuentas!$A$2:$A$6092,[1]PlanCuentas!J$2:J$6092)</f>
        <v>0</v>
      </c>
      <c r="P84" s="12">
        <f>LOOKUP(402022000,[1]PlanCuentas!$A$2:$A$6092,[1]PlanCuentas!J$2:J$6092)</f>
        <v>0</v>
      </c>
      <c r="Q84" s="13">
        <f t="shared" si="4"/>
        <v>0</v>
      </c>
    </row>
    <row r="85" spans="1:17" x14ac:dyDescent="0.2">
      <c r="A85" s="10">
        <v>9</v>
      </c>
      <c r="B85" s="11" t="str">
        <f>[1]Aseguradoras!B10</f>
        <v>La Independencia de Seguros S.A.</v>
      </c>
      <c r="C85" s="12">
        <f>LOOKUP(402020100,[1]PlanCuentas!$A$2:$A$6092,[1]PlanCuentas!K$2:K$6092)</f>
        <v>6129408</v>
      </c>
      <c r="D85" s="12">
        <f>LOOKUP(402020200,[1]PlanCuentas!$A$2:$A$6092,[1]PlanCuentas!K$2:K$6092)</f>
        <v>0</v>
      </c>
      <c r="E85" s="12">
        <f>LOOKUP(402020300,[1]PlanCuentas!$A$2:$A$6092,[1]PlanCuentas!K$2:K$6092)</f>
        <v>95378</v>
      </c>
      <c r="F85" s="12">
        <f>LOOKUP(402020400,[1]PlanCuentas!$A$2:$A$6092,[1]PlanCuentas!K$2:K$6092)</f>
        <v>181788155</v>
      </c>
      <c r="G85" s="12">
        <f>LOOKUP(402020500,[1]PlanCuentas!$A$2:$A$6092,[1]PlanCuentas!K$2:K$6092)</f>
        <v>0</v>
      </c>
      <c r="H85" s="12">
        <f>LOOKUP(402020600,[1]PlanCuentas!$A$2:$A$6092,[1]PlanCuentas!K$2:K$6092)</f>
        <v>2850888</v>
      </c>
      <c r="I85" s="12">
        <f>LOOKUP(402020700,[1]PlanCuentas!$A$2:$A$6092,[1]PlanCuentas!K$2:K$6092)</f>
        <v>0</v>
      </c>
      <c r="J85" s="12">
        <f>LOOKUP(402020800,[1]PlanCuentas!$A$2:$A$6092,[1]PlanCuentas!K$2:K$6092)</f>
        <v>0</v>
      </c>
      <c r="K85" s="12">
        <f>LOOKUP(402020900,[1]PlanCuentas!$A$2:$A$6092,[1]PlanCuentas!K$2:K$6092)</f>
        <v>340655</v>
      </c>
      <c r="L85" s="12">
        <f>LOOKUP(402021000,[1]PlanCuentas!$A$2:$A$6092,[1]PlanCuentas!K$2:K$6092)</f>
        <v>41195</v>
      </c>
      <c r="M85" s="12">
        <f>LOOKUP(402021100,[1]PlanCuentas!$A$2:$A$6092,[1]PlanCuentas!K$2:K$6092)</f>
        <v>0</v>
      </c>
      <c r="N85" s="12">
        <f>LOOKUP(402021200,[1]PlanCuentas!$A$2:$A$6092,[1]PlanCuentas!K$2:K$6092)</f>
        <v>0</v>
      </c>
      <c r="O85" s="12">
        <f>LOOKUP(402021300,[1]PlanCuentas!$A$2:$A$6092,[1]PlanCuentas!K$2:K$6092)</f>
        <v>1561636</v>
      </c>
      <c r="P85" s="12">
        <f>LOOKUP(402022000,[1]PlanCuentas!$A$2:$A$6092,[1]PlanCuentas!K$2:K$6092)</f>
        <v>0</v>
      </c>
      <c r="Q85" s="13">
        <f t="shared" si="4"/>
        <v>192807315</v>
      </c>
    </row>
    <row r="86" spans="1:17" x14ac:dyDescent="0.2">
      <c r="A86" s="10">
        <v>10</v>
      </c>
      <c r="B86" s="11" t="str">
        <f>[1]Aseguradoras!B11</f>
        <v>Patria S.A de Seguros y Reaseguros</v>
      </c>
      <c r="C86" s="12">
        <f>LOOKUP(402020100,[1]PlanCuentas!$A$2:$A$6092,[1]PlanCuentas!L$2:L$6092)</f>
        <v>0</v>
      </c>
      <c r="D86" s="12">
        <f>LOOKUP(402020200,[1]PlanCuentas!$A$2:$A$6092,[1]PlanCuentas!L$2:L$6092)</f>
        <v>0</v>
      </c>
      <c r="E86" s="12">
        <f>LOOKUP(402020300,[1]PlanCuentas!$A$2:$A$6092,[1]PlanCuentas!L$2:L$6092)</f>
        <v>0</v>
      </c>
      <c r="F86" s="12">
        <f>LOOKUP(402020400,[1]PlanCuentas!$A$2:$A$6092,[1]PlanCuentas!L$2:L$6092)</f>
        <v>0</v>
      </c>
      <c r="G86" s="12">
        <f>LOOKUP(402020500,[1]PlanCuentas!$A$2:$A$6092,[1]PlanCuentas!L$2:L$6092)</f>
        <v>0</v>
      </c>
      <c r="H86" s="12">
        <f>LOOKUP(402020600,[1]PlanCuentas!$A$2:$A$6092,[1]PlanCuentas!L$2:L$6092)</f>
        <v>0</v>
      </c>
      <c r="I86" s="12">
        <f>LOOKUP(402020700,[1]PlanCuentas!$A$2:$A$6092,[1]PlanCuentas!L$2:L$6092)</f>
        <v>0</v>
      </c>
      <c r="J86" s="12">
        <f>LOOKUP(402020800,[1]PlanCuentas!$A$2:$A$6092,[1]PlanCuentas!L$2:L$6092)</f>
        <v>0</v>
      </c>
      <c r="K86" s="12">
        <f>LOOKUP(402020900,[1]PlanCuentas!$A$2:$A$6092,[1]PlanCuentas!L$2:L$6092)</f>
        <v>0</v>
      </c>
      <c r="L86" s="12">
        <f>LOOKUP(402021000,[1]PlanCuentas!$A$2:$A$6092,[1]PlanCuentas!L$2:L$6092)</f>
        <v>0</v>
      </c>
      <c r="M86" s="12">
        <f>LOOKUP(402021100,[1]PlanCuentas!$A$2:$A$6092,[1]PlanCuentas!L$2:L$6092)</f>
        <v>0</v>
      </c>
      <c r="N86" s="12">
        <f>LOOKUP(402021200,[1]PlanCuentas!$A$2:$A$6092,[1]PlanCuentas!L$2:L$6092)</f>
        <v>0</v>
      </c>
      <c r="O86" s="12">
        <f>LOOKUP(402021300,[1]PlanCuentas!$A$2:$A$6092,[1]PlanCuentas!L$2:L$6092)</f>
        <v>0</v>
      </c>
      <c r="P86" s="12">
        <f>LOOKUP(402022000,[1]PlanCuentas!$A$2:$A$6092,[1]PlanCuentas!L$2:L$6092)</f>
        <v>0</v>
      </c>
      <c r="Q86" s="13">
        <f t="shared" si="4"/>
        <v>0</v>
      </c>
    </row>
    <row r="87" spans="1:17" x14ac:dyDescent="0.2">
      <c r="A87" s="10">
        <v>11</v>
      </c>
      <c r="B87" s="11" t="str">
        <f>[1]Aseguradoras!B12</f>
        <v>Garantía S.A de Seguros y Reaseguros</v>
      </c>
      <c r="C87" s="12">
        <f>LOOKUP(402020100,[1]PlanCuentas!$A$2:$A$6092,[1]PlanCuentas!M$2:M$6092)</f>
        <v>0</v>
      </c>
      <c r="D87" s="12">
        <f>LOOKUP(402020200,[1]PlanCuentas!$A$2:$A$6092,[1]PlanCuentas!M$2:M$6092)</f>
        <v>0</v>
      </c>
      <c r="E87" s="12">
        <f>LOOKUP(402020300,[1]PlanCuentas!$A$2:$A$6092,[1]PlanCuentas!M$2:M$6092)</f>
        <v>0</v>
      </c>
      <c r="F87" s="12">
        <f>LOOKUP(402020400,[1]PlanCuentas!$A$2:$A$6092,[1]PlanCuentas!M$2:M$6092)</f>
        <v>118931961</v>
      </c>
      <c r="G87" s="12">
        <f>LOOKUP(402020500,[1]PlanCuentas!$A$2:$A$6092,[1]PlanCuentas!M$2:M$6092)</f>
        <v>0</v>
      </c>
      <c r="H87" s="12">
        <f>LOOKUP(402020600,[1]PlanCuentas!$A$2:$A$6092,[1]PlanCuentas!M$2:M$6092)</f>
        <v>0</v>
      </c>
      <c r="I87" s="12">
        <f>LOOKUP(402020700,[1]PlanCuentas!$A$2:$A$6092,[1]PlanCuentas!M$2:M$6092)</f>
        <v>0</v>
      </c>
      <c r="J87" s="12">
        <f>LOOKUP(402020800,[1]PlanCuentas!$A$2:$A$6092,[1]PlanCuentas!M$2:M$6092)</f>
        <v>0</v>
      </c>
      <c r="K87" s="12">
        <f>LOOKUP(402020900,[1]PlanCuentas!$A$2:$A$6092,[1]PlanCuentas!M$2:M$6092)</f>
        <v>0</v>
      </c>
      <c r="L87" s="12">
        <f>LOOKUP(402021000,[1]PlanCuentas!$A$2:$A$6092,[1]PlanCuentas!M$2:M$6092)</f>
        <v>0</v>
      </c>
      <c r="M87" s="12">
        <f>LOOKUP(402021100,[1]PlanCuentas!$A$2:$A$6092,[1]PlanCuentas!M$2:M$6092)</f>
        <v>0</v>
      </c>
      <c r="N87" s="12">
        <f>LOOKUP(402021200,[1]PlanCuentas!$A$2:$A$6092,[1]PlanCuentas!M$2:M$6092)</f>
        <v>0</v>
      </c>
      <c r="O87" s="12">
        <f>LOOKUP(402021300,[1]PlanCuentas!$A$2:$A$6092,[1]PlanCuentas!M$2:M$6092)</f>
        <v>0</v>
      </c>
      <c r="P87" s="12">
        <f>LOOKUP(402022000,[1]PlanCuentas!$A$2:$A$6092,[1]PlanCuentas!M$2:M$6092)</f>
        <v>0</v>
      </c>
      <c r="Q87" s="13">
        <f t="shared" si="4"/>
        <v>118931961</v>
      </c>
    </row>
    <row r="88" spans="1:17" x14ac:dyDescent="0.2">
      <c r="A88" s="10">
        <v>12</v>
      </c>
      <c r="B88" s="11" t="str">
        <f>[1]Aseguradoras!B13</f>
        <v>Aseguradora Paraguaya S.A.</v>
      </c>
      <c r="C88" s="12">
        <f>LOOKUP(402020100,[1]PlanCuentas!$A$2:$A$6092,[1]PlanCuentas!N$2:N$6092)</f>
        <v>0</v>
      </c>
      <c r="D88" s="12">
        <f>LOOKUP(402020200,[1]PlanCuentas!$A$2:$A$6092,[1]PlanCuentas!N$2:N$6092)</f>
        <v>0</v>
      </c>
      <c r="E88" s="12">
        <f>LOOKUP(402020300,[1]PlanCuentas!$A$2:$A$6092,[1]PlanCuentas!N$2:N$6092)</f>
        <v>0</v>
      </c>
      <c r="F88" s="12">
        <f>LOOKUP(402020400,[1]PlanCuentas!$A$2:$A$6092,[1]PlanCuentas!N$2:N$6092)</f>
        <v>0</v>
      </c>
      <c r="G88" s="12">
        <f>LOOKUP(402020500,[1]PlanCuentas!$A$2:$A$6092,[1]PlanCuentas!N$2:N$6092)</f>
        <v>0</v>
      </c>
      <c r="H88" s="12">
        <f>LOOKUP(402020600,[1]PlanCuentas!$A$2:$A$6092,[1]PlanCuentas!N$2:N$6092)</f>
        <v>0</v>
      </c>
      <c r="I88" s="12">
        <f>LOOKUP(402020700,[1]PlanCuentas!$A$2:$A$6092,[1]PlanCuentas!N$2:N$6092)</f>
        <v>0</v>
      </c>
      <c r="J88" s="12">
        <f>LOOKUP(402020800,[1]PlanCuentas!$A$2:$A$6092,[1]PlanCuentas!N$2:N$6092)</f>
        <v>0</v>
      </c>
      <c r="K88" s="12">
        <f>LOOKUP(402020900,[1]PlanCuentas!$A$2:$A$6092,[1]PlanCuentas!N$2:N$6092)</f>
        <v>0</v>
      </c>
      <c r="L88" s="12">
        <f>LOOKUP(402021000,[1]PlanCuentas!$A$2:$A$6092,[1]PlanCuentas!N$2:N$6092)</f>
        <v>0</v>
      </c>
      <c r="M88" s="12">
        <f>LOOKUP(402021100,[1]PlanCuentas!$A$2:$A$6092,[1]PlanCuentas!N$2:N$6092)</f>
        <v>0</v>
      </c>
      <c r="N88" s="12">
        <f>LOOKUP(402021200,[1]PlanCuentas!$A$2:$A$6092,[1]PlanCuentas!N$2:N$6092)</f>
        <v>0</v>
      </c>
      <c r="O88" s="12">
        <f>LOOKUP(402021300,[1]PlanCuentas!$A$2:$A$6092,[1]PlanCuentas!N$2:N$6092)</f>
        <v>0</v>
      </c>
      <c r="P88" s="12">
        <f>LOOKUP(402022000,[1]PlanCuentas!$A$2:$A$6092,[1]PlanCuentas!N$2:N$6092)</f>
        <v>0</v>
      </c>
      <c r="Q88" s="13">
        <f t="shared" si="4"/>
        <v>0</v>
      </c>
    </row>
    <row r="89" spans="1:17" x14ac:dyDescent="0.2">
      <c r="A89" s="10">
        <v>13</v>
      </c>
      <c r="B89" s="11" t="str">
        <f>[1]Aseguradoras!B14</f>
        <v>Fénix S.A de Seguros y Reaseguros</v>
      </c>
      <c r="C89" s="12">
        <f>LOOKUP(402020100,[1]PlanCuentas!$A$2:$A$6092,[1]PlanCuentas!O$2:O$6092)</f>
        <v>0</v>
      </c>
      <c r="D89" s="12">
        <f>LOOKUP(402020200,[1]PlanCuentas!$A$2:$A$6092,[1]PlanCuentas!O$2:O$6092)</f>
        <v>0</v>
      </c>
      <c r="E89" s="12">
        <f>LOOKUP(402020300,[1]PlanCuentas!$A$2:$A$6092,[1]PlanCuentas!O$2:O$6092)</f>
        <v>0</v>
      </c>
      <c r="F89" s="12">
        <f>LOOKUP(402020400,[1]PlanCuentas!$A$2:$A$6092,[1]PlanCuentas!O$2:O$6092)</f>
        <v>116922523</v>
      </c>
      <c r="G89" s="12">
        <f>LOOKUP(402020500,[1]PlanCuentas!$A$2:$A$6092,[1]PlanCuentas!O$2:O$6092)</f>
        <v>0</v>
      </c>
      <c r="H89" s="12">
        <f>LOOKUP(402020600,[1]PlanCuentas!$A$2:$A$6092,[1]PlanCuentas!O$2:O$6092)</f>
        <v>0</v>
      </c>
      <c r="I89" s="12">
        <f>LOOKUP(402020700,[1]PlanCuentas!$A$2:$A$6092,[1]PlanCuentas!O$2:O$6092)</f>
        <v>0</v>
      </c>
      <c r="J89" s="12">
        <f>LOOKUP(402020800,[1]PlanCuentas!$A$2:$A$6092,[1]PlanCuentas!O$2:O$6092)</f>
        <v>0</v>
      </c>
      <c r="K89" s="12">
        <f>LOOKUP(402020900,[1]PlanCuentas!$A$2:$A$6092,[1]PlanCuentas!O$2:O$6092)</f>
        <v>0</v>
      </c>
      <c r="L89" s="12">
        <f>LOOKUP(402021000,[1]PlanCuentas!$A$2:$A$6092,[1]PlanCuentas!O$2:O$6092)</f>
        <v>0</v>
      </c>
      <c r="M89" s="12">
        <f>LOOKUP(402021100,[1]PlanCuentas!$A$2:$A$6092,[1]PlanCuentas!O$2:O$6092)</f>
        <v>0</v>
      </c>
      <c r="N89" s="12">
        <f>LOOKUP(402021200,[1]PlanCuentas!$A$2:$A$6092,[1]PlanCuentas!O$2:O$6092)</f>
        <v>0</v>
      </c>
      <c r="O89" s="12">
        <f>LOOKUP(402021300,[1]PlanCuentas!$A$2:$A$6092,[1]PlanCuentas!O$2:O$6092)</f>
        <v>0</v>
      </c>
      <c r="P89" s="12">
        <f>LOOKUP(402022000,[1]PlanCuentas!$A$2:$A$6092,[1]PlanCuentas!O$2:O$6092)</f>
        <v>0</v>
      </c>
      <c r="Q89" s="13">
        <f t="shared" si="4"/>
        <v>116922523</v>
      </c>
    </row>
    <row r="90" spans="1:17" x14ac:dyDescent="0.2">
      <c r="A90" s="10">
        <v>14</v>
      </c>
      <c r="B90" s="11" t="str">
        <f>[1]Aseguradoras!B15</f>
        <v>Central S.A de Seguros</v>
      </c>
      <c r="C90" s="12">
        <f>LOOKUP(402020100,[1]PlanCuentas!$A$2:$A$6092,[1]PlanCuentas!P$2:P$6092)</f>
        <v>0</v>
      </c>
      <c r="D90" s="12">
        <f>LOOKUP(402020200,[1]PlanCuentas!$A$2:$A$6092,[1]PlanCuentas!P$2:P$6092)</f>
        <v>0</v>
      </c>
      <c r="E90" s="12">
        <f>LOOKUP(402020300,[1]PlanCuentas!$A$2:$A$6092,[1]PlanCuentas!P$2:P$6092)</f>
        <v>0</v>
      </c>
      <c r="F90" s="12">
        <f>LOOKUP(402020400,[1]PlanCuentas!$A$2:$A$6092,[1]PlanCuentas!P$2:P$6092)</f>
        <v>0</v>
      </c>
      <c r="G90" s="12">
        <f>LOOKUP(402020500,[1]PlanCuentas!$A$2:$A$6092,[1]PlanCuentas!P$2:P$6092)</f>
        <v>0</v>
      </c>
      <c r="H90" s="12">
        <f>LOOKUP(402020600,[1]PlanCuentas!$A$2:$A$6092,[1]PlanCuentas!P$2:P$6092)</f>
        <v>0</v>
      </c>
      <c r="I90" s="12">
        <f>LOOKUP(402020700,[1]PlanCuentas!$A$2:$A$6092,[1]PlanCuentas!P$2:P$6092)</f>
        <v>0</v>
      </c>
      <c r="J90" s="12">
        <f>LOOKUP(402020800,[1]PlanCuentas!$A$2:$A$6092,[1]PlanCuentas!P$2:P$6092)</f>
        <v>0</v>
      </c>
      <c r="K90" s="12">
        <f>LOOKUP(402020900,[1]PlanCuentas!$A$2:$A$6092,[1]PlanCuentas!P$2:P$6092)</f>
        <v>0</v>
      </c>
      <c r="L90" s="12">
        <f>LOOKUP(402021000,[1]PlanCuentas!$A$2:$A$6092,[1]PlanCuentas!P$2:P$6092)</f>
        <v>0</v>
      </c>
      <c r="M90" s="12">
        <f>LOOKUP(402021100,[1]PlanCuentas!$A$2:$A$6092,[1]PlanCuentas!P$2:P$6092)</f>
        <v>0</v>
      </c>
      <c r="N90" s="12">
        <f>LOOKUP(402021200,[1]PlanCuentas!$A$2:$A$6092,[1]PlanCuentas!P$2:P$6092)</f>
        <v>0</v>
      </c>
      <c r="O90" s="12">
        <f>LOOKUP(402021300,[1]PlanCuentas!$A$2:$A$6092,[1]PlanCuentas!P$2:P$6092)</f>
        <v>0</v>
      </c>
      <c r="P90" s="12">
        <f>LOOKUP(402022000,[1]PlanCuentas!$A$2:$A$6092,[1]PlanCuentas!P$2:P$6092)</f>
        <v>0</v>
      </c>
      <c r="Q90" s="13">
        <f t="shared" si="4"/>
        <v>0</v>
      </c>
    </row>
    <row r="91" spans="1:17" x14ac:dyDescent="0.2">
      <c r="A91" s="10">
        <v>15</v>
      </c>
      <c r="B91" s="11" t="str">
        <f>[1]Aseguradoras!B16</f>
        <v>Seguros Chaco S.A de Seguros y Reaseguros</v>
      </c>
      <c r="C91" s="12">
        <f>LOOKUP(402020100,[1]PlanCuentas!$A$2:$A$6092,[1]PlanCuentas!Q$2:Q$6092)</f>
        <v>0</v>
      </c>
      <c r="D91" s="12">
        <f>LOOKUP(402020200,[1]PlanCuentas!$A$2:$A$6092,[1]PlanCuentas!Q$2:Q$6092)</f>
        <v>0</v>
      </c>
      <c r="E91" s="12">
        <f>LOOKUP(402020300,[1]PlanCuentas!$A$2:$A$6092,[1]PlanCuentas!Q$2:Q$6092)</f>
        <v>0</v>
      </c>
      <c r="F91" s="12">
        <f>LOOKUP(402020400,[1]PlanCuentas!$A$2:$A$6092,[1]PlanCuentas!Q$2:Q$6092)</f>
        <v>0</v>
      </c>
      <c r="G91" s="12">
        <f>LOOKUP(402020500,[1]PlanCuentas!$A$2:$A$6092,[1]PlanCuentas!Q$2:Q$6092)</f>
        <v>0</v>
      </c>
      <c r="H91" s="12">
        <f>LOOKUP(402020600,[1]PlanCuentas!$A$2:$A$6092,[1]PlanCuentas!Q$2:Q$6092)</f>
        <v>0</v>
      </c>
      <c r="I91" s="12">
        <f>LOOKUP(402020700,[1]PlanCuentas!$A$2:$A$6092,[1]PlanCuentas!Q$2:Q$6092)</f>
        <v>0</v>
      </c>
      <c r="J91" s="12">
        <f>LOOKUP(402020800,[1]PlanCuentas!$A$2:$A$6092,[1]PlanCuentas!Q$2:Q$6092)</f>
        <v>0</v>
      </c>
      <c r="K91" s="12">
        <f>LOOKUP(402020900,[1]PlanCuentas!$A$2:$A$6092,[1]PlanCuentas!Q$2:Q$6092)</f>
        <v>0</v>
      </c>
      <c r="L91" s="12">
        <f>LOOKUP(402021000,[1]PlanCuentas!$A$2:$A$6092,[1]PlanCuentas!Q$2:Q$6092)</f>
        <v>0</v>
      </c>
      <c r="M91" s="12">
        <f>LOOKUP(402021100,[1]PlanCuentas!$A$2:$A$6092,[1]PlanCuentas!Q$2:Q$6092)</f>
        <v>0</v>
      </c>
      <c r="N91" s="12">
        <f>LOOKUP(402021200,[1]PlanCuentas!$A$2:$A$6092,[1]PlanCuentas!Q$2:Q$6092)</f>
        <v>0</v>
      </c>
      <c r="O91" s="12">
        <f>LOOKUP(402021300,[1]PlanCuentas!$A$2:$A$6092,[1]PlanCuentas!Q$2:Q$6092)</f>
        <v>0</v>
      </c>
      <c r="P91" s="12">
        <f>LOOKUP(402022000,[1]PlanCuentas!$A$2:$A$6092,[1]PlanCuentas!Q$2:Q$6092)</f>
        <v>0</v>
      </c>
      <c r="Q91" s="13">
        <f t="shared" si="4"/>
        <v>0</v>
      </c>
    </row>
    <row r="92" spans="1:17" x14ac:dyDescent="0.2">
      <c r="A92" s="10">
        <v>16</v>
      </c>
      <c r="B92" s="11" t="str">
        <f>[1]Aseguradoras!B17</f>
        <v>El Sol Del Paraguay Compañía de Seguros y Reaseguros S.A.</v>
      </c>
      <c r="C92" s="12">
        <f>LOOKUP(402020100,[1]PlanCuentas!$A$2:$A$6092,[1]PlanCuentas!R$2:R$6092)</f>
        <v>0</v>
      </c>
      <c r="D92" s="12">
        <f>LOOKUP(402020200,[1]PlanCuentas!$A$2:$A$6092,[1]PlanCuentas!R$2:R$6092)</f>
        <v>0</v>
      </c>
      <c r="E92" s="12">
        <f>LOOKUP(402020300,[1]PlanCuentas!$A$2:$A$6092,[1]PlanCuentas!R$2:R$6092)</f>
        <v>0</v>
      </c>
      <c r="F92" s="12">
        <f>LOOKUP(402020400,[1]PlanCuentas!$A$2:$A$6092,[1]PlanCuentas!R$2:R$6092)</f>
        <v>1443829</v>
      </c>
      <c r="G92" s="12">
        <f>LOOKUP(402020500,[1]PlanCuentas!$A$2:$A$6092,[1]PlanCuentas!R$2:R$6092)</f>
        <v>0</v>
      </c>
      <c r="H92" s="12">
        <f>LOOKUP(402020600,[1]PlanCuentas!$A$2:$A$6092,[1]PlanCuentas!R$2:R$6092)</f>
        <v>0</v>
      </c>
      <c r="I92" s="12">
        <f>LOOKUP(402020700,[1]PlanCuentas!$A$2:$A$6092,[1]PlanCuentas!R$2:R$6092)</f>
        <v>0</v>
      </c>
      <c r="J92" s="12">
        <f>LOOKUP(402020800,[1]PlanCuentas!$A$2:$A$6092,[1]PlanCuentas!R$2:R$6092)</f>
        <v>0</v>
      </c>
      <c r="K92" s="12">
        <f>LOOKUP(402020900,[1]PlanCuentas!$A$2:$A$6092,[1]PlanCuentas!R$2:R$6092)</f>
        <v>0</v>
      </c>
      <c r="L92" s="12">
        <f>LOOKUP(402021000,[1]PlanCuentas!$A$2:$A$6092,[1]PlanCuentas!R$2:R$6092)</f>
        <v>0</v>
      </c>
      <c r="M92" s="12">
        <f>LOOKUP(402021100,[1]PlanCuentas!$A$2:$A$6092,[1]PlanCuentas!R$2:R$6092)</f>
        <v>0</v>
      </c>
      <c r="N92" s="12">
        <f>LOOKUP(402021200,[1]PlanCuentas!$A$2:$A$6092,[1]PlanCuentas!R$2:R$6092)</f>
        <v>0</v>
      </c>
      <c r="O92" s="12">
        <f>LOOKUP(402021300,[1]PlanCuentas!$A$2:$A$6092,[1]PlanCuentas!R$2:R$6092)</f>
        <v>0</v>
      </c>
      <c r="P92" s="12">
        <f>LOOKUP(402022000,[1]PlanCuentas!$A$2:$A$6092,[1]PlanCuentas!R$2:R$6092)</f>
        <v>0</v>
      </c>
      <c r="Q92" s="13">
        <f t="shared" si="4"/>
        <v>1443829</v>
      </c>
    </row>
    <row r="93" spans="1:17" x14ac:dyDescent="0.2">
      <c r="A93" s="10">
        <v>17</v>
      </c>
      <c r="B93" s="11" t="str">
        <f>[1]Aseguradoras!B18</f>
        <v>Intercontinental de Seguros y Reaseguros S.A.</v>
      </c>
      <c r="C93" s="12">
        <f>LOOKUP(402020100,[1]PlanCuentas!$A$2:$A$6092,[1]PlanCuentas!S$2:S$6092)</f>
        <v>0</v>
      </c>
      <c r="D93" s="12">
        <f>LOOKUP(402020200,[1]PlanCuentas!$A$2:$A$6092,[1]PlanCuentas!S$2:S$6092)</f>
        <v>0</v>
      </c>
      <c r="E93" s="12">
        <f>LOOKUP(402020300,[1]PlanCuentas!$A$2:$A$6092,[1]PlanCuentas!S$2:S$6092)</f>
        <v>0</v>
      </c>
      <c r="F93" s="12">
        <f>LOOKUP(402020400,[1]PlanCuentas!$A$2:$A$6092,[1]PlanCuentas!S$2:S$6092)</f>
        <v>0</v>
      </c>
      <c r="G93" s="12">
        <f>LOOKUP(402020500,[1]PlanCuentas!$A$2:$A$6092,[1]PlanCuentas!S$2:S$6092)</f>
        <v>0</v>
      </c>
      <c r="H93" s="12">
        <f>LOOKUP(402020600,[1]PlanCuentas!$A$2:$A$6092,[1]PlanCuentas!S$2:S$6092)</f>
        <v>0</v>
      </c>
      <c r="I93" s="12">
        <f>LOOKUP(402020700,[1]PlanCuentas!$A$2:$A$6092,[1]PlanCuentas!S$2:S$6092)</f>
        <v>0</v>
      </c>
      <c r="J93" s="12">
        <f>LOOKUP(402020800,[1]PlanCuentas!$A$2:$A$6092,[1]PlanCuentas!S$2:S$6092)</f>
        <v>0</v>
      </c>
      <c r="K93" s="12">
        <f>LOOKUP(402020900,[1]PlanCuentas!$A$2:$A$6092,[1]PlanCuentas!S$2:S$6092)</f>
        <v>0</v>
      </c>
      <c r="L93" s="12">
        <f>LOOKUP(402021000,[1]PlanCuentas!$A$2:$A$6092,[1]PlanCuentas!S$2:S$6092)</f>
        <v>0</v>
      </c>
      <c r="M93" s="12">
        <f>LOOKUP(402021100,[1]PlanCuentas!$A$2:$A$6092,[1]PlanCuentas!S$2:S$6092)</f>
        <v>0</v>
      </c>
      <c r="N93" s="12">
        <f>LOOKUP(402021200,[1]PlanCuentas!$A$2:$A$6092,[1]PlanCuentas!S$2:S$6092)</f>
        <v>0</v>
      </c>
      <c r="O93" s="12">
        <f>LOOKUP(402021300,[1]PlanCuentas!$A$2:$A$6092,[1]PlanCuentas!S$2:S$6092)</f>
        <v>499999</v>
      </c>
      <c r="P93" s="12">
        <f>LOOKUP(402022000,[1]PlanCuentas!$A$2:$A$6092,[1]PlanCuentas!S$2:S$6092)</f>
        <v>0</v>
      </c>
      <c r="Q93" s="13">
        <f t="shared" si="4"/>
        <v>499999</v>
      </c>
    </row>
    <row r="94" spans="1:17" x14ac:dyDescent="0.2">
      <c r="A94" s="10">
        <v>18</v>
      </c>
      <c r="B94" s="11" t="str">
        <f>[1]Aseguradoras!B19</f>
        <v>Seguridad S.A Compañía de Seguros</v>
      </c>
      <c r="C94" s="12">
        <f>LOOKUP(402020100,[1]PlanCuentas!$A$2:$A$6092,[1]PlanCuentas!T$2:T$6092)</f>
        <v>0</v>
      </c>
      <c r="D94" s="12">
        <f>LOOKUP(402020200,[1]PlanCuentas!$A$2:$A$6092,[1]PlanCuentas!T$2:T$6092)</f>
        <v>0</v>
      </c>
      <c r="E94" s="12">
        <f>LOOKUP(402020300,[1]PlanCuentas!$A$2:$A$6092,[1]PlanCuentas!T$2:T$6092)</f>
        <v>0</v>
      </c>
      <c r="F94" s="12">
        <f>LOOKUP(402020400,[1]PlanCuentas!$A$2:$A$6092,[1]PlanCuentas!T$2:T$6092)</f>
        <v>0</v>
      </c>
      <c r="G94" s="12">
        <f>LOOKUP(402020500,[1]PlanCuentas!$A$2:$A$6092,[1]PlanCuentas!T$2:T$6092)</f>
        <v>0</v>
      </c>
      <c r="H94" s="12">
        <f>LOOKUP(402020600,[1]PlanCuentas!$A$2:$A$6092,[1]PlanCuentas!T$2:T$6092)</f>
        <v>0</v>
      </c>
      <c r="I94" s="12">
        <f>LOOKUP(402020700,[1]PlanCuentas!$A$2:$A$6092,[1]PlanCuentas!T$2:T$6092)</f>
        <v>0</v>
      </c>
      <c r="J94" s="12">
        <f>LOOKUP(402020800,[1]PlanCuentas!$A$2:$A$6092,[1]PlanCuentas!T$2:T$6092)</f>
        <v>0</v>
      </c>
      <c r="K94" s="12">
        <f>LOOKUP(402020900,[1]PlanCuentas!$A$2:$A$6092,[1]PlanCuentas!T$2:T$6092)</f>
        <v>0</v>
      </c>
      <c r="L94" s="12">
        <f>LOOKUP(402021000,[1]PlanCuentas!$A$2:$A$6092,[1]PlanCuentas!T$2:T$6092)</f>
        <v>0</v>
      </c>
      <c r="M94" s="12">
        <f>LOOKUP(402021100,[1]PlanCuentas!$A$2:$A$6092,[1]PlanCuentas!T$2:T$6092)</f>
        <v>0</v>
      </c>
      <c r="N94" s="12">
        <f>LOOKUP(402021200,[1]PlanCuentas!$A$2:$A$6092,[1]PlanCuentas!T$2:T$6092)</f>
        <v>0</v>
      </c>
      <c r="O94" s="12">
        <f>LOOKUP(402021300,[1]PlanCuentas!$A$2:$A$6092,[1]PlanCuentas!T$2:T$6092)</f>
        <v>0</v>
      </c>
      <c r="P94" s="12">
        <f>LOOKUP(402022000,[1]PlanCuentas!$A$2:$A$6092,[1]PlanCuentas!T$2:T$6092)</f>
        <v>0</v>
      </c>
      <c r="Q94" s="13">
        <f t="shared" si="4"/>
        <v>0</v>
      </c>
    </row>
    <row r="95" spans="1:17" x14ac:dyDescent="0.2">
      <c r="A95" s="10">
        <v>19</v>
      </c>
      <c r="B95" s="11" t="str">
        <f>[1]Aseguradoras!B20</f>
        <v>Universo de Seguros y Reaseguros S.A.</v>
      </c>
      <c r="C95" s="12">
        <f>LOOKUP(402020100,[1]PlanCuentas!$A$2:$A$6092,[1]PlanCuentas!U$2:U$6092)</f>
        <v>0</v>
      </c>
      <c r="D95" s="12">
        <f>LOOKUP(402020200,[1]PlanCuentas!$A$2:$A$6092,[1]PlanCuentas!U$2:U$6092)</f>
        <v>0</v>
      </c>
      <c r="E95" s="12">
        <f>LOOKUP(402020300,[1]PlanCuentas!$A$2:$A$6092,[1]PlanCuentas!U$2:U$6092)</f>
        <v>0</v>
      </c>
      <c r="F95" s="12">
        <f>LOOKUP(402020400,[1]PlanCuentas!$A$2:$A$6092,[1]PlanCuentas!U$2:U$6092)</f>
        <v>0</v>
      </c>
      <c r="G95" s="12">
        <f>LOOKUP(402020500,[1]PlanCuentas!$A$2:$A$6092,[1]PlanCuentas!U$2:U$6092)</f>
        <v>0</v>
      </c>
      <c r="H95" s="12">
        <f>LOOKUP(402020600,[1]PlanCuentas!$A$2:$A$6092,[1]PlanCuentas!U$2:U$6092)</f>
        <v>0</v>
      </c>
      <c r="I95" s="12">
        <f>LOOKUP(402020700,[1]PlanCuentas!$A$2:$A$6092,[1]PlanCuentas!U$2:U$6092)</f>
        <v>0</v>
      </c>
      <c r="J95" s="12">
        <f>LOOKUP(402020800,[1]PlanCuentas!$A$2:$A$6092,[1]PlanCuentas!U$2:U$6092)</f>
        <v>0</v>
      </c>
      <c r="K95" s="12">
        <f>LOOKUP(402020900,[1]PlanCuentas!$A$2:$A$6092,[1]PlanCuentas!U$2:U$6092)</f>
        <v>0</v>
      </c>
      <c r="L95" s="12">
        <f>LOOKUP(402021000,[1]PlanCuentas!$A$2:$A$6092,[1]PlanCuentas!U$2:U$6092)</f>
        <v>0</v>
      </c>
      <c r="M95" s="12">
        <f>LOOKUP(402021100,[1]PlanCuentas!$A$2:$A$6092,[1]PlanCuentas!U$2:U$6092)</f>
        <v>0</v>
      </c>
      <c r="N95" s="12">
        <f>LOOKUP(402021200,[1]PlanCuentas!$A$2:$A$6092,[1]PlanCuentas!U$2:U$6092)</f>
        <v>0</v>
      </c>
      <c r="O95" s="12">
        <f>LOOKUP(402021300,[1]PlanCuentas!$A$2:$A$6092,[1]PlanCuentas!U$2:U$6092)</f>
        <v>0</v>
      </c>
      <c r="P95" s="12">
        <f>LOOKUP(402022000,[1]PlanCuentas!$A$2:$A$6092,[1]PlanCuentas!U$2:U$6092)</f>
        <v>0</v>
      </c>
      <c r="Q95" s="13">
        <f t="shared" si="4"/>
        <v>0</v>
      </c>
    </row>
    <row r="96" spans="1:17" x14ac:dyDescent="0.2">
      <c r="A96" s="10">
        <v>20</v>
      </c>
      <c r="B96" s="11" t="str">
        <f>[1]Aseguradoras!B21</f>
        <v>Aseguradora Yacyreta S.A de Seguros y Reaseguros</v>
      </c>
      <c r="C96" s="12">
        <f>LOOKUP(402020100,[1]PlanCuentas!$A$2:$A$6092,[1]PlanCuentas!V$2:V$6092)</f>
        <v>0</v>
      </c>
      <c r="D96" s="12">
        <f>LOOKUP(402020200,[1]PlanCuentas!$A$2:$A$6092,[1]PlanCuentas!V$2:V$6092)</f>
        <v>0</v>
      </c>
      <c r="E96" s="12">
        <f>LOOKUP(402020300,[1]PlanCuentas!$A$2:$A$6092,[1]PlanCuentas!V$2:V$6092)</f>
        <v>0</v>
      </c>
      <c r="F96" s="12">
        <f>LOOKUP(402020400,[1]PlanCuentas!$A$2:$A$6092,[1]PlanCuentas!V$2:V$6092)</f>
        <v>0</v>
      </c>
      <c r="G96" s="12">
        <f>LOOKUP(402020500,[1]PlanCuentas!$A$2:$A$6092,[1]PlanCuentas!V$2:V$6092)</f>
        <v>0</v>
      </c>
      <c r="H96" s="12">
        <f>LOOKUP(402020600,[1]PlanCuentas!$A$2:$A$6092,[1]PlanCuentas!V$2:V$6092)</f>
        <v>0</v>
      </c>
      <c r="I96" s="12">
        <f>LOOKUP(402020700,[1]PlanCuentas!$A$2:$A$6092,[1]PlanCuentas!V$2:V$6092)</f>
        <v>0</v>
      </c>
      <c r="J96" s="12">
        <f>LOOKUP(402020800,[1]PlanCuentas!$A$2:$A$6092,[1]PlanCuentas!V$2:V$6092)</f>
        <v>0</v>
      </c>
      <c r="K96" s="12">
        <f>LOOKUP(402020900,[1]PlanCuentas!$A$2:$A$6092,[1]PlanCuentas!V$2:V$6092)</f>
        <v>0</v>
      </c>
      <c r="L96" s="12">
        <f>LOOKUP(402021000,[1]PlanCuentas!$A$2:$A$6092,[1]PlanCuentas!V$2:V$6092)</f>
        <v>0</v>
      </c>
      <c r="M96" s="12">
        <f>LOOKUP(402021100,[1]PlanCuentas!$A$2:$A$6092,[1]PlanCuentas!V$2:V$6092)</f>
        <v>0</v>
      </c>
      <c r="N96" s="12">
        <f>LOOKUP(402021200,[1]PlanCuentas!$A$2:$A$6092,[1]PlanCuentas!V$2:V$6092)</f>
        <v>0</v>
      </c>
      <c r="O96" s="12">
        <f>LOOKUP(402021300,[1]PlanCuentas!$A$2:$A$6092,[1]PlanCuentas!V$2:V$6092)</f>
        <v>0</v>
      </c>
      <c r="P96" s="12">
        <f>LOOKUP(402022000,[1]PlanCuentas!$A$2:$A$6092,[1]PlanCuentas!V$2:V$6092)</f>
        <v>0</v>
      </c>
      <c r="Q96" s="13">
        <f t="shared" si="4"/>
        <v>0</v>
      </c>
    </row>
    <row r="97" spans="1:17" x14ac:dyDescent="0.2">
      <c r="A97" s="10">
        <v>21</v>
      </c>
      <c r="B97" s="11" t="str">
        <f>[1]Aseguradoras!B22</f>
        <v>La Agricola S.A de Seguros y Reaseguros</v>
      </c>
      <c r="C97" s="12">
        <f>LOOKUP(402020100,[1]PlanCuentas!$A$2:$A$6092,[1]PlanCuentas!W$2:W$6092)</f>
        <v>0</v>
      </c>
      <c r="D97" s="12">
        <f>LOOKUP(402020200,[1]PlanCuentas!$A$2:$A$6092,[1]PlanCuentas!W$2:W$6092)</f>
        <v>0</v>
      </c>
      <c r="E97" s="12">
        <f>LOOKUP(402020300,[1]PlanCuentas!$A$2:$A$6092,[1]PlanCuentas!W$2:W$6092)</f>
        <v>0</v>
      </c>
      <c r="F97" s="12">
        <f>LOOKUP(402020400,[1]PlanCuentas!$A$2:$A$6092,[1]PlanCuentas!W$2:W$6092)</f>
        <v>145146</v>
      </c>
      <c r="G97" s="12">
        <f>LOOKUP(402020500,[1]PlanCuentas!$A$2:$A$6092,[1]PlanCuentas!W$2:W$6092)</f>
        <v>0</v>
      </c>
      <c r="H97" s="12">
        <f>LOOKUP(402020600,[1]PlanCuentas!$A$2:$A$6092,[1]PlanCuentas!W$2:W$6092)</f>
        <v>0</v>
      </c>
      <c r="I97" s="12">
        <f>LOOKUP(402020700,[1]PlanCuentas!$A$2:$A$6092,[1]PlanCuentas!W$2:W$6092)</f>
        <v>0</v>
      </c>
      <c r="J97" s="12">
        <f>LOOKUP(402020800,[1]PlanCuentas!$A$2:$A$6092,[1]PlanCuentas!W$2:W$6092)</f>
        <v>0</v>
      </c>
      <c r="K97" s="12">
        <f>LOOKUP(402020900,[1]PlanCuentas!$A$2:$A$6092,[1]PlanCuentas!W$2:W$6092)</f>
        <v>0</v>
      </c>
      <c r="L97" s="12">
        <f>LOOKUP(402021000,[1]PlanCuentas!$A$2:$A$6092,[1]PlanCuentas!W$2:W$6092)</f>
        <v>0</v>
      </c>
      <c r="M97" s="12">
        <f>LOOKUP(402021100,[1]PlanCuentas!$A$2:$A$6092,[1]PlanCuentas!W$2:W$6092)</f>
        <v>0</v>
      </c>
      <c r="N97" s="12">
        <f>LOOKUP(402021200,[1]PlanCuentas!$A$2:$A$6092,[1]PlanCuentas!W$2:W$6092)</f>
        <v>0</v>
      </c>
      <c r="O97" s="12">
        <f>LOOKUP(402021300,[1]PlanCuentas!$A$2:$A$6092,[1]PlanCuentas!W$2:W$6092)</f>
        <v>0</v>
      </c>
      <c r="P97" s="12">
        <f>LOOKUP(402022000,[1]PlanCuentas!$A$2:$A$6092,[1]PlanCuentas!W$2:W$6092)</f>
        <v>0</v>
      </c>
      <c r="Q97" s="13">
        <f t="shared" si="4"/>
        <v>145146</v>
      </c>
    </row>
    <row r="98" spans="1:17" x14ac:dyDescent="0.2">
      <c r="A98" s="10">
        <v>22</v>
      </c>
      <c r="B98" s="11" t="str">
        <f>[1]Aseguradoras!B23</f>
        <v>Grupo General de Seguros y Reaseguros S.A.</v>
      </c>
      <c r="C98" s="12">
        <f>LOOKUP(402020100,[1]PlanCuentas!$A$2:$A$6092,[1]PlanCuentas!X$2:X$6092)</f>
        <v>25426730</v>
      </c>
      <c r="D98" s="12">
        <f>LOOKUP(402020200,[1]PlanCuentas!$A$2:$A$6092,[1]PlanCuentas!X$2:X$6092)</f>
        <v>0</v>
      </c>
      <c r="E98" s="12">
        <f>LOOKUP(402020300,[1]PlanCuentas!$A$2:$A$6092,[1]PlanCuentas!X$2:X$6092)</f>
        <v>0</v>
      </c>
      <c r="F98" s="12">
        <f>LOOKUP(402020400,[1]PlanCuentas!$A$2:$A$6092,[1]PlanCuentas!X$2:X$6092)</f>
        <v>1967671</v>
      </c>
      <c r="G98" s="12">
        <f>LOOKUP(402020500,[1]PlanCuentas!$A$2:$A$6092,[1]PlanCuentas!X$2:X$6092)</f>
        <v>0</v>
      </c>
      <c r="H98" s="12">
        <f>LOOKUP(402020600,[1]PlanCuentas!$A$2:$A$6092,[1]PlanCuentas!X$2:X$6092)</f>
        <v>37500000</v>
      </c>
      <c r="I98" s="12">
        <f>LOOKUP(402020700,[1]PlanCuentas!$A$2:$A$6092,[1]PlanCuentas!X$2:X$6092)</f>
        <v>0</v>
      </c>
      <c r="J98" s="12">
        <f>LOOKUP(402020800,[1]PlanCuentas!$A$2:$A$6092,[1]PlanCuentas!X$2:X$6092)</f>
        <v>0</v>
      </c>
      <c r="K98" s="12">
        <f>LOOKUP(402020900,[1]PlanCuentas!$A$2:$A$6092,[1]PlanCuentas!X$2:X$6092)</f>
        <v>0</v>
      </c>
      <c r="L98" s="12">
        <f>LOOKUP(402021000,[1]PlanCuentas!$A$2:$A$6092,[1]PlanCuentas!X$2:X$6092)</f>
        <v>0</v>
      </c>
      <c r="M98" s="12">
        <f>LOOKUP(402021100,[1]PlanCuentas!$A$2:$A$6092,[1]PlanCuentas!X$2:X$6092)</f>
        <v>0</v>
      </c>
      <c r="N98" s="12">
        <f>LOOKUP(402021200,[1]PlanCuentas!$A$2:$A$6092,[1]PlanCuentas!X$2:X$6092)</f>
        <v>0</v>
      </c>
      <c r="O98" s="12">
        <f>LOOKUP(402021300,[1]PlanCuentas!$A$2:$A$6092,[1]PlanCuentas!X$2:X$6092)</f>
        <v>0</v>
      </c>
      <c r="P98" s="12">
        <f>LOOKUP(402022000,[1]PlanCuentas!$A$2:$A$6092,[1]PlanCuentas!X$2:X$6092)</f>
        <v>0</v>
      </c>
      <c r="Q98" s="13">
        <f t="shared" si="4"/>
        <v>64894401</v>
      </c>
    </row>
    <row r="99" spans="1:17" x14ac:dyDescent="0.2">
      <c r="A99" s="10">
        <v>23</v>
      </c>
      <c r="B99" s="11" t="str">
        <f>[1]Aseguradoras!B24</f>
        <v>Alfa S.A de Seguros y Reaseguros</v>
      </c>
      <c r="C99" s="12">
        <f>LOOKUP(402020100,[1]PlanCuentas!$A$2:$A$6092,[1]PlanCuentas!Y$2:Y$6092)</f>
        <v>4637473</v>
      </c>
      <c r="D99" s="12">
        <f>LOOKUP(402020200,[1]PlanCuentas!$A$2:$A$6092,[1]PlanCuentas!Y$2:Y$6092)</f>
        <v>1150000</v>
      </c>
      <c r="E99" s="12">
        <f>LOOKUP(402020300,[1]PlanCuentas!$A$2:$A$6092,[1]PlanCuentas!Y$2:Y$6092)</f>
        <v>98628</v>
      </c>
      <c r="F99" s="12">
        <f>LOOKUP(402020400,[1]PlanCuentas!$A$2:$A$6092,[1]PlanCuentas!Y$2:Y$6092)</f>
        <v>180601801</v>
      </c>
      <c r="G99" s="12">
        <f>LOOKUP(402020500,[1]PlanCuentas!$A$2:$A$6092,[1]PlanCuentas!Y$2:Y$6092)</f>
        <v>0</v>
      </c>
      <c r="H99" s="12">
        <f>LOOKUP(402020600,[1]PlanCuentas!$A$2:$A$6092,[1]PlanCuentas!Y$2:Y$6092)</f>
        <v>3492521</v>
      </c>
      <c r="I99" s="12">
        <f>LOOKUP(402020700,[1]PlanCuentas!$A$2:$A$6092,[1]PlanCuentas!Y$2:Y$6092)</f>
        <v>0</v>
      </c>
      <c r="J99" s="12">
        <f>LOOKUP(402020800,[1]PlanCuentas!$A$2:$A$6092,[1]PlanCuentas!Y$2:Y$6092)</f>
        <v>0</v>
      </c>
      <c r="K99" s="12">
        <f>LOOKUP(402020900,[1]PlanCuentas!$A$2:$A$6092,[1]PlanCuentas!Y$2:Y$6092)</f>
        <v>343397</v>
      </c>
      <c r="L99" s="12">
        <f>LOOKUP(402021000,[1]PlanCuentas!$A$2:$A$6092,[1]PlanCuentas!Y$2:Y$6092)</f>
        <v>18284</v>
      </c>
      <c r="M99" s="12">
        <f>LOOKUP(402021100,[1]PlanCuentas!$A$2:$A$6092,[1]PlanCuentas!Y$2:Y$6092)</f>
        <v>0</v>
      </c>
      <c r="N99" s="12">
        <f>LOOKUP(402021200,[1]PlanCuentas!$A$2:$A$6092,[1]PlanCuentas!Y$2:Y$6092)</f>
        <v>0</v>
      </c>
      <c r="O99" s="12">
        <f>LOOKUP(402021300,[1]PlanCuentas!$A$2:$A$6092,[1]PlanCuentas!Y$2:Y$6092)</f>
        <v>778235</v>
      </c>
      <c r="P99" s="12">
        <f>LOOKUP(402022000,[1]PlanCuentas!$A$2:$A$6092,[1]PlanCuentas!Y$2:Y$6092)</f>
        <v>0</v>
      </c>
      <c r="Q99" s="13">
        <f t="shared" si="4"/>
        <v>191120339</v>
      </c>
    </row>
    <row r="100" spans="1:17" x14ac:dyDescent="0.2">
      <c r="A100" s="10">
        <v>24</v>
      </c>
      <c r="B100" s="11" t="str">
        <f>[1]Aseguradoras!B25</f>
        <v>Cenit de Seguros S.A.</v>
      </c>
      <c r="C100" s="12">
        <f>LOOKUP(402020100,[1]PlanCuentas!$A$2:$A$6092,[1]PlanCuentas!Z$2:Z$6092)</f>
        <v>0</v>
      </c>
      <c r="D100" s="12">
        <f>LOOKUP(402020200,[1]PlanCuentas!$A$2:$A$6092,[1]PlanCuentas!Z$2:Z$6092)</f>
        <v>0</v>
      </c>
      <c r="E100" s="12">
        <f>LOOKUP(402020300,[1]PlanCuentas!$A$2:$A$6092,[1]PlanCuentas!Z$2:Z$6092)</f>
        <v>0</v>
      </c>
      <c r="F100" s="12">
        <f>LOOKUP(402020400,[1]PlanCuentas!$A$2:$A$6092,[1]PlanCuentas!Z$2:Z$6092)</f>
        <v>0</v>
      </c>
      <c r="G100" s="12">
        <f>LOOKUP(402020500,[1]PlanCuentas!$A$2:$A$6092,[1]PlanCuentas!Z$2:Z$6092)</f>
        <v>0</v>
      </c>
      <c r="H100" s="12">
        <f>LOOKUP(402020600,[1]PlanCuentas!$A$2:$A$6092,[1]PlanCuentas!Z$2:Z$6092)</f>
        <v>0</v>
      </c>
      <c r="I100" s="12">
        <f>LOOKUP(402020700,[1]PlanCuentas!$A$2:$A$6092,[1]PlanCuentas!Z$2:Z$6092)</f>
        <v>0</v>
      </c>
      <c r="J100" s="12">
        <f>LOOKUP(402020800,[1]PlanCuentas!$A$2:$A$6092,[1]PlanCuentas!Z$2:Z$6092)</f>
        <v>0</v>
      </c>
      <c r="K100" s="12">
        <f>LOOKUP(402020900,[1]PlanCuentas!$A$2:$A$6092,[1]PlanCuentas!Z$2:Z$6092)</f>
        <v>0</v>
      </c>
      <c r="L100" s="12">
        <f>LOOKUP(402021000,[1]PlanCuentas!$A$2:$A$6092,[1]PlanCuentas!Z$2:Z$6092)</f>
        <v>0</v>
      </c>
      <c r="M100" s="12">
        <f>LOOKUP(402021100,[1]PlanCuentas!$A$2:$A$6092,[1]PlanCuentas!Z$2:Z$6092)</f>
        <v>0</v>
      </c>
      <c r="N100" s="12">
        <f>LOOKUP(402021200,[1]PlanCuentas!$A$2:$A$6092,[1]PlanCuentas!Z$2:Z$6092)</f>
        <v>0</v>
      </c>
      <c r="O100" s="12">
        <f>LOOKUP(402021300,[1]PlanCuentas!$A$2:$A$6092,[1]PlanCuentas!Z$2:Z$6092)</f>
        <v>0</v>
      </c>
      <c r="P100" s="12">
        <f>LOOKUP(402022000,[1]PlanCuentas!$A$2:$A$6092,[1]PlanCuentas!Z$2:Z$6092)</f>
        <v>0</v>
      </c>
      <c r="Q100" s="13">
        <f t="shared" si="4"/>
        <v>0</v>
      </c>
    </row>
    <row r="101" spans="1:17" x14ac:dyDescent="0.2">
      <c r="A101" s="10">
        <v>25</v>
      </c>
      <c r="B101" s="11" t="str">
        <f>[1]Aseguradoras!B26</f>
        <v>La Meridional Paraguaya S.A de Seguros</v>
      </c>
      <c r="C101" s="12">
        <f>LOOKUP(402020100,[1]PlanCuentas!$A$2:$A$6092,[1]PlanCuentas!AA$2:AA$6092)</f>
        <v>126609</v>
      </c>
      <c r="D101" s="12">
        <f>LOOKUP(402020200,[1]PlanCuentas!$A$2:$A$6092,[1]PlanCuentas!AA$2:AA$6092)</f>
        <v>0</v>
      </c>
      <c r="E101" s="12">
        <f>LOOKUP(402020300,[1]PlanCuentas!$A$2:$A$6092,[1]PlanCuentas!AA$2:AA$6092)</f>
        <v>48925</v>
      </c>
      <c r="F101" s="12">
        <f>LOOKUP(402020400,[1]PlanCuentas!$A$2:$A$6092,[1]PlanCuentas!AA$2:AA$6092)</f>
        <v>330117666</v>
      </c>
      <c r="G101" s="12">
        <f>LOOKUP(402020500,[1]PlanCuentas!$A$2:$A$6092,[1]PlanCuentas!AA$2:AA$6092)</f>
        <v>0</v>
      </c>
      <c r="H101" s="12">
        <f>LOOKUP(402020600,[1]PlanCuentas!$A$2:$A$6092,[1]PlanCuentas!AA$2:AA$6092)</f>
        <v>61964</v>
      </c>
      <c r="I101" s="12">
        <f>LOOKUP(402020700,[1]PlanCuentas!$A$2:$A$6092,[1]PlanCuentas!AA$2:AA$6092)</f>
        <v>0</v>
      </c>
      <c r="J101" s="12">
        <f>LOOKUP(402020800,[1]PlanCuentas!$A$2:$A$6092,[1]PlanCuentas!AA$2:AA$6092)</f>
        <v>0</v>
      </c>
      <c r="K101" s="12">
        <f>LOOKUP(402020900,[1]PlanCuentas!$A$2:$A$6092,[1]PlanCuentas!AA$2:AA$6092)</f>
        <v>340293</v>
      </c>
      <c r="L101" s="12">
        <f>LOOKUP(402021000,[1]PlanCuentas!$A$2:$A$6092,[1]PlanCuentas!AA$2:AA$6092)</f>
        <v>20598</v>
      </c>
      <c r="M101" s="12">
        <f>LOOKUP(402021100,[1]PlanCuentas!$A$2:$A$6092,[1]PlanCuentas!AA$2:AA$6092)</f>
        <v>0</v>
      </c>
      <c r="N101" s="12">
        <f>LOOKUP(402021200,[1]PlanCuentas!$A$2:$A$6092,[1]PlanCuentas!AA$2:AA$6092)</f>
        <v>0</v>
      </c>
      <c r="O101" s="12">
        <f>LOOKUP(402021300,[1]PlanCuentas!$A$2:$A$6092,[1]PlanCuentas!AA$2:AA$6092)</f>
        <v>38545</v>
      </c>
      <c r="P101" s="12">
        <f>LOOKUP(402022000,[1]PlanCuentas!$A$2:$A$6092,[1]PlanCuentas!AA$2:AA$6092)</f>
        <v>0</v>
      </c>
      <c r="Q101" s="13">
        <f t="shared" si="4"/>
        <v>330754600</v>
      </c>
    </row>
    <row r="102" spans="1:17" x14ac:dyDescent="0.2">
      <c r="A102" s="10">
        <v>26</v>
      </c>
      <c r="B102" s="11" t="str">
        <f>[1]Aseguradoras!B27</f>
        <v>Aseguradora Del Este S.A de Seguros y Reaseguros</v>
      </c>
      <c r="C102" s="12">
        <f>LOOKUP(402020100,[1]PlanCuentas!$A$2:$A$6092,[1]PlanCuentas!AB$2:AB$6092)</f>
        <v>0</v>
      </c>
      <c r="D102" s="12">
        <f>LOOKUP(402020200,[1]PlanCuentas!$A$2:$A$6092,[1]PlanCuentas!AB$2:AB$6092)</f>
        <v>0</v>
      </c>
      <c r="E102" s="12">
        <f>LOOKUP(402020300,[1]PlanCuentas!$A$2:$A$6092,[1]PlanCuentas!AB$2:AB$6092)</f>
        <v>0</v>
      </c>
      <c r="F102" s="12">
        <f>LOOKUP(402020400,[1]PlanCuentas!$A$2:$A$6092,[1]PlanCuentas!AB$2:AB$6092)</f>
        <v>0</v>
      </c>
      <c r="G102" s="12">
        <f>LOOKUP(402020500,[1]PlanCuentas!$A$2:$A$6092,[1]PlanCuentas!AB$2:AB$6092)</f>
        <v>0</v>
      </c>
      <c r="H102" s="12">
        <f>LOOKUP(402020600,[1]PlanCuentas!$A$2:$A$6092,[1]PlanCuentas!AB$2:AB$6092)</f>
        <v>0</v>
      </c>
      <c r="I102" s="12">
        <f>LOOKUP(402020700,[1]PlanCuentas!$A$2:$A$6092,[1]PlanCuentas!AB$2:AB$6092)</f>
        <v>0</v>
      </c>
      <c r="J102" s="12">
        <f>LOOKUP(402020800,[1]PlanCuentas!$A$2:$A$6092,[1]PlanCuentas!AB$2:AB$6092)</f>
        <v>0</v>
      </c>
      <c r="K102" s="12">
        <f>LOOKUP(402020900,[1]PlanCuentas!$A$2:$A$6092,[1]PlanCuentas!AB$2:AB$6092)</f>
        <v>0</v>
      </c>
      <c r="L102" s="12">
        <f>LOOKUP(402021000,[1]PlanCuentas!$A$2:$A$6092,[1]PlanCuentas!AB$2:AB$6092)</f>
        <v>0</v>
      </c>
      <c r="M102" s="12">
        <f>LOOKUP(402021100,[1]PlanCuentas!$A$2:$A$6092,[1]PlanCuentas!AB$2:AB$6092)</f>
        <v>0</v>
      </c>
      <c r="N102" s="12">
        <f>LOOKUP(402021200,[1]PlanCuentas!$A$2:$A$6092,[1]PlanCuentas!AB$2:AB$6092)</f>
        <v>0</v>
      </c>
      <c r="O102" s="12">
        <f>LOOKUP(402021300,[1]PlanCuentas!$A$2:$A$6092,[1]PlanCuentas!AB$2:AB$6092)</f>
        <v>0</v>
      </c>
      <c r="P102" s="12">
        <f>LOOKUP(402022000,[1]PlanCuentas!$A$2:$A$6092,[1]PlanCuentas!AB$2:AB$6092)</f>
        <v>0</v>
      </c>
      <c r="Q102" s="13">
        <f t="shared" si="4"/>
        <v>0</v>
      </c>
    </row>
    <row r="103" spans="1:17" x14ac:dyDescent="0.2">
      <c r="A103" s="10">
        <v>27</v>
      </c>
      <c r="B103" s="11" t="str">
        <f>[1]Aseguradoras!B28</f>
        <v>Imperio S.A de Seguros y Reaseguros</v>
      </c>
      <c r="C103" s="12">
        <f>LOOKUP(402020100,[1]PlanCuentas!$A$2:$A$6092,[1]PlanCuentas!AC$2:AC$6092)</f>
        <v>0</v>
      </c>
      <c r="D103" s="12">
        <f>LOOKUP(402020200,[1]PlanCuentas!$A$2:$A$6092,[1]PlanCuentas!AC$2:AC$6092)</f>
        <v>0</v>
      </c>
      <c r="E103" s="12">
        <f>LOOKUP(402020300,[1]PlanCuentas!$A$2:$A$6092,[1]PlanCuentas!AC$2:AC$6092)</f>
        <v>0</v>
      </c>
      <c r="F103" s="12">
        <f>LOOKUP(402020400,[1]PlanCuentas!$A$2:$A$6092,[1]PlanCuentas!AC$2:AC$6092)</f>
        <v>0</v>
      </c>
      <c r="G103" s="12">
        <f>LOOKUP(402020500,[1]PlanCuentas!$A$2:$A$6092,[1]PlanCuentas!AC$2:AC$6092)</f>
        <v>0</v>
      </c>
      <c r="H103" s="12">
        <f>LOOKUP(402020600,[1]PlanCuentas!$A$2:$A$6092,[1]PlanCuentas!AC$2:AC$6092)</f>
        <v>0</v>
      </c>
      <c r="I103" s="12">
        <f>LOOKUP(402020700,[1]PlanCuentas!$A$2:$A$6092,[1]PlanCuentas!AC$2:AC$6092)</f>
        <v>0</v>
      </c>
      <c r="J103" s="12">
        <f>LOOKUP(402020800,[1]PlanCuentas!$A$2:$A$6092,[1]PlanCuentas!AC$2:AC$6092)</f>
        <v>0</v>
      </c>
      <c r="K103" s="12">
        <f>LOOKUP(402020900,[1]PlanCuentas!$A$2:$A$6092,[1]PlanCuentas!AC$2:AC$6092)</f>
        <v>0</v>
      </c>
      <c r="L103" s="12">
        <f>LOOKUP(402021000,[1]PlanCuentas!$A$2:$A$6092,[1]PlanCuentas!AC$2:AC$6092)</f>
        <v>0</v>
      </c>
      <c r="M103" s="12">
        <f>LOOKUP(402021100,[1]PlanCuentas!$A$2:$A$6092,[1]PlanCuentas!AC$2:AC$6092)</f>
        <v>0</v>
      </c>
      <c r="N103" s="12">
        <f>LOOKUP(402021200,[1]PlanCuentas!$A$2:$A$6092,[1]PlanCuentas!AC$2:AC$6092)</f>
        <v>0</v>
      </c>
      <c r="O103" s="12">
        <f>LOOKUP(402021300,[1]PlanCuentas!$A$2:$A$6092,[1]PlanCuentas!AC$2:AC$6092)</f>
        <v>0</v>
      </c>
      <c r="P103" s="12">
        <f>LOOKUP(402022000,[1]PlanCuentas!$A$2:$A$6092,[1]PlanCuentas!AC$2:AC$6092)</f>
        <v>0</v>
      </c>
      <c r="Q103" s="13">
        <f t="shared" si="4"/>
        <v>0</v>
      </c>
    </row>
    <row r="104" spans="1:17" x14ac:dyDescent="0.2">
      <c r="A104" s="10">
        <v>28</v>
      </c>
      <c r="B104" s="11" t="str">
        <f>[1]Aseguradoras!B29</f>
        <v>Regional S.A de Seguros y Reaseguros</v>
      </c>
      <c r="C104" s="12">
        <f>LOOKUP(402020100,[1]PlanCuentas!$A$2:$A$6092,[1]PlanCuentas!AD$2:AD$6092)</f>
        <v>0</v>
      </c>
      <c r="D104" s="12">
        <f>LOOKUP(402020200,[1]PlanCuentas!$A$2:$A$6092,[1]PlanCuentas!AD$2:AD$6092)</f>
        <v>0</v>
      </c>
      <c r="E104" s="12">
        <f>LOOKUP(402020300,[1]PlanCuentas!$A$2:$A$6092,[1]PlanCuentas!AD$2:AD$6092)</f>
        <v>0</v>
      </c>
      <c r="F104" s="12">
        <f>LOOKUP(402020400,[1]PlanCuentas!$A$2:$A$6092,[1]PlanCuentas!AD$2:AD$6092)</f>
        <v>0</v>
      </c>
      <c r="G104" s="12">
        <f>LOOKUP(402020500,[1]PlanCuentas!$A$2:$A$6092,[1]PlanCuentas!AD$2:AD$6092)</f>
        <v>0</v>
      </c>
      <c r="H104" s="12">
        <f>LOOKUP(402020600,[1]PlanCuentas!$A$2:$A$6092,[1]PlanCuentas!AD$2:AD$6092)</f>
        <v>0</v>
      </c>
      <c r="I104" s="12">
        <f>LOOKUP(402020700,[1]PlanCuentas!$A$2:$A$6092,[1]PlanCuentas!AD$2:AD$6092)</f>
        <v>0</v>
      </c>
      <c r="J104" s="12">
        <f>LOOKUP(402020800,[1]PlanCuentas!$A$2:$A$6092,[1]PlanCuentas!AD$2:AD$6092)</f>
        <v>0</v>
      </c>
      <c r="K104" s="12">
        <f>LOOKUP(402020900,[1]PlanCuentas!$A$2:$A$6092,[1]PlanCuentas!AD$2:AD$6092)</f>
        <v>0</v>
      </c>
      <c r="L104" s="12">
        <f>LOOKUP(402021000,[1]PlanCuentas!$A$2:$A$6092,[1]PlanCuentas!AD$2:AD$6092)</f>
        <v>0</v>
      </c>
      <c r="M104" s="12">
        <f>LOOKUP(402021100,[1]PlanCuentas!$A$2:$A$6092,[1]PlanCuentas!AD$2:AD$6092)</f>
        <v>0</v>
      </c>
      <c r="N104" s="12">
        <f>LOOKUP(402021200,[1]PlanCuentas!$A$2:$A$6092,[1]PlanCuentas!AD$2:AD$6092)</f>
        <v>0</v>
      </c>
      <c r="O104" s="12">
        <f>LOOKUP(402021300,[1]PlanCuentas!$A$2:$A$6092,[1]PlanCuentas!AD$2:AD$6092)</f>
        <v>0</v>
      </c>
      <c r="P104" s="12">
        <f>LOOKUP(402022000,[1]PlanCuentas!$A$2:$A$6092,[1]PlanCuentas!AD$2:AD$6092)</f>
        <v>0</v>
      </c>
      <c r="Q104" s="13">
        <f t="shared" si="4"/>
        <v>0</v>
      </c>
    </row>
    <row r="105" spans="1:17" x14ac:dyDescent="0.2">
      <c r="A105" s="10">
        <v>29</v>
      </c>
      <c r="B105" s="11" t="str">
        <f>[1]Aseguradoras!B30</f>
        <v>Mapfre Paraguay Compañía de Seguros S.A.</v>
      </c>
      <c r="C105" s="12">
        <f>LOOKUP(402020100,[1]PlanCuentas!$A$2:$A$6092,[1]PlanCuentas!AE$2:AE$6092)</f>
        <v>0</v>
      </c>
      <c r="D105" s="12">
        <f>LOOKUP(402020200,[1]PlanCuentas!$A$2:$A$6092,[1]PlanCuentas!AE$2:AE$6092)</f>
        <v>0</v>
      </c>
      <c r="E105" s="12">
        <f>LOOKUP(402020300,[1]PlanCuentas!$A$2:$A$6092,[1]PlanCuentas!AE$2:AE$6092)</f>
        <v>0</v>
      </c>
      <c r="F105" s="12">
        <f>LOOKUP(402020400,[1]PlanCuentas!$A$2:$A$6092,[1]PlanCuentas!AE$2:AE$6092)</f>
        <v>0</v>
      </c>
      <c r="G105" s="12">
        <f>LOOKUP(402020500,[1]PlanCuentas!$A$2:$A$6092,[1]PlanCuentas!AE$2:AE$6092)</f>
        <v>0</v>
      </c>
      <c r="H105" s="12">
        <f>LOOKUP(402020600,[1]PlanCuentas!$A$2:$A$6092,[1]PlanCuentas!AE$2:AE$6092)</f>
        <v>0</v>
      </c>
      <c r="I105" s="12">
        <f>LOOKUP(402020700,[1]PlanCuentas!$A$2:$A$6092,[1]PlanCuentas!AE$2:AE$6092)</f>
        <v>0</v>
      </c>
      <c r="J105" s="12">
        <f>LOOKUP(402020800,[1]PlanCuentas!$A$2:$A$6092,[1]PlanCuentas!AE$2:AE$6092)</f>
        <v>0</v>
      </c>
      <c r="K105" s="12">
        <f>LOOKUP(402020900,[1]PlanCuentas!$A$2:$A$6092,[1]PlanCuentas!AE$2:AE$6092)</f>
        <v>0</v>
      </c>
      <c r="L105" s="12">
        <f>LOOKUP(402021000,[1]PlanCuentas!$A$2:$A$6092,[1]PlanCuentas!AE$2:AE$6092)</f>
        <v>0</v>
      </c>
      <c r="M105" s="12">
        <f>LOOKUP(402021100,[1]PlanCuentas!$A$2:$A$6092,[1]PlanCuentas!AE$2:AE$6092)</f>
        <v>0</v>
      </c>
      <c r="N105" s="12">
        <f>LOOKUP(402021200,[1]PlanCuentas!$A$2:$A$6092,[1]PlanCuentas!AE$2:AE$6092)</f>
        <v>0</v>
      </c>
      <c r="O105" s="12">
        <f>LOOKUP(402021300,[1]PlanCuentas!$A$2:$A$6092,[1]PlanCuentas!AE$2:AE$6092)</f>
        <v>0</v>
      </c>
      <c r="P105" s="12">
        <f>LOOKUP(402022000,[1]PlanCuentas!$A$2:$A$6092,[1]PlanCuentas!AE$2:AE$6092)</f>
        <v>0</v>
      </c>
      <c r="Q105" s="13">
        <f t="shared" si="4"/>
        <v>0</v>
      </c>
    </row>
    <row r="106" spans="1:17" x14ac:dyDescent="0.2">
      <c r="A106" s="10">
        <v>30</v>
      </c>
      <c r="B106" s="11" t="str">
        <f>[1]Aseguradoras!B31</f>
        <v>Aseguradora Tajy Propiedad Cooperativa S.A. de Seguros</v>
      </c>
      <c r="C106" s="12">
        <f>LOOKUP(402020100,[1]PlanCuentas!$A$2:$A$6092,[1]PlanCuentas!AF$2:AF$6092)</f>
        <v>0</v>
      </c>
      <c r="D106" s="12">
        <f>LOOKUP(402020200,[1]PlanCuentas!$A$2:$A$6092,[1]PlanCuentas!AF$2:AF$6092)</f>
        <v>0</v>
      </c>
      <c r="E106" s="12">
        <f>LOOKUP(402020300,[1]PlanCuentas!$A$2:$A$6092,[1]PlanCuentas!AF$2:AF$6092)</f>
        <v>0</v>
      </c>
      <c r="F106" s="12">
        <f>LOOKUP(402020400,[1]PlanCuentas!$A$2:$A$6092,[1]PlanCuentas!AF$2:AF$6092)</f>
        <v>0</v>
      </c>
      <c r="G106" s="12">
        <f>LOOKUP(402020500,[1]PlanCuentas!$A$2:$A$6092,[1]PlanCuentas!AF$2:AF$6092)</f>
        <v>0</v>
      </c>
      <c r="H106" s="12">
        <f>LOOKUP(402020600,[1]PlanCuentas!$A$2:$A$6092,[1]PlanCuentas!AF$2:AF$6092)</f>
        <v>0</v>
      </c>
      <c r="I106" s="12">
        <f>LOOKUP(402020700,[1]PlanCuentas!$A$2:$A$6092,[1]PlanCuentas!AF$2:AF$6092)</f>
        <v>0</v>
      </c>
      <c r="J106" s="12">
        <f>LOOKUP(402020800,[1]PlanCuentas!$A$2:$A$6092,[1]PlanCuentas!AF$2:AF$6092)</f>
        <v>0</v>
      </c>
      <c r="K106" s="12">
        <f>LOOKUP(402020900,[1]PlanCuentas!$A$2:$A$6092,[1]PlanCuentas!AF$2:AF$6092)</f>
        <v>0</v>
      </c>
      <c r="L106" s="12">
        <f>LOOKUP(402021000,[1]PlanCuentas!$A$2:$A$6092,[1]PlanCuentas!AF$2:AF$6092)</f>
        <v>0</v>
      </c>
      <c r="M106" s="12">
        <f>LOOKUP(402021100,[1]PlanCuentas!$A$2:$A$6092,[1]PlanCuentas!AF$2:AF$6092)</f>
        <v>0</v>
      </c>
      <c r="N106" s="12">
        <f>LOOKUP(402021200,[1]PlanCuentas!$A$2:$A$6092,[1]PlanCuentas!AF$2:AF$6092)</f>
        <v>0</v>
      </c>
      <c r="O106" s="12">
        <f>LOOKUP(402021300,[1]PlanCuentas!$A$2:$A$6092,[1]PlanCuentas!AF$2:AF$6092)</f>
        <v>0</v>
      </c>
      <c r="P106" s="12">
        <f>LOOKUP(402022000,[1]PlanCuentas!$A$2:$A$6092,[1]PlanCuentas!AF$2:AF$6092)</f>
        <v>0</v>
      </c>
      <c r="Q106" s="13">
        <f t="shared" si="4"/>
        <v>0</v>
      </c>
    </row>
    <row r="107" spans="1:17" x14ac:dyDescent="0.2">
      <c r="A107" s="10">
        <v>31</v>
      </c>
      <c r="B107" s="11" t="str">
        <f>[1]Aseguradoras!B32</f>
        <v>Aseguradora del Sur S.A. Seguros Generales - ASUR</v>
      </c>
      <c r="C107" s="12">
        <f>LOOKUP(402020100,[1]PlanCuentas!$A$2:$A$6092,[1]PlanCuentas!AG$2:AG$6092)</f>
        <v>0</v>
      </c>
      <c r="D107" s="12">
        <f>LOOKUP(402020200,[1]PlanCuentas!$A$2:$A$6092,[1]PlanCuentas!AG$2:AG$6092)</f>
        <v>0</v>
      </c>
      <c r="E107" s="12">
        <f>LOOKUP(402020300,[1]PlanCuentas!$A$2:$A$6092,[1]PlanCuentas!AG$2:AG$6092)</f>
        <v>0</v>
      </c>
      <c r="F107" s="12">
        <f>LOOKUP(402020400,[1]PlanCuentas!$A$2:$A$6092,[1]PlanCuentas!AG$2:AG$6092)</f>
        <v>0</v>
      </c>
      <c r="G107" s="12">
        <f>LOOKUP(402020500,[1]PlanCuentas!$A$2:$A$6092,[1]PlanCuentas!AG$2:AG$6092)</f>
        <v>0</v>
      </c>
      <c r="H107" s="12">
        <f>LOOKUP(402020600,[1]PlanCuentas!$A$2:$A$6092,[1]PlanCuentas!AG$2:AG$6092)</f>
        <v>0</v>
      </c>
      <c r="I107" s="12">
        <f>LOOKUP(402020700,[1]PlanCuentas!$A$2:$A$6092,[1]PlanCuentas!AG$2:AG$6092)</f>
        <v>0</v>
      </c>
      <c r="J107" s="12">
        <f>LOOKUP(402020800,[1]PlanCuentas!$A$2:$A$6092,[1]PlanCuentas!AG$2:AG$6092)</f>
        <v>0</v>
      </c>
      <c r="K107" s="12">
        <f>LOOKUP(402020900,[1]PlanCuentas!$A$2:$A$6092,[1]PlanCuentas!AG$2:AG$6092)</f>
        <v>0</v>
      </c>
      <c r="L107" s="12">
        <f>LOOKUP(402021000,[1]PlanCuentas!$A$2:$A$6092,[1]PlanCuentas!AG$2:AG$6092)</f>
        <v>0</v>
      </c>
      <c r="M107" s="12">
        <f>LOOKUP(402021100,[1]PlanCuentas!$A$2:$A$6092,[1]PlanCuentas!AG$2:AG$6092)</f>
        <v>0</v>
      </c>
      <c r="N107" s="12">
        <f>LOOKUP(402021200,[1]PlanCuentas!$A$2:$A$6092,[1]PlanCuentas!AG$2:AG$6092)</f>
        <v>0</v>
      </c>
      <c r="O107" s="12">
        <f>LOOKUP(402021300,[1]PlanCuentas!$A$2:$A$6092,[1]PlanCuentas!AG$2:AG$6092)</f>
        <v>0</v>
      </c>
      <c r="P107" s="12">
        <f>LOOKUP(402022000,[1]PlanCuentas!$A$2:$A$6092,[1]PlanCuentas!AG$2:AG$6092)</f>
        <v>0</v>
      </c>
      <c r="Q107" s="13">
        <f t="shared" si="4"/>
        <v>0</v>
      </c>
    </row>
    <row r="108" spans="1:17" x14ac:dyDescent="0.2">
      <c r="A108" s="10">
        <v>32</v>
      </c>
      <c r="B108" s="11" t="str">
        <f>[1]Aseguradoras!B33</f>
        <v>Panal Compañía De Seguros Generales S.A.</v>
      </c>
      <c r="C108" s="12">
        <f>LOOKUP(402020100,[1]PlanCuentas!$A$2:$A$6092,[1]PlanCuentas!AH$2:AH$6092)</f>
        <v>0</v>
      </c>
      <c r="D108" s="12">
        <f>LOOKUP(402020200,[1]PlanCuentas!$A$2:$A$6092,[1]PlanCuentas!AH$2:AH$6092)</f>
        <v>0</v>
      </c>
      <c r="E108" s="12">
        <f>LOOKUP(402020300,[1]PlanCuentas!$A$2:$A$6092,[1]PlanCuentas!AH$2:AH$6092)</f>
        <v>0</v>
      </c>
      <c r="F108" s="12">
        <f>LOOKUP(402020400,[1]PlanCuentas!$A$2:$A$6092,[1]PlanCuentas!AH$2:AH$6092)</f>
        <v>0</v>
      </c>
      <c r="G108" s="12">
        <f>LOOKUP(402020500,[1]PlanCuentas!$A$2:$A$6092,[1]PlanCuentas!AH$2:AH$6092)</f>
        <v>0</v>
      </c>
      <c r="H108" s="12">
        <f>LOOKUP(402020600,[1]PlanCuentas!$A$2:$A$6092,[1]PlanCuentas!AH$2:AH$6092)</f>
        <v>0</v>
      </c>
      <c r="I108" s="12">
        <f>LOOKUP(402020700,[1]PlanCuentas!$A$2:$A$6092,[1]PlanCuentas!AH$2:AH$6092)</f>
        <v>0</v>
      </c>
      <c r="J108" s="12">
        <f>LOOKUP(402020800,[1]PlanCuentas!$A$2:$A$6092,[1]PlanCuentas!AH$2:AH$6092)</f>
        <v>0</v>
      </c>
      <c r="K108" s="12">
        <f>LOOKUP(402020900,[1]PlanCuentas!$A$2:$A$6092,[1]PlanCuentas!AH$2:AH$6092)</f>
        <v>0</v>
      </c>
      <c r="L108" s="12">
        <f>LOOKUP(402021000,[1]PlanCuentas!$A$2:$A$6092,[1]PlanCuentas!AH$2:AH$6092)</f>
        <v>0</v>
      </c>
      <c r="M108" s="12">
        <f>LOOKUP(402021100,[1]PlanCuentas!$A$2:$A$6092,[1]PlanCuentas!AH$2:AH$6092)</f>
        <v>0</v>
      </c>
      <c r="N108" s="12">
        <f>LOOKUP(402021200,[1]PlanCuentas!$A$2:$A$6092,[1]PlanCuentas!AH$2:AH$6092)</f>
        <v>0</v>
      </c>
      <c r="O108" s="12">
        <f>LOOKUP(402021300,[1]PlanCuentas!$A$2:$A$6092,[1]PlanCuentas!AH$2:AH$6092)</f>
        <v>0</v>
      </c>
      <c r="P108" s="12">
        <f>LOOKUP(402022000,[1]PlanCuentas!$A$2:$A$6092,[1]PlanCuentas!AH$2:AH$6092)</f>
        <v>0</v>
      </c>
      <c r="Q108" s="13">
        <f t="shared" si="4"/>
        <v>0</v>
      </c>
    </row>
    <row r="109" spans="1:17" x14ac:dyDescent="0.2">
      <c r="A109" s="10">
        <v>33</v>
      </c>
      <c r="B109" s="11" t="str">
        <f>[1]Aseguradoras!B34</f>
        <v>Sancor Seguros del Paraguay S.A.</v>
      </c>
      <c r="C109" s="12">
        <f>LOOKUP(402020100,[1]PlanCuentas!$A$2:$A$6092,[1]PlanCuentas!AI$2:AI$6092)</f>
        <v>0</v>
      </c>
      <c r="D109" s="12">
        <f>LOOKUP(402020200,[1]PlanCuentas!$A$2:$A$6092,[1]PlanCuentas!AI$2:AI$6092)</f>
        <v>0</v>
      </c>
      <c r="E109" s="12">
        <f>LOOKUP(402020300,[1]PlanCuentas!$A$2:$A$6092,[1]PlanCuentas!AI$2:AI$6092)</f>
        <v>0</v>
      </c>
      <c r="F109" s="12">
        <f>LOOKUP(402020400,[1]PlanCuentas!$A$2:$A$6092,[1]PlanCuentas!AI$2:AI$6092)</f>
        <v>0</v>
      </c>
      <c r="G109" s="12">
        <f>LOOKUP(402020500,[1]PlanCuentas!$A$2:$A$6092,[1]PlanCuentas!AI$2:AI$6092)</f>
        <v>0</v>
      </c>
      <c r="H109" s="12">
        <f>LOOKUP(402020600,[1]PlanCuentas!$A$2:$A$6092,[1]PlanCuentas!AI$2:AI$6092)</f>
        <v>0</v>
      </c>
      <c r="I109" s="12">
        <f>LOOKUP(402020700,[1]PlanCuentas!$A$2:$A$6092,[1]PlanCuentas!AI$2:AI$6092)</f>
        <v>0</v>
      </c>
      <c r="J109" s="12">
        <f>LOOKUP(402020800,[1]PlanCuentas!$A$2:$A$6092,[1]PlanCuentas!AI$2:AI$6092)</f>
        <v>0</v>
      </c>
      <c r="K109" s="12">
        <f>LOOKUP(402020900,[1]PlanCuentas!$A$2:$A$6092,[1]PlanCuentas!AI$2:AI$6092)</f>
        <v>0</v>
      </c>
      <c r="L109" s="12">
        <f>LOOKUP(402021000,[1]PlanCuentas!$A$2:$A$6092,[1]PlanCuentas!AI$2:AI$6092)</f>
        <v>0</v>
      </c>
      <c r="M109" s="12">
        <f>LOOKUP(402021100,[1]PlanCuentas!$A$2:$A$6092,[1]PlanCuentas!AI$2:AI$6092)</f>
        <v>0</v>
      </c>
      <c r="N109" s="12">
        <f>LOOKUP(402021200,[1]PlanCuentas!$A$2:$A$6092,[1]PlanCuentas!AI$2:AI$6092)</f>
        <v>0</v>
      </c>
      <c r="O109" s="12">
        <f>LOOKUP(402021300,[1]PlanCuentas!$A$2:$A$6092,[1]PlanCuentas!AI$2:AI$6092)</f>
        <v>0</v>
      </c>
      <c r="P109" s="12">
        <f>LOOKUP(402022000,[1]PlanCuentas!$A$2:$A$6092,[1]PlanCuentas!AI$2:AI$6092)</f>
        <v>0</v>
      </c>
      <c r="Q109" s="13">
        <f>SUM(C109:P109)</f>
        <v>0</v>
      </c>
    </row>
    <row r="110" spans="1:17" x14ac:dyDescent="0.2">
      <c r="A110" s="14"/>
      <c r="B110" s="15" t="s">
        <v>18</v>
      </c>
      <c r="C110" s="17">
        <f t="shared" ref="C110:Q110" si="5">SUBTOTAL(109,C77:C109)</f>
        <v>36320220</v>
      </c>
      <c r="D110" s="17">
        <f t="shared" si="5"/>
        <v>1150000</v>
      </c>
      <c r="E110" s="17">
        <f t="shared" si="5"/>
        <v>242931</v>
      </c>
      <c r="F110" s="17">
        <f t="shared" si="5"/>
        <v>1127050576</v>
      </c>
      <c r="G110" s="17">
        <f t="shared" si="5"/>
        <v>0</v>
      </c>
      <c r="H110" s="17">
        <f t="shared" si="5"/>
        <v>43905373</v>
      </c>
      <c r="I110" s="17">
        <f t="shared" si="5"/>
        <v>0</v>
      </c>
      <c r="J110" s="17">
        <f t="shared" si="5"/>
        <v>0</v>
      </c>
      <c r="K110" s="17">
        <f t="shared" si="5"/>
        <v>1024345</v>
      </c>
      <c r="L110" s="17">
        <f t="shared" si="5"/>
        <v>80077</v>
      </c>
      <c r="M110" s="17">
        <f t="shared" si="5"/>
        <v>0</v>
      </c>
      <c r="N110" s="17">
        <f t="shared" si="5"/>
        <v>0</v>
      </c>
      <c r="O110" s="17">
        <f t="shared" si="5"/>
        <v>2878415</v>
      </c>
      <c r="P110" s="17">
        <f t="shared" si="5"/>
        <v>0</v>
      </c>
      <c r="Q110" s="17">
        <f t="shared" si="5"/>
        <v>1212651937</v>
      </c>
    </row>
    <row r="112" spans="1:17" x14ac:dyDescent="0.2"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</row>
    <row r="113" spans="1:17" ht="28.35" customHeight="1" x14ac:dyDescent="0.2">
      <c r="A113" s="1" t="s">
        <v>22</v>
      </c>
      <c r="B113" s="47" t="s">
        <v>23</v>
      </c>
      <c r="C113" s="47"/>
      <c r="D113" s="2"/>
      <c r="E113" s="3"/>
      <c r="F113" s="4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</row>
    <row r="114" spans="1:17" ht="24" x14ac:dyDescent="0.2">
      <c r="A114" s="7" t="s">
        <v>2</v>
      </c>
      <c r="B114" s="8" t="s">
        <v>3</v>
      </c>
      <c r="C114" s="9" t="s">
        <v>4</v>
      </c>
      <c r="D114" s="9" t="s">
        <v>5</v>
      </c>
      <c r="E114" s="9" t="s">
        <v>6</v>
      </c>
      <c r="F114" s="9" t="s">
        <v>7</v>
      </c>
      <c r="G114" s="9" t="s">
        <v>8</v>
      </c>
      <c r="H114" s="9" t="s">
        <v>9</v>
      </c>
      <c r="I114" s="9" t="s">
        <v>10</v>
      </c>
      <c r="J114" s="9" t="s">
        <v>11</v>
      </c>
      <c r="K114" s="9" t="s">
        <v>12</v>
      </c>
      <c r="L114" s="9" t="s">
        <v>13</v>
      </c>
      <c r="M114" s="9" t="s">
        <v>14</v>
      </c>
      <c r="N114" s="9" t="s">
        <v>15</v>
      </c>
      <c r="O114" s="9" t="s">
        <v>16</v>
      </c>
      <c r="P114" s="9" t="s">
        <v>17</v>
      </c>
      <c r="Q114" s="8" t="s">
        <v>18</v>
      </c>
    </row>
    <row r="115" spans="1:17" x14ac:dyDescent="0.2">
      <c r="A115" s="10">
        <v>1</v>
      </c>
      <c r="B115" s="11" t="str">
        <f>[1]Aseguradoras!B2</f>
        <v>El Comercio Paraguayo S.A. de Seguros</v>
      </c>
      <c r="C115" s="12">
        <f>LOOKUP(403010100,[1]PlanCuentas!$A$2:$A$6092,[1]PlanCuentas!C$2:C$6092)</f>
        <v>0</v>
      </c>
      <c r="D115" s="12">
        <f>LOOKUP(403010200,[1]PlanCuentas!$A$2:$A$6092,[1]PlanCuentas!C$2:C$6092)</f>
        <v>0</v>
      </c>
      <c r="E115" s="12">
        <f>LOOKUP(403010300,[1]PlanCuentas!$A$2:$A$6092,[1]PlanCuentas!C$2:C$6092)</f>
        <v>0</v>
      </c>
      <c r="F115" s="12">
        <f>LOOKUP(403010400,[1]PlanCuentas!$A$2:$A$6092,[1]PlanCuentas!C$2:C$6092)</f>
        <v>0</v>
      </c>
      <c r="G115" s="12">
        <f>LOOKUP(403010500,[1]PlanCuentas!$A$2:$A$6092,[1]PlanCuentas!C$2:C$6092)</f>
        <v>0</v>
      </c>
      <c r="H115" s="12">
        <f>LOOKUP(403010600,[1]PlanCuentas!$A$2:$A$6092,[1]PlanCuentas!C$2:C$6092)</f>
        <v>0</v>
      </c>
      <c r="I115" s="12">
        <f>LOOKUP(403010700,[1]PlanCuentas!$A$2:$A$6092,[1]PlanCuentas!C$2:C$6092)</f>
        <v>0</v>
      </c>
      <c r="J115" s="12">
        <f>LOOKUP(403010800,[1]PlanCuentas!$A$2:$A$6092,[1]PlanCuentas!C$2:C$6092)</f>
        <v>0</v>
      </c>
      <c r="K115" s="12">
        <f>LOOKUP(403010900,[1]PlanCuentas!$A$2:$A$6092,[1]PlanCuentas!C$2:C$6092)</f>
        <v>0</v>
      </c>
      <c r="L115" s="12">
        <f>LOOKUP(403011000,[1]PlanCuentas!$A$2:$A$6092,[1]PlanCuentas!C$2:C$6092)</f>
        <v>0</v>
      </c>
      <c r="M115" s="12">
        <f>LOOKUP(403011100,[1]PlanCuentas!$A$2:$A$6092,[1]PlanCuentas!C$2:C$6092)</f>
        <v>0</v>
      </c>
      <c r="N115" s="12">
        <f>LOOKUP(403011200,[1]PlanCuentas!$A$2:$A$6092,[1]PlanCuentas!C$2:C$6092)</f>
        <v>0</v>
      </c>
      <c r="O115" s="12">
        <f>LOOKUP(403011300,[1]PlanCuentas!$A$2:$A$6092,[1]PlanCuentas!C$2:C$6092)</f>
        <v>0</v>
      </c>
      <c r="P115" s="12">
        <f>LOOKUP(403012000,[1]PlanCuentas!$A$2:$A$6092,[1]PlanCuentas!C$2:C$6092)</f>
        <v>0</v>
      </c>
      <c r="Q115" s="13">
        <f t="shared" ref="Q115:Q146" si="6">SUM(C115:P115)</f>
        <v>0</v>
      </c>
    </row>
    <row r="116" spans="1:17" x14ac:dyDescent="0.2">
      <c r="A116" s="10">
        <v>2</v>
      </c>
      <c r="B116" s="11" t="str">
        <f>[1]Aseguradoras!B3</f>
        <v>La Rural S.A de Seguros</v>
      </c>
      <c r="C116" s="12">
        <f>LOOKUP(403010100,[1]PlanCuentas!$A$2:$A$6092,[1]PlanCuentas!D$2:D$6092)</f>
        <v>0</v>
      </c>
      <c r="D116" s="12">
        <f>LOOKUP(403010200,[1]PlanCuentas!$A$2:$A$6092,[1]PlanCuentas!D$2:D$6092)</f>
        <v>0</v>
      </c>
      <c r="E116" s="12">
        <f>LOOKUP(403010300,[1]PlanCuentas!$A$2:$A$6092,[1]PlanCuentas!D$2:D$6092)</f>
        <v>0</v>
      </c>
      <c r="F116" s="12">
        <f>LOOKUP(403010400,[1]PlanCuentas!$A$2:$A$6092,[1]PlanCuentas!D$2:D$6092)</f>
        <v>0</v>
      </c>
      <c r="G116" s="12">
        <f>LOOKUP(403010500,[1]PlanCuentas!$A$2:$A$6092,[1]PlanCuentas!D$2:D$6092)</f>
        <v>0</v>
      </c>
      <c r="H116" s="12">
        <f>LOOKUP(403010600,[1]PlanCuentas!$A$2:$A$6092,[1]PlanCuentas!D$2:D$6092)</f>
        <v>0</v>
      </c>
      <c r="I116" s="12">
        <f>LOOKUP(403010700,[1]PlanCuentas!$A$2:$A$6092,[1]PlanCuentas!D$2:D$6092)</f>
        <v>0</v>
      </c>
      <c r="J116" s="12">
        <f>LOOKUP(403010800,[1]PlanCuentas!$A$2:$A$6092,[1]PlanCuentas!D$2:D$6092)</f>
        <v>0</v>
      </c>
      <c r="K116" s="12">
        <f>LOOKUP(403010900,[1]PlanCuentas!$A$2:$A$6092,[1]PlanCuentas!D$2:D$6092)</f>
        <v>0</v>
      </c>
      <c r="L116" s="12">
        <f>LOOKUP(403011000,[1]PlanCuentas!$A$2:$A$6092,[1]PlanCuentas!D$2:D$6092)</f>
        <v>0</v>
      </c>
      <c r="M116" s="12">
        <f>LOOKUP(403011100,[1]PlanCuentas!$A$2:$A$6092,[1]PlanCuentas!D$2:D$6092)</f>
        <v>0</v>
      </c>
      <c r="N116" s="12">
        <f>LOOKUP(403011200,[1]PlanCuentas!$A$2:$A$6092,[1]PlanCuentas!D$2:D$6092)</f>
        <v>0</v>
      </c>
      <c r="O116" s="12">
        <f>LOOKUP(403011300,[1]PlanCuentas!$A$2:$A$6092,[1]PlanCuentas!D$2:D$6092)</f>
        <v>0</v>
      </c>
      <c r="P116" s="12">
        <f>LOOKUP(403012000,[1]PlanCuentas!$A$2:$A$6092,[1]PlanCuentas!D$2:D$6092)</f>
        <v>0</v>
      </c>
      <c r="Q116" s="13">
        <f t="shared" si="6"/>
        <v>0</v>
      </c>
    </row>
    <row r="117" spans="1:17" x14ac:dyDescent="0.2">
      <c r="A117" s="10">
        <v>3</v>
      </c>
      <c r="B117" s="11" t="str">
        <f>[1]Aseguradoras!B4</f>
        <v>La Paraguaya S.A de Seguros</v>
      </c>
      <c r="C117" s="12">
        <f>LOOKUP(403010100,[1]PlanCuentas!$A$2:$A$6092,[1]PlanCuentas!E$2:E$6092)</f>
        <v>0</v>
      </c>
      <c r="D117" s="12">
        <f>LOOKUP(403010200,[1]PlanCuentas!$A$2:$A$6092,[1]PlanCuentas!E$2:E$6092)</f>
        <v>0</v>
      </c>
      <c r="E117" s="12">
        <f>LOOKUP(403010300,[1]PlanCuentas!$A$2:$A$6092,[1]PlanCuentas!E$2:E$6092)</f>
        <v>0</v>
      </c>
      <c r="F117" s="12">
        <f>LOOKUP(403010400,[1]PlanCuentas!$A$2:$A$6092,[1]PlanCuentas!E$2:E$6092)</f>
        <v>0</v>
      </c>
      <c r="G117" s="12">
        <f>LOOKUP(403010500,[1]PlanCuentas!$A$2:$A$6092,[1]PlanCuentas!E$2:E$6092)</f>
        <v>0</v>
      </c>
      <c r="H117" s="12">
        <f>LOOKUP(403010600,[1]PlanCuentas!$A$2:$A$6092,[1]PlanCuentas!E$2:E$6092)</f>
        <v>0</v>
      </c>
      <c r="I117" s="12">
        <f>LOOKUP(403010700,[1]PlanCuentas!$A$2:$A$6092,[1]PlanCuentas!E$2:E$6092)</f>
        <v>0</v>
      </c>
      <c r="J117" s="12">
        <f>LOOKUP(403010800,[1]PlanCuentas!$A$2:$A$6092,[1]PlanCuentas!E$2:E$6092)</f>
        <v>0</v>
      </c>
      <c r="K117" s="12">
        <f>LOOKUP(403010900,[1]PlanCuentas!$A$2:$A$6092,[1]PlanCuentas!E$2:E$6092)</f>
        <v>0</v>
      </c>
      <c r="L117" s="12">
        <f>LOOKUP(403011000,[1]PlanCuentas!$A$2:$A$6092,[1]PlanCuentas!E$2:E$6092)</f>
        <v>0</v>
      </c>
      <c r="M117" s="12">
        <f>LOOKUP(403011100,[1]PlanCuentas!$A$2:$A$6092,[1]PlanCuentas!E$2:E$6092)</f>
        <v>0</v>
      </c>
      <c r="N117" s="12">
        <f>LOOKUP(403011200,[1]PlanCuentas!$A$2:$A$6092,[1]PlanCuentas!E$2:E$6092)</f>
        <v>0</v>
      </c>
      <c r="O117" s="12">
        <f>LOOKUP(403011300,[1]PlanCuentas!$A$2:$A$6092,[1]PlanCuentas!E$2:E$6092)</f>
        <v>0</v>
      </c>
      <c r="P117" s="12">
        <f>LOOKUP(403012000,[1]PlanCuentas!$A$2:$A$6092,[1]PlanCuentas!E$2:E$6092)</f>
        <v>0</v>
      </c>
      <c r="Q117" s="13">
        <f t="shared" si="6"/>
        <v>0</v>
      </c>
    </row>
    <row r="118" spans="1:17" x14ac:dyDescent="0.2">
      <c r="A118" s="10">
        <v>4</v>
      </c>
      <c r="B118" s="11" t="str">
        <f>[1]Aseguradoras!B5</f>
        <v>Seguros Generales S. A (SEGESA)</v>
      </c>
      <c r="C118" s="12">
        <f>LOOKUP(403010100,[1]PlanCuentas!$A$2:$A$6092,[1]PlanCuentas!F$2:F$6092)</f>
        <v>0</v>
      </c>
      <c r="D118" s="12">
        <f>LOOKUP(403010200,[1]PlanCuentas!$A$2:$A$6092,[1]PlanCuentas!F$2:F$6092)</f>
        <v>0</v>
      </c>
      <c r="E118" s="12">
        <f>LOOKUP(403010300,[1]PlanCuentas!$A$2:$A$6092,[1]PlanCuentas!F$2:F$6092)</f>
        <v>0</v>
      </c>
      <c r="F118" s="12">
        <f>LOOKUP(403010400,[1]PlanCuentas!$A$2:$A$6092,[1]PlanCuentas!F$2:F$6092)</f>
        <v>0</v>
      </c>
      <c r="G118" s="12">
        <f>LOOKUP(403010500,[1]PlanCuentas!$A$2:$A$6092,[1]PlanCuentas!F$2:F$6092)</f>
        <v>0</v>
      </c>
      <c r="H118" s="12">
        <f>LOOKUP(403010600,[1]PlanCuentas!$A$2:$A$6092,[1]PlanCuentas!F$2:F$6092)</f>
        <v>0</v>
      </c>
      <c r="I118" s="12">
        <f>LOOKUP(403010700,[1]PlanCuentas!$A$2:$A$6092,[1]PlanCuentas!F$2:F$6092)</f>
        <v>0</v>
      </c>
      <c r="J118" s="12">
        <f>LOOKUP(403010800,[1]PlanCuentas!$A$2:$A$6092,[1]PlanCuentas!F$2:F$6092)</f>
        <v>0</v>
      </c>
      <c r="K118" s="12">
        <f>LOOKUP(403010900,[1]PlanCuentas!$A$2:$A$6092,[1]PlanCuentas!F$2:F$6092)</f>
        <v>0</v>
      </c>
      <c r="L118" s="12">
        <f>LOOKUP(403011000,[1]PlanCuentas!$A$2:$A$6092,[1]PlanCuentas!F$2:F$6092)</f>
        <v>0</v>
      </c>
      <c r="M118" s="12">
        <f>LOOKUP(403011100,[1]PlanCuentas!$A$2:$A$6092,[1]PlanCuentas!F$2:F$6092)</f>
        <v>0</v>
      </c>
      <c r="N118" s="12">
        <f>LOOKUP(403011200,[1]PlanCuentas!$A$2:$A$6092,[1]PlanCuentas!F$2:F$6092)</f>
        <v>0</v>
      </c>
      <c r="O118" s="12">
        <f>LOOKUP(403011300,[1]PlanCuentas!$A$2:$A$6092,[1]PlanCuentas!F$2:F$6092)</f>
        <v>0</v>
      </c>
      <c r="P118" s="12">
        <f>LOOKUP(403012000,[1]PlanCuentas!$A$2:$A$6092,[1]PlanCuentas!F$2:F$6092)</f>
        <v>0</v>
      </c>
      <c r="Q118" s="13">
        <f t="shared" si="6"/>
        <v>0</v>
      </c>
    </row>
    <row r="119" spans="1:17" x14ac:dyDescent="0.2">
      <c r="A119" s="10">
        <v>5</v>
      </c>
      <c r="B119" s="11" t="str">
        <f>[1]Aseguradoras!B6</f>
        <v>Rumbos S.A de Seguros</v>
      </c>
      <c r="C119" s="12">
        <f>LOOKUP(403010100,[1]PlanCuentas!$A$2:$A$6092,[1]PlanCuentas!G$2:G$6092)</f>
        <v>0</v>
      </c>
      <c r="D119" s="12">
        <f>LOOKUP(403010200,[1]PlanCuentas!$A$2:$A$6092,[1]PlanCuentas!G$2:G$6092)</f>
        <v>0</v>
      </c>
      <c r="E119" s="12">
        <f>LOOKUP(403010300,[1]PlanCuentas!$A$2:$A$6092,[1]PlanCuentas!G$2:G$6092)</f>
        <v>0</v>
      </c>
      <c r="F119" s="12">
        <f>LOOKUP(403010400,[1]PlanCuentas!$A$2:$A$6092,[1]PlanCuentas!G$2:G$6092)</f>
        <v>0</v>
      </c>
      <c r="G119" s="12">
        <f>LOOKUP(403010500,[1]PlanCuentas!$A$2:$A$6092,[1]PlanCuentas!G$2:G$6092)</f>
        <v>0</v>
      </c>
      <c r="H119" s="12">
        <f>LOOKUP(403010600,[1]PlanCuentas!$A$2:$A$6092,[1]PlanCuentas!G$2:G$6092)</f>
        <v>0</v>
      </c>
      <c r="I119" s="12">
        <f>LOOKUP(403010700,[1]PlanCuentas!$A$2:$A$6092,[1]PlanCuentas!G$2:G$6092)</f>
        <v>0</v>
      </c>
      <c r="J119" s="12">
        <f>LOOKUP(403010800,[1]PlanCuentas!$A$2:$A$6092,[1]PlanCuentas!G$2:G$6092)</f>
        <v>0</v>
      </c>
      <c r="K119" s="12">
        <f>LOOKUP(403010900,[1]PlanCuentas!$A$2:$A$6092,[1]PlanCuentas!G$2:G$6092)</f>
        <v>0</v>
      </c>
      <c r="L119" s="12">
        <f>LOOKUP(403011000,[1]PlanCuentas!$A$2:$A$6092,[1]PlanCuentas!G$2:G$6092)</f>
        <v>0</v>
      </c>
      <c r="M119" s="12">
        <f>LOOKUP(403011100,[1]PlanCuentas!$A$2:$A$6092,[1]PlanCuentas!G$2:G$6092)</f>
        <v>0</v>
      </c>
      <c r="N119" s="12">
        <f>LOOKUP(403011200,[1]PlanCuentas!$A$2:$A$6092,[1]PlanCuentas!G$2:G$6092)</f>
        <v>0</v>
      </c>
      <c r="O119" s="12">
        <f>LOOKUP(403011300,[1]PlanCuentas!$A$2:$A$6092,[1]PlanCuentas!G$2:G$6092)</f>
        <v>0</v>
      </c>
      <c r="P119" s="12">
        <f>LOOKUP(403012000,[1]PlanCuentas!$A$2:$A$6092,[1]PlanCuentas!G$2:G$6092)</f>
        <v>0</v>
      </c>
      <c r="Q119" s="13">
        <f t="shared" si="6"/>
        <v>0</v>
      </c>
    </row>
    <row r="120" spans="1:17" x14ac:dyDescent="0.2">
      <c r="A120" s="10">
        <v>6</v>
      </c>
      <c r="B120" s="11" t="str">
        <f>[1]Aseguradoras!B7</f>
        <v>La Consolidada S.A de Seguros</v>
      </c>
      <c r="C120" s="12">
        <f>LOOKUP(403010100,[1]PlanCuentas!$A$2:$A$6092,[1]PlanCuentas!H$2:H$6092)</f>
        <v>0</v>
      </c>
      <c r="D120" s="12">
        <f>LOOKUP(403010200,[1]PlanCuentas!$A$2:$A$6092,[1]PlanCuentas!H$2:H$6092)</f>
        <v>0</v>
      </c>
      <c r="E120" s="12">
        <f>LOOKUP(403010300,[1]PlanCuentas!$A$2:$A$6092,[1]PlanCuentas!H$2:H$6092)</f>
        <v>0</v>
      </c>
      <c r="F120" s="12">
        <f>LOOKUP(403010400,[1]PlanCuentas!$A$2:$A$6092,[1]PlanCuentas!H$2:H$6092)</f>
        <v>0</v>
      </c>
      <c r="G120" s="12">
        <f>LOOKUP(403010500,[1]PlanCuentas!$A$2:$A$6092,[1]PlanCuentas!H$2:H$6092)</f>
        <v>0</v>
      </c>
      <c r="H120" s="12">
        <f>LOOKUP(403010600,[1]PlanCuentas!$A$2:$A$6092,[1]PlanCuentas!H$2:H$6092)</f>
        <v>0</v>
      </c>
      <c r="I120" s="12">
        <f>LOOKUP(403010700,[1]PlanCuentas!$A$2:$A$6092,[1]PlanCuentas!H$2:H$6092)</f>
        <v>0</v>
      </c>
      <c r="J120" s="12">
        <f>LOOKUP(403010800,[1]PlanCuentas!$A$2:$A$6092,[1]PlanCuentas!H$2:H$6092)</f>
        <v>0</v>
      </c>
      <c r="K120" s="12">
        <f>LOOKUP(403010900,[1]PlanCuentas!$A$2:$A$6092,[1]PlanCuentas!H$2:H$6092)</f>
        <v>0</v>
      </c>
      <c r="L120" s="12">
        <f>LOOKUP(403011000,[1]PlanCuentas!$A$2:$A$6092,[1]PlanCuentas!H$2:H$6092)</f>
        <v>0</v>
      </c>
      <c r="M120" s="12">
        <f>LOOKUP(403011100,[1]PlanCuentas!$A$2:$A$6092,[1]PlanCuentas!H$2:H$6092)</f>
        <v>0</v>
      </c>
      <c r="N120" s="12">
        <f>LOOKUP(403011200,[1]PlanCuentas!$A$2:$A$6092,[1]PlanCuentas!H$2:H$6092)</f>
        <v>0</v>
      </c>
      <c r="O120" s="12">
        <f>LOOKUP(403011300,[1]PlanCuentas!$A$2:$A$6092,[1]PlanCuentas!H$2:H$6092)</f>
        <v>0</v>
      </c>
      <c r="P120" s="12">
        <f>LOOKUP(403012000,[1]PlanCuentas!$A$2:$A$6092,[1]PlanCuentas!H$2:H$6092)</f>
        <v>0</v>
      </c>
      <c r="Q120" s="13">
        <f t="shared" si="6"/>
        <v>0</v>
      </c>
    </row>
    <row r="121" spans="1:17" x14ac:dyDescent="0.2">
      <c r="A121" s="10">
        <v>7</v>
      </c>
      <c r="B121" s="11" t="str">
        <f>[1]Aseguradoras!B8</f>
        <v>El Productor S.A de Seguros y Reaseguros</v>
      </c>
      <c r="C121" s="12">
        <f>LOOKUP(403010100,[1]PlanCuentas!$A$2:$A$6092,[1]PlanCuentas!I$2:I$6092)</f>
        <v>0</v>
      </c>
      <c r="D121" s="12">
        <f>LOOKUP(403010200,[1]PlanCuentas!$A$2:$A$6092,[1]PlanCuentas!I$2:I$6092)</f>
        <v>0</v>
      </c>
      <c r="E121" s="12">
        <f>LOOKUP(403010300,[1]PlanCuentas!$A$2:$A$6092,[1]PlanCuentas!I$2:I$6092)</f>
        <v>0</v>
      </c>
      <c r="F121" s="12">
        <f>LOOKUP(403010400,[1]PlanCuentas!$A$2:$A$6092,[1]PlanCuentas!I$2:I$6092)</f>
        <v>0</v>
      </c>
      <c r="G121" s="12">
        <f>LOOKUP(403010500,[1]PlanCuentas!$A$2:$A$6092,[1]PlanCuentas!I$2:I$6092)</f>
        <v>0</v>
      </c>
      <c r="H121" s="12">
        <f>LOOKUP(403010600,[1]PlanCuentas!$A$2:$A$6092,[1]PlanCuentas!I$2:I$6092)</f>
        <v>0</v>
      </c>
      <c r="I121" s="12">
        <f>LOOKUP(403010700,[1]PlanCuentas!$A$2:$A$6092,[1]PlanCuentas!I$2:I$6092)</f>
        <v>0</v>
      </c>
      <c r="J121" s="12">
        <f>LOOKUP(403010800,[1]PlanCuentas!$A$2:$A$6092,[1]PlanCuentas!I$2:I$6092)</f>
        <v>0</v>
      </c>
      <c r="K121" s="12">
        <f>LOOKUP(403010900,[1]PlanCuentas!$A$2:$A$6092,[1]PlanCuentas!I$2:I$6092)</f>
        <v>0</v>
      </c>
      <c r="L121" s="12">
        <f>LOOKUP(403011000,[1]PlanCuentas!$A$2:$A$6092,[1]PlanCuentas!I$2:I$6092)</f>
        <v>0</v>
      </c>
      <c r="M121" s="12">
        <f>LOOKUP(403011100,[1]PlanCuentas!$A$2:$A$6092,[1]PlanCuentas!I$2:I$6092)</f>
        <v>0</v>
      </c>
      <c r="N121" s="12">
        <f>LOOKUP(403011200,[1]PlanCuentas!$A$2:$A$6092,[1]PlanCuentas!I$2:I$6092)</f>
        <v>0</v>
      </c>
      <c r="O121" s="12">
        <f>LOOKUP(403011300,[1]PlanCuentas!$A$2:$A$6092,[1]PlanCuentas!I$2:I$6092)</f>
        <v>0</v>
      </c>
      <c r="P121" s="12">
        <f>LOOKUP(403012000,[1]PlanCuentas!$A$2:$A$6092,[1]PlanCuentas!I$2:I$6092)</f>
        <v>0</v>
      </c>
      <c r="Q121" s="13">
        <f t="shared" si="6"/>
        <v>0</v>
      </c>
    </row>
    <row r="122" spans="1:17" x14ac:dyDescent="0.2">
      <c r="A122" s="10">
        <v>8</v>
      </c>
      <c r="B122" s="11" t="str">
        <f>[1]Aseguradoras!B9</f>
        <v>Atalaya S.A de Seguros Generales</v>
      </c>
      <c r="C122" s="12">
        <f>LOOKUP(403010100,[1]PlanCuentas!$A$2:$A$6092,[1]PlanCuentas!J$2:J$6092)</f>
        <v>0</v>
      </c>
      <c r="D122" s="12">
        <f>LOOKUP(403010200,[1]PlanCuentas!$A$2:$A$6092,[1]PlanCuentas!J$2:J$6092)</f>
        <v>0</v>
      </c>
      <c r="E122" s="12">
        <f>LOOKUP(403010300,[1]PlanCuentas!$A$2:$A$6092,[1]PlanCuentas!J$2:J$6092)</f>
        <v>0</v>
      </c>
      <c r="F122" s="12">
        <f>LOOKUP(403010400,[1]PlanCuentas!$A$2:$A$6092,[1]PlanCuentas!J$2:J$6092)</f>
        <v>0</v>
      </c>
      <c r="G122" s="12">
        <f>LOOKUP(403010500,[1]PlanCuentas!$A$2:$A$6092,[1]PlanCuentas!J$2:J$6092)</f>
        <v>0</v>
      </c>
      <c r="H122" s="12">
        <f>LOOKUP(403010600,[1]PlanCuentas!$A$2:$A$6092,[1]PlanCuentas!J$2:J$6092)</f>
        <v>0</v>
      </c>
      <c r="I122" s="12">
        <f>LOOKUP(403010700,[1]PlanCuentas!$A$2:$A$6092,[1]PlanCuentas!J$2:J$6092)</f>
        <v>0</v>
      </c>
      <c r="J122" s="12">
        <f>LOOKUP(403010800,[1]PlanCuentas!$A$2:$A$6092,[1]PlanCuentas!J$2:J$6092)</f>
        <v>0</v>
      </c>
      <c r="K122" s="12">
        <f>LOOKUP(403010900,[1]PlanCuentas!$A$2:$A$6092,[1]PlanCuentas!J$2:J$6092)</f>
        <v>0</v>
      </c>
      <c r="L122" s="12">
        <f>LOOKUP(403011000,[1]PlanCuentas!$A$2:$A$6092,[1]PlanCuentas!J$2:J$6092)</f>
        <v>0</v>
      </c>
      <c r="M122" s="12">
        <f>LOOKUP(403011100,[1]PlanCuentas!$A$2:$A$6092,[1]PlanCuentas!J$2:J$6092)</f>
        <v>0</v>
      </c>
      <c r="N122" s="12">
        <f>LOOKUP(403011200,[1]PlanCuentas!$A$2:$A$6092,[1]PlanCuentas!J$2:J$6092)</f>
        <v>0</v>
      </c>
      <c r="O122" s="12">
        <f>LOOKUP(403011300,[1]PlanCuentas!$A$2:$A$6092,[1]PlanCuentas!J$2:J$6092)</f>
        <v>0</v>
      </c>
      <c r="P122" s="12">
        <f>LOOKUP(403012000,[1]PlanCuentas!$A$2:$A$6092,[1]PlanCuentas!J$2:J$6092)</f>
        <v>0</v>
      </c>
      <c r="Q122" s="13">
        <f t="shared" si="6"/>
        <v>0</v>
      </c>
    </row>
    <row r="123" spans="1:17" x14ac:dyDescent="0.2">
      <c r="A123" s="10">
        <v>9</v>
      </c>
      <c r="B123" s="11" t="str">
        <f>[1]Aseguradoras!B10</f>
        <v>La Independencia de Seguros S.A.</v>
      </c>
      <c r="C123" s="12">
        <f>LOOKUP(403010100,[1]PlanCuentas!$A$2:$A$6092,[1]PlanCuentas!K$2:K$6092)</f>
        <v>0</v>
      </c>
      <c r="D123" s="12">
        <f>LOOKUP(403010200,[1]PlanCuentas!$A$2:$A$6092,[1]PlanCuentas!K$2:K$6092)</f>
        <v>0</v>
      </c>
      <c r="E123" s="12">
        <f>LOOKUP(403010300,[1]PlanCuentas!$A$2:$A$6092,[1]PlanCuentas!K$2:K$6092)</f>
        <v>0</v>
      </c>
      <c r="F123" s="12">
        <f>LOOKUP(403010400,[1]PlanCuentas!$A$2:$A$6092,[1]PlanCuentas!K$2:K$6092)</f>
        <v>0</v>
      </c>
      <c r="G123" s="12">
        <f>LOOKUP(403010500,[1]PlanCuentas!$A$2:$A$6092,[1]PlanCuentas!K$2:K$6092)</f>
        <v>0</v>
      </c>
      <c r="H123" s="12">
        <f>LOOKUP(403010600,[1]PlanCuentas!$A$2:$A$6092,[1]PlanCuentas!K$2:K$6092)</f>
        <v>0</v>
      </c>
      <c r="I123" s="12">
        <f>LOOKUP(403010700,[1]PlanCuentas!$A$2:$A$6092,[1]PlanCuentas!K$2:K$6092)</f>
        <v>0</v>
      </c>
      <c r="J123" s="12">
        <f>LOOKUP(403010800,[1]PlanCuentas!$A$2:$A$6092,[1]PlanCuentas!K$2:K$6092)</f>
        <v>0</v>
      </c>
      <c r="K123" s="12">
        <f>LOOKUP(403010900,[1]PlanCuentas!$A$2:$A$6092,[1]PlanCuentas!K$2:K$6092)</f>
        <v>0</v>
      </c>
      <c r="L123" s="12">
        <f>LOOKUP(403011000,[1]PlanCuentas!$A$2:$A$6092,[1]PlanCuentas!K$2:K$6092)</f>
        <v>0</v>
      </c>
      <c r="M123" s="12">
        <f>LOOKUP(403011100,[1]PlanCuentas!$A$2:$A$6092,[1]PlanCuentas!K$2:K$6092)</f>
        <v>0</v>
      </c>
      <c r="N123" s="12">
        <f>LOOKUP(403011200,[1]PlanCuentas!$A$2:$A$6092,[1]PlanCuentas!K$2:K$6092)</f>
        <v>0</v>
      </c>
      <c r="O123" s="12">
        <f>LOOKUP(403011300,[1]PlanCuentas!$A$2:$A$6092,[1]PlanCuentas!K$2:K$6092)</f>
        <v>0</v>
      </c>
      <c r="P123" s="12">
        <f>LOOKUP(403012000,[1]PlanCuentas!$A$2:$A$6092,[1]PlanCuentas!K$2:K$6092)</f>
        <v>0</v>
      </c>
      <c r="Q123" s="13">
        <f t="shared" si="6"/>
        <v>0</v>
      </c>
    </row>
    <row r="124" spans="1:17" x14ac:dyDescent="0.2">
      <c r="A124" s="10">
        <v>10</v>
      </c>
      <c r="B124" s="11" t="str">
        <f>[1]Aseguradoras!B11</f>
        <v>Patria S.A de Seguros y Reaseguros</v>
      </c>
      <c r="C124" s="12">
        <f>LOOKUP(403010100,[1]PlanCuentas!$A$2:$A$6092,[1]PlanCuentas!L$2:L$6092)</f>
        <v>0</v>
      </c>
      <c r="D124" s="12">
        <f>LOOKUP(403010200,[1]PlanCuentas!$A$2:$A$6092,[1]PlanCuentas!L$2:L$6092)</f>
        <v>0</v>
      </c>
      <c r="E124" s="12">
        <f>LOOKUP(403010300,[1]PlanCuentas!$A$2:$A$6092,[1]PlanCuentas!L$2:L$6092)</f>
        <v>0</v>
      </c>
      <c r="F124" s="12">
        <f>LOOKUP(403010400,[1]PlanCuentas!$A$2:$A$6092,[1]PlanCuentas!L$2:L$6092)</f>
        <v>0</v>
      </c>
      <c r="G124" s="12">
        <f>LOOKUP(403010500,[1]PlanCuentas!$A$2:$A$6092,[1]PlanCuentas!L$2:L$6092)</f>
        <v>0</v>
      </c>
      <c r="H124" s="12">
        <f>LOOKUP(403010600,[1]PlanCuentas!$A$2:$A$6092,[1]PlanCuentas!L$2:L$6092)</f>
        <v>0</v>
      </c>
      <c r="I124" s="12">
        <f>LOOKUP(403010700,[1]PlanCuentas!$A$2:$A$6092,[1]PlanCuentas!L$2:L$6092)</f>
        <v>0</v>
      </c>
      <c r="J124" s="12">
        <f>LOOKUP(403010800,[1]PlanCuentas!$A$2:$A$6092,[1]PlanCuentas!L$2:L$6092)</f>
        <v>0</v>
      </c>
      <c r="K124" s="12">
        <f>LOOKUP(403010900,[1]PlanCuentas!$A$2:$A$6092,[1]PlanCuentas!L$2:L$6092)</f>
        <v>0</v>
      </c>
      <c r="L124" s="12">
        <f>LOOKUP(403011000,[1]PlanCuentas!$A$2:$A$6092,[1]PlanCuentas!L$2:L$6092)</f>
        <v>0</v>
      </c>
      <c r="M124" s="12">
        <f>LOOKUP(403011100,[1]PlanCuentas!$A$2:$A$6092,[1]PlanCuentas!L$2:L$6092)</f>
        <v>0</v>
      </c>
      <c r="N124" s="12">
        <f>LOOKUP(403011200,[1]PlanCuentas!$A$2:$A$6092,[1]PlanCuentas!L$2:L$6092)</f>
        <v>0</v>
      </c>
      <c r="O124" s="12">
        <f>LOOKUP(403011300,[1]PlanCuentas!$A$2:$A$6092,[1]PlanCuentas!L$2:L$6092)</f>
        <v>0</v>
      </c>
      <c r="P124" s="12">
        <f>LOOKUP(403012000,[1]PlanCuentas!$A$2:$A$6092,[1]PlanCuentas!L$2:L$6092)</f>
        <v>0</v>
      </c>
      <c r="Q124" s="13">
        <f t="shared" si="6"/>
        <v>0</v>
      </c>
    </row>
    <row r="125" spans="1:17" x14ac:dyDescent="0.2">
      <c r="A125" s="10">
        <v>11</v>
      </c>
      <c r="B125" s="11" t="str">
        <f>[1]Aseguradoras!B12</f>
        <v>Garantía S.A de Seguros y Reaseguros</v>
      </c>
      <c r="C125" s="12">
        <f>LOOKUP(403010100,[1]PlanCuentas!$A$2:$A$6092,[1]PlanCuentas!M$2:M$6092)</f>
        <v>0</v>
      </c>
      <c r="D125" s="12">
        <f>LOOKUP(403010200,[1]PlanCuentas!$A$2:$A$6092,[1]PlanCuentas!M$2:M$6092)</f>
        <v>0</v>
      </c>
      <c r="E125" s="12">
        <f>LOOKUP(403010300,[1]PlanCuentas!$A$2:$A$6092,[1]PlanCuentas!M$2:M$6092)</f>
        <v>0</v>
      </c>
      <c r="F125" s="12">
        <f>LOOKUP(403010400,[1]PlanCuentas!$A$2:$A$6092,[1]PlanCuentas!M$2:M$6092)</f>
        <v>0</v>
      </c>
      <c r="G125" s="12">
        <f>LOOKUP(403010500,[1]PlanCuentas!$A$2:$A$6092,[1]PlanCuentas!M$2:M$6092)</f>
        <v>0</v>
      </c>
      <c r="H125" s="12">
        <f>LOOKUP(403010600,[1]PlanCuentas!$A$2:$A$6092,[1]PlanCuentas!M$2:M$6092)</f>
        <v>0</v>
      </c>
      <c r="I125" s="12">
        <f>LOOKUP(403010700,[1]PlanCuentas!$A$2:$A$6092,[1]PlanCuentas!M$2:M$6092)</f>
        <v>0</v>
      </c>
      <c r="J125" s="12">
        <f>LOOKUP(403010800,[1]PlanCuentas!$A$2:$A$6092,[1]PlanCuentas!M$2:M$6092)</f>
        <v>0</v>
      </c>
      <c r="K125" s="12">
        <f>LOOKUP(403010900,[1]PlanCuentas!$A$2:$A$6092,[1]PlanCuentas!M$2:M$6092)</f>
        <v>0</v>
      </c>
      <c r="L125" s="12">
        <f>LOOKUP(403011000,[1]PlanCuentas!$A$2:$A$6092,[1]PlanCuentas!M$2:M$6092)</f>
        <v>0</v>
      </c>
      <c r="M125" s="12">
        <f>LOOKUP(403011100,[1]PlanCuentas!$A$2:$A$6092,[1]PlanCuentas!M$2:M$6092)</f>
        <v>0</v>
      </c>
      <c r="N125" s="12">
        <f>LOOKUP(403011200,[1]PlanCuentas!$A$2:$A$6092,[1]PlanCuentas!M$2:M$6092)</f>
        <v>0</v>
      </c>
      <c r="O125" s="12">
        <f>LOOKUP(403011300,[1]PlanCuentas!$A$2:$A$6092,[1]PlanCuentas!M$2:M$6092)</f>
        <v>0</v>
      </c>
      <c r="P125" s="12">
        <f>LOOKUP(403012000,[1]PlanCuentas!$A$2:$A$6092,[1]PlanCuentas!M$2:M$6092)</f>
        <v>0</v>
      </c>
      <c r="Q125" s="13">
        <f t="shared" si="6"/>
        <v>0</v>
      </c>
    </row>
    <row r="126" spans="1:17" x14ac:dyDescent="0.2">
      <c r="A126" s="10">
        <v>12</v>
      </c>
      <c r="B126" s="11" t="str">
        <f>[1]Aseguradoras!B13</f>
        <v>Aseguradora Paraguaya S.A.</v>
      </c>
      <c r="C126" s="12">
        <f>LOOKUP(403010100,[1]PlanCuentas!$A$2:$A$6092,[1]PlanCuentas!N$2:N$6092)</f>
        <v>0</v>
      </c>
      <c r="D126" s="12">
        <f>LOOKUP(403010200,[1]PlanCuentas!$A$2:$A$6092,[1]PlanCuentas!N$2:N$6092)</f>
        <v>0</v>
      </c>
      <c r="E126" s="12">
        <f>LOOKUP(403010300,[1]PlanCuentas!$A$2:$A$6092,[1]PlanCuentas!N$2:N$6092)</f>
        <v>0</v>
      </c>
      <c r="F126" s="12">
        <f>LOOKUP(403010400,[1]PlanCuentas!$A$2:$A$6092,[1]PlanCuentas!N$2:N$6092)</f>
        <v>0</v>
      </c>
      <c r="G126" s="12">
        <f>LOOKUP(403010500,[1]PlanCuentas!$A$2:$A$6092,[1]PlanCuentas!N$2:N$6092)</f>
        <v>0</v>
      </c>
      <c r="H126" s="12">
        <f>LOOKUP(403010600,[1]PlanCuentas!$A$2:$A$6092,[1]PlanCuentas!N$2:N$6092)</f>
        <v>0</v>
      </c>
      <c r="I126" s="12">
        <f>LOOKUP(403010700,[1]PlanCuentas!$A$2:$A$6092,[1]PlanCuentas!N$2:N$6092)</f>
        <v>0</v>
      </c>
      <c r="J126" s="12">
        <f>LOOKUP(403010800,[1]PlanCuentas!$A$2:$A$6092,[1]PlanCuentas!N$2:N$6092)</f>
        <v>0</v>
      </c>
      <c r="K126" s="12">
        <f>LOOKUP(403010900,[1]PlanCuentas!$A$2:$A$6092,[1]PlanCuentas!N$2:N$6092)</f>
        <v>0</v>
      </c>
      <c r="L126" s="12">
        <f>LOOKUP(403011000,[1]PlanCuentas!$A$2:$A$6092,[1]PlanCuentas!N$2:N$6092)</f>
        <v>0</v>
      </c>
      <c r="M126" s="12">
        <f>LOOKUP(403011100,[1]PlanCuentas!$A$2:$A$6092,[1]PlanCuentas!N$2:N$6092)</f>
        <v>0</v>
      </c>
      <c r="N126" s="12">
        <f>LOOKUP(403011200,[1]PlanCuentas!$A$2:$A$6092,[1]PlanCuentas!N$2:N$6092)</f>
        <v>0</v>
      </c>
      <c r="O126" s="12">
        <f>LOOKUP(403011300,[1]PlanCuentas!$A$2:$A$6092,[1]PlanCuentas!N$2:N$6092)</f>
        <v>0</v>
      </c>
      <c r="P126" s="12">
        <f>LOOKUP(403012000,[1]PlanCuentas!$A$2:$A$6092,[1]PlanCuentas!N$2:N$6092)</f>
        <v>0</v>
      </c>
      <c r="Q126" s="13">
        <f t="shared" si="6"/>
        <v>0</v>
      </c>
    </row>
    <row r="127" spans="1:17" x14ac:dyDescent="0.2">
      <c r="A127" s="10">
        <v>13</v>
      </c>
      <c r="B127" s="11" t="str">
        <f>[1]Aseguradoras!B14</f>
        <v>Fénix S.A de Seguros y Reaseguros</v>
      </c>
      <c r="C127" s="12">
        <f>LOOKUP(403010100,[1]PlanCuentas!$A$2:$A$6092,[1]PlanCuentas!O$2:O$6092)</f>
        <v>0</v>
      </c>
      <c r="D127" s="12">
        <f>LOOKUP(403010200,[1]PlanCuentas!$A$2:$A$6092,[1]PlanCuentas!O$2:O$6092)</f>
        <v>0</v>
      </c>
      <c r="E127" s="12">
        <f>LOOKUP(403010300,[1]PlanCuentas!$A$2:$A$6092,[1]PlanCuentas!O$2:O$6092)</f>
        <v>0</v>
      </c>
      <c r="F127" s="12">
        <f>LOOKUP(403010400,[1]PlanCuentas!$A$2:$A$6092,[1]PlanCuentas!O$2:O$6092)</f>
        <v>0</v>
      </c>
      <c r="G127" s="12">
        <f>LOOKUP(403010500,[1]PlanCuentas!$A$2:$A$6092,[1]PlanCuentas!O$2:O$6092)</f>
        <v>0</v>
      </c>
      <c r="H127" s="12">
        <f>LOOKUP(403010600,[1]PlanCuentas!$A$2:$A$6092,[1]PlanCuentas!O$2:O$6092)</f>
        <v>0</v>
      </c>
      <c r="I127" s="12">
        <f>LOOKUP(403010700,[1]PlanCuentas!$A$2:$A$6092,[1]PlanCuentas!O$2:O$6092)</f>
        <v>0</v>
      </c>
      <c r="J127" s="12">
        <f>LOOKUP(403010800,[1]PlanCuentas!$A$2:$A$6092,[1]PlanCuentas!O$2:O$6092)</f>
        <v>0</v>
      </c>
      <c r="K127" s="12">
        <f>LOOKUP(403010900,[1]PlanCuentas!$A$2:$A$6092,[1]PlanCuentas!O$2:O$6092)</f>
        <v>0</v>
      </c>
      <c r="L127" s="12">
        <f>LOOKUP(403011000,[1]PlanCuentas!$A$2:$A$6092,[1]PlanCuentas!O$2:O$6092)</f>
        <v>0</v>
      </c>
      <c r="M127" s="12">
        <f>LOOKUP(403011100,[1]PlanCuentas!$A$2:$A$6092,[1]PlanCuentas!O$2:O$6092)</f>
        <v>0</v>
      </c>
      <c r="N127" s="12">
        <f>LOOKUP(403011200,[1]PlanCuentas!$A$2:$A$6092,[1]PlanCuentas!O$2:O$6092)</f>
        <v>0</v>
      </c>
      <c r="O127" s="12">
        <f>LOOKUP(403011300,[1]PlanCuentas!$A$2:$A$6092,[1]PlanCuentas!O$2:O$6092)</f>
        <v>0</v>
      </c>
      <c r="P127" s="12">
        <f>LOOKUP(403012000,[1]PlanCuentas!$A$2:$A$6092,[1]PlanCuentas!O$2:O$6092)</f>
        <v>0</v>
      </c>
      <c r="Q127" s="13">
        <f t="shared" si="6"/>
        <v>0</v>
      </c>
    </row>
    <row r="128" spans="1:17" x14ac:dyDescent="0.2">
      <c r="A128" s="10">
        <v>14</v>
      </c>
      <c r="B128" s="11" t="str">
        <f>[1]Aseguradoras!B15</f>
        <v>Central S.A de Seguros</v>
      </c>
      <c r="C128" s="12">
        <f>LOOKUP(403010100,[1]PlanCuentas!$A$2:$A$6092,[1]PlanCuentas!P$2:P$6092)</f>
        <v>0</v>
      </c>
      <c r="D128" s="12">
        <f>LOOKUP(403010200,[1]PlanCuentas!$A$2:$A$6092,[1]PlanCuentas!P$2:P$6092)</f>
        <v>0</v>
      </c>
      <c r="E128" s="12">
        <f>LOOKUP(403010300,[1]PlanCuentas!$A$2:$A$6092,[1]PlanCuentas!P$2:P$6092)</f>
        <v>0</v>
      </c>
      <c r="F128" s="12">
        <f>LOOKUP(403010400,[1]PlanCuentas!$A$2:$A$6092,[1]PlanCuentas!P$2:P$6092)</f>
        <v>0</v>
      </c>
      <c r="G128" s="12">
        <f>LOOKUP(403010500,[1]PlanCuentas!$A$2:$A$6092,[1]PlanCuentas!P$2:P$6092)</f>
        <v>0</v>
      </c>
      <c r="H128" s="12">
        <f>LOOKUP(403010600,[1]PlanCuentas!$A$2:$A$6092,[1]PlanCuentas!P$2:P$6092)</f>
        <v>0</v>
      </c>
      <c r="I128" s="12">
        <f>LOOKUP(403010700,[1]PlanCuentas!$A$2:$A$6092,[1]PlanCuentas!P$2:P$6092)</f>
        <v>0</v>
      </c>
      <c r="J128" s="12">
        <f>LOOKUP(403010800,[1]PlanCuentas!$A$2:$A$6092,[1]PlanCuentas!P$2:P$6092)</f>
        <v>0</v>
      </c>
      <c r="K128" s="12">
        <f>LOOKUP(403010900,[1]PlanCuentas!$A$2:$A$6092,[1]PlanCuentas!P$2:P$6092)</f>
        <v>0</v>
      </c>
      <c r="L128" s="12">
        <f>LOOKUP(403011000,[1]PlanCuentas!$A$2:$A$6092,[1]PlanCuentas!P$2:P$6092)</f>
        <v>0</v>
      </c>
      <c r="M128" s="12">
        <f>LOOKUP(403011100,[1]PlanCuentas!$A$2:$A$6092,[1]PlanCuentas!P$2:P$6092)</f>
        <v>0</v>
      </c>
      <c r="N128" s="12">
        <f>LOOKUP(403011200,[1]PlanCuentas!$A$2:$A$6092,[1]PlanCuentas!P$2:P$6092)</f>
        <v>0</v>
      </c>
      <c r="O128" s="12">
        <f>LOOKUP(403011300,[1]PlanCuentas!$A$2:$A$6092,[1]PlanCuentas!P$2:P$6092)</f>
        <v>0</v>
      </c>
      <c r="P128" s="12">
        <f>LOOKUP(403012000,[1]PlanCuentas!$A$2:$A$6092,[1]PlanCuentas!P$2:P$6092)</f>
        <v>0</v>
      </c>
      <c r="Q128" s="13">
        <f t="shared" si="6"/>
        <v>0</v>
      </c>
    </row>
    <row r="129" spans="1:17" x14ac:dyDescent="0.2">
      <c r="A129" s="10">
        <v>15</v>
      </c>
      <c r="B129" s="11" t="str">
        <f>[1]Aseguradoras!B16</f>
        <v>Seguros Chaco S.A de Seguros y Reaseguros</v>
      </c>
      <c r="C129" s="12">
        <f>LOOKUP(403010100,[1]PlanCuentas!$A$2:$A$6092,[1]PlanCuentas!Q$2:Q$6092)</f>
        <v>0</v>
      </c>
      <c r="D129" s="12">
        <f>LOOKUP(403010200,[1]PlanCuentas!$A$2:$A$6092,[1]PlanCuentas!Q$2:Q$6092)</f>
        <v>0</v>
      </c>
      <c r="E129" s="12">
        <f>LOOKUP(403010300,[1]PlanCuentas!$A$2:$A$6092,[1]PlanCuentas!Q$2:Q$6092)</f>
        <v>0</v>
      </c>
      <c r="F129" s="12">
        <f>LOOKUP(403010400,[1]PlanCuentas!$A$2:$A$6092,[1]PlanCuentas!Q$2:Q$6092)</f>
        <v>0</v>
      </c>
      <c r="G129" s="12">
        <f>LOOKUP(403010500,[1]PlanCuentas!$A$2:$A$6092,[1]PlanCuentas!Q$2:Q$6092)</f>
        <v>0</v>
      </c>
      <c r="H129" s="12">
        <f>LOOKUP(403010600,[1]PlanCuentas!$A$2:$A$6092,[1]PlanCuentas!Q$2:Q$6092)</f>
        <v>0</v>
      </c>
      <c r="I129" s="12">
        <f>LOOKUP(403010700,[1]PlanCuentas!$A$2:$A$6092,[1]PlanCuentas!Q$2:Q$6092)</f>
        <v>0</v>
      </c>
      <c r="J129" s="12">
        <f>LOOKUP(403010800,[1]PlanCuentas!$A$2:$A$6092,[1]PlanCuentas!Q$2:Q$6092)</f>
        <v>0</v>
      </c>
      <c r="K129" s="12">
        <f>LOOKUP(403010900,[1]PlanCuentas!$A$2:$A$6092,[1]PlanCuentas!Q$2:Q$6092)</f>
        <v>0</v>
      </c>
      <c r="L129" s="12">
        <f>LOOKUP(403011000,[1]PlanCuentas!$A$2:$A$6092,[1]PlanCuentas!Q$2:Q$6092)</f>
        <v>0</v>
      </c>
      <c r="M129" s="12">
        <f>LOOKUP(403011100,[1]PlanCuentas!$A$2:$A$6092,[1]PlanCuentas!Q$2:Q$6092)</f>
        <v>0</v>
      </c>
      <c r="N129" s="12">
        <f>LOOKUP(403011200,[1]PlanCuentas!$A$2:$A$6092,[1]PlanCuentas!Q$2:Q$6092)</f>
        <v>0</v>
      </c>
      <c r="O129" s="12">
        <f>LOOKUP(403011300,[1]PlanCuentas!$A$2:$A$6092,[1]PlanCuentas!Q$2:Q$6092)</f>
        <v>0</v>
      </c>
      <c r="P129" s="12">
        <f>LOOKUP(403012000,[1]PlanCuentas!$A$2:$A$6092,[1]PlanCuentas!Q$2:Q$6092)</f>
        <v>0</v>
      </c>
      <c r="Q129" s="13">
        <f t="shared" si="6"/>
        <v>0</v>
      </c>
    </row>
    <row r="130" spans="1:17" x14ac:dyDescent="0.2">
      <c r="A130" s="10">
        <v>16</v>
      </c>
      <c r="B130" s="11" t="str">
        <f>[1]Aseguradoras!B17</f>
        <v>El Sol Del Paraguay Compañía de Seguros y Reaseguros S.A.</v>
      </c>
      <c r="C130" s="12">
        <f>LOOKUP(403010100,[1]PlanCuentas!$A$2:$A$6092,[1]PlanCuentas!R$2:R$6092)</f>
        <v>0</v>
      </c>
      <c r="D130" s="12">
        <f>LOOKUP(403010200,[1]PlanCuentas!$A$2:$A$6092,[1]PlanCuentas!R$2:R$6092)</f>
        <v>0</v>
      </c>
      <c r="E130" s="12">
        <f>LOOKUP(403010300,[1]PlanCuentas!$A$2:$A$6092,[1]PlanCuentas!R$2:R$6092)</f>
        <v>0</v>
      </c>
      <c r="F130" s="12">
        <f>LOOKUP(403010400,[1]PlanCuentas!$A$2:$A$6092,[1]PlanCuentas!R$2:R$6092)</f>
        <v>0</v>
      </c>
      <c r="G130" s="12">
        <f>LOOKUP(403010500,[1]PlanCuentas!$A$2:$A$6092,[1]PlanCuentas!R$2:R$6092)</f>
        <v>0</v>
      </c>
      <c r="H130" s="12">
        <f>LOOKUP(403010600,[1]PlanCuentas!$A$2:$A$6092,[1]PlanCuentas!R$2:R$6092)</f>
        <v>0</v>
      </c>
      <c r="I130" s="12">
        <f>LOOKUP(403010700,[1]PlanCuentas!$A$2:$A$6092,[1]PlanCuentas!R$2:R$6092)</f>
        <v>0</v>
      </c>
      <c r="J130" s="12">
        <f>LOOKUP(403010800,[1]PlanCuentas!$A$2:$A$6092,[1]PlanCuentas!R$2:R$6092)</f>
        <v>0</v>
      </c>
      <c r="K130" s="12">
        <f>LOOKUP(403010900,[1]PlanCuentas!$A$2:$A$6092,[1]PlanCuentas!R$2:R$6092)</f>
        <v>0</v>
      </c>
      <c r="L130" s="12">
        <f>LOOKUP(403011000,[1]PlanCuentas!$A$2:$A$6092,[1]PlanCuentas!R$2:R$6092)</f>
        <v>0</v>
      </c>
      <c r="M130" s="12">
        <f>LOOKUP(403011100,[1]PlanCuentas!$A$2:$A$6092,[1]PlanCuentas!R$2:R$6092)</f>
        <v>0</v>
      </c>
      <c r="N130" s="12">
        <f>LOOKUP(403011200,[1]PlanCuentas!$A$2:$A$6092,[1]PlanCuentas!R$2:R$6092)</f>
        <v>0</v>
      </c>
      <c r="O130" s="12">
        <f>LOOKUP(403011300,[1]PlanCuentas!$A$2:$A$6092,[1]PlanCuentas!R$2:R$6092)</f>
        <v>0</v>
      </c>
      <c r="P130" s="12">
        <f>LOOKUP(403012000,[1]PlanCuentas!$A$2:$A$6092,[1]PlanCuentas!R$2:R$6092)</f>
        <v>0</v>
      </c>
      <c r="Q130" s="13">
        <f t="shared" si="6"/>
        <v>0</v>
      </c>
    </row>
    <row r="131" spans="1:17" x14ac:dyDescent="0.2">
      <c r="A131" s="10">
        <v>17</v>
      </c>
      <c r="B131" s="11" t="str">
        <f>[1]Aseguradoras!B18</f>
        <v>Intercontinental de Seguros y Reaseguros S.A.</v>
      </c>
      <c r="C131" s="12">
        <f>LOOKUP(403010100,[1]PlanCuentas!$A$2:$A$6092,[1]PlanCuentas!S$2:S$6092)</f>
        <v>0</v>
      </c>
      <c r="D131" s="12">
        <f>LOOKUP(403010200,[1]PlanCuentas!$A$2:$A$6092,[1]PlanCuentas!S$2:S$6092)</f>
        <v>0</v>
      </c>
      <c r="E131" s="12">
        <f>LOOKUP(403010300,[1]PlanCuentas!$A$2:$A$6092,[1]PlanCuentas!S$2:S$6092)</f>
        <v>0</v>
      </c>
      <c r="F131" s="12">
        <f>LOOKUP(403010400,[1]PlanCuentas!$A$2:$A$6092,[1]PlanCuentas!S$2:S$6092)</f>
        <v>0</v>
      </c>
      <c r="G131" s="12">
        <f>LOOKUP(403010500,[1]PlanCuentas!$A$2:$A$6092,[1]PlanCuentas!S$2:S$6092)</f>
        <v>0</v>
      </c>
      <c r="H131" s="12">
        <f>LOOKUP(403010600,[1]PlanCuentas!$A$2:$A$6092,[1]PlanCuentas!S$2:S$6092)</f>
        <v>0</v>
      </c>
      <c r="I131" s="12">
        <f>LOOKUP(403010700,[1]PlanCuentas!$A$2:$A$6092,[1]PlanCuentas!S$2:S$6092)</f>
        <v>0</v>
      </c>
      <c r="J131" s="12">
        <f>LOOKUP(403010800,[1]PlanCuentas!$A$2:$A$6092,[1]PlanCuentas!S$2:S$6092)</f>
        <v>0</v>
      </c>
      <c r="K131" s="12">
        <f>LOOKUP(403010900,[1]PlanCuentas!$A$2:$A$6092,[1]PlanCuentas!S$2:S$6092)</f>
        <v>0</v>
      </c>
      <c r="L131" s="12">
        <f>LOOKUP(403011000,[1]PlanCuentas!$A$2:$A$6092,[1]PlanCuentas!S$2:S$6092)</f>
        <v>0</v>
      </c>
      <c r="M131" s="12">
        <f>LOOKUP(403011100,[1]PlanCuentas!$A$2:$A$6092,[1]PlanCuentas!S$2:S$6092)</f>
        <v>0</v>
      </c>
      <c r="N131" s="12">
        <f>LOOKUP(403011200,[1]PlanCuentas!$A$2:$A$6092,[1]PlanCuentas!S$2:S$6092)</f>
        <v>0</v>
      </c>
      <c r="O131" s="12">
        <f>LOOKUP(403011300,[1]PlanCuentas!$A$2:$A$6092,[1]PlanCuentas!S$2:S$6092)</f>
        <v>0</v>
      </c>
      <c r="P131" s="12">
        <f>LOOKUP(403012000,[1]PlanCuentas!$A$2:$A$6092,[1]PlanCuentas!S$2:S$6092)</f>
        <v>0</v>
      </c>
      <c r="Q131" s="13">
        <f t="shared" si="6"/>
        <v>0</v>
      </c>
    </row>
    <row r="132" spans="1:17" x14ac:dyDescent="0.2">
      <c r="A132" s="10">
        <v>18</v>
      </c>
      <c r="B132" s="11" t="str">
        <f>[1]Aseguradoras!B19</f>
        <v>Seguridad S.A Compañía de Seguros</v>
      </c>
      <c r="C132" s="12">
        <f>LOOKUP(403010100,[1]PlanCuentas!$A$2:$A$6092,[1]PlanCuentas!T$2:T$6092)</f>
        <v>0</v>
      </c>
      <c r="D132" s="12">
        <f>LOOKUP(403010200,[1]PlanCuentas!$A$2:$A$6092,[1]PlanCuentas!T$2:T$6092)</f>
        <v>0</v>
      </c>
      <c r="E132" s="12">
        <f>LOOKUP(403010300,[1]PlanCuentas!$A$2:$A$6092,[1]PlanCuentas!T$2:T$6092)</f>
        <v>0</v>
      </c>
      <c r="F132" s="12">
        <f>LOOKUP(403010400,[1]PlanCuentas!$A$2:$A$6092,[1]PlanCuentas!T$2:T$6092)</f>
        <v>0</v>
      </c>
      <c r="G132" s="12">
        <f>LOOKUP(403010500,[1]PlanCuentas!$A$2:$A$6092,[1]PlanCuentas!T$2:T$6092)</f>
        <v>0</v>
      </c>
      <c r="H132" s="12">
        <f>LOOKUP(403010600,[1]PlanCuentas!$A$2:$A$6092,[1]PlanCuentas!T$2:T$6092)</f>
        <v>0</v>
      </c>
      <c r="I132" s="12">
        <f>LOOKUP(403010700,[1]PlanCuentas!$A$2:$A$6092,[1]PlanCuentas!T$2:T$6092)</f>
        <v>0</v>
      </c>
      <c r="J132" s="12">
        <f>LOOKUP(403010800,[1]PlanCuentas!$A$2:$A$6092,[1]PlanCuentas!T$2:T$6092)</f>
        <v>0</v>
      </c>
      <c r="K132" s="12">
        <f>LOOKUP(403010900,[1]PlanCuentas!$A$2:$A$6092,[1]PlanCuentas!T$2:T$6092)</f>
        <v>0</v>
      </c>
      <c r="L132" s="12">
        <f>LOOKUP(403011000,[1]PlanCuentas!$A$2:$A$6092,[1]PlanCuentas!T$2:T$6092)</f>
        <v>0</v>
      </c>
      <c r="M132" s="12">
        <f>LOOKUP(403011100,[1]PlanCuentas!$A$2:$A$6092,[1]PlanCuentas!T$2:T$6092)</f>
        <v>0</v>
      </c>
      <c r="N132" s="12">
        <f>LOOKUP(403011200,[1]PlanCuentas!$A$2:$A$6092,[1]PlanCuentas!T$2:T$6092)</f>
        <v>0</v>
      </c>
      <c r="O132" s="12">
        <f>LOOKUP(403011300,[1]PlanCuentas!$A$2:$A$6092,[1]PlanCuentas!T$2:T$6092)</f>
        <v>0</v>
      </c>
      <c r="P132" s="12">
        <f>LOOKUP(403012000,[1]PlanCuentas!$A$2:$A$6092,[1]PlanCuentas!T$2:T$6092)</f>
        <v>0</v>
      </c>
      <c r="Q132" s="13">
        <f t="shared" si="6"/>
        <v>0</v>
      </c>
    </row>
    <row r="133" spans="1:17" x14ac:dyDescent="0.2">
      <c r="A133" s="10">
        <v>19</v>
      </c>
      <c r="B133" s="11" t="str">
        <f>[1]Aseguradoras!B20</f>
        <v>Universo de Seguros y Reaseguros S.A.</v>
      </c>
      <c r="C133" s="12">
        <f>LOOKUP(403010100,[1]PlanCuentas!$A$2:$A$6092,[1]PlanCuentas!U$2:U$6092)</f>
        <v>0</v>
      </c>
      <c r="D133" s="12">
        <f>LOOKUP(403010200,[1]PlanCuentas!$A$2:$A$6092,[1]PlanCuentas!U$2:U$6092)</f>
        <v>0</v>
      </c>
      <c r="E133" s="12">
        <f>LOOKUP(403010300,[1]PlanCuentas!$A$2:$A$6092,[1]PlanCuentas!U$2:U$6092)</f>
        <v>0</v>
      </c>
      <c r="F133" s="12">
        <f>LOOKUP(403010400,[1]PlanCuentas!$A$2:$A$6092,[1]PlanCuentas!U$2:U$6092)</f>
        <v>0</v>
      </c>
      <c r="G133" s="12">
        <f>LOOKUP(403010500,[1]PlanCuentas!$A$2:$A$6092,[1]PlanCuentas!U$2:U$6092)</f>
        <v>0</v>
      </c>
      <c r="H133" s="12">
        <f>LOOKUP(403010600,[1]PlanCuentas!$A$2:$A$6092,[1]PlanCuentas!U$2:U$6092)</f>
        <v>0</v>
      </c>
      <c r="I133" s="12">
        <f>LOOKUP(403010700,[1]PlanCuentas!$A$2:$A$6092,[1]PlanCuentas!U$2:U$6092)</f>
        <v>0</v>
      </c>
      <c r="J133" s="12">
        <f>LOOKUP(403010800,[1]PlanCuentas!$A$2:$A$6092,[1]PlanCuentas!U$2:U$6092)</f>
        <v>0</v>
      </c>
      <c r="K133" s="12">
        <f>LOOKUP(403010900,[1]PlanCuentas!$A$2:$A$6092,[1]PlanCuentas!U$2:U$6092)</f>
        <v>0</v>
      </c>
      <c r="L133" s="12">
        <f>LOOKUP(403011000,[1]PlanCuentas!$A$2:$A$6092,[1]PlanCuentas!U$2:U$6092)</f>
        <v>0</v>
      </c>
      <c r="M133" s="12">
        <f>LOOKUP(403011100,[1]PlanCuentas!$A$2:$A$6092,[1]PlanCuentas!U$2:U$6092)</f>
        <v>0</v>
      </c>
      <c r="N133" s="12">
        <f>LOOKUP(403011200,[1]PlanCuentas!$A$2:$A$6092,[1]PlanCuentas!U$2:U$6092)</f>
        <v>0</v>
      </c>
      <c r="O133" s="12">
        <f>LOOKUP(403011300,[1]PlanCuentas!$A$2:$A$6092,[1]PlanCuentas!U$2:U$6092)</f>
        <v>0</v>
      </c>
      <c r="P133" s="12">
        <f>LOOKUP(403012000,[1]PlanCuentas!$A$2:$A$6092,[1]PlanCuentas!U$2:U$6092)</f>
        <v>0</v>
      </c>
      <c r="Q133" s="13">
        <f t="shared" si="6"/>
        <v>0</v>
      </c>
    </row>
    <row r="134" spans="1:17" x14ac:dyDescent="0.2">
      <c r="A134" s="10">
        <v>20</v>
      </c>
      <c r="B134" s="11" t="str">
        <f>[1]Aseguradoras!B21</f>
        <v>Aseguradora Yacyreta S.A de Seguros y Reaseguros</v>
      </c>
      <c r="C134" s="12">
        <f>LOOKUP(403010100,[1]PlanCuentas!$A$2:$A$6092,[1]PlanCuentas!V$2:V$6092)</f>
        <v>0</v>
      </c>
      <c r="D134" s="12">
        <f>LOOKUP(403010200,[1]PlanCuentas!$A$2:$A$6092,[1]PlanCuentas!V$2:V$6092)</f>
        <v>0</v>
      </c>
      <c r="E134" s="12">
        <f>LOOKUP(403010300,[1]PlanCuentas!$A$2:$A$6092,[1]PlanCuentas!V$2:V$6092)</f>
        <v>0</v>
      </c>
      <c r="F134" s="12">
        <f>LOOKUP(403010400,[1]PlanCuentas!$A$2:$A$6092,[1]PlanCuentas!V$2:V$6092)</f>
        <v>0</v>
      </c>
      <c r="G134" s="12">
        <f>LOOKUP(403010500,[1]PlanCuentas!$A$2:$A$6092,[1]PlanCuentas!V$2:V$6092)</f>
        <v>0</v>
      </c>
      <c r="H134" s="12">
        <f>LOOKUP(403010600,[1]PlanCuentas!$A$2:$A$6092,[1]PlanCuentas!V$2:V$6092)</f>
        <v>0</v>
      </c>
      <c r="I134" s="12">
        <f>LOOKUP(403010700,[1]PlanCuentas!$A$2:$A$6092,[1]PlanCuentas!V$2:V$6092)</f>
        <v>0</v>
      </c>
      <c r="J134" s="12">
        <f>LOOKUP(403010800,[1]PlanCuentas!$A$2:$A$6092,[1]PlanCuentas!V$2:V$6092)</f>
        <v>0</v>
      </c>
      <c r="K134" s="12">
        <f>LOOKUP(403010900,[1]PlanCuentas!$A$2:$A$6092,[1]PlanCuentas!V$2:V$6092)</f>
        <v>0</v>
      </c>
      <c r="L134" s="12">
        <f>LOOKUP(403011000,[1]PlanCuentas!$A$2:$A$6092,[1]PlanCuentas!V$2:V$6092)</f>
        <v>0</v>
      </c>
      <c r="M134" s="12">
        <f>LOOKUP(403011100,[1]PlanCuentas!$A$2:$A$6092,[1]PlanCuentas!V$2:V$6092)</f>
        <v>0</v>
      </c>
      <c r="N134" s="12">
        <f>LOOKUP(403011200,[1]PlanCuentas!$A$2:$A$6092,[1]PlanCuentas!V$2:V$6092)</f>
        <v>0</v>
      </c>
      <c r="O134" s="12">
        <f>LOOKUP(403011300,[1]PlanCuentas!$A$2:$A$6092,[1]PlanCuentas!V$2:V$6092)</f>
        <v>0</v>
      </c>
      <c r="P134" s="12">
        <f>LOOKUP(403012000,[1]PlanCuentas!$A$2:$A$6092,[1]PlanCuentas!V$2:V$6092)</f>
        <v>0</v>
      </c>
      <c r="Q134" s="13">
        <f t="shared" si="6"/>
        <v>0</v>
      </c>
    </row>
    <row r="135" spans="1:17" x14ac:dyDescent="0.2">
      <c r="A135" s="10">
        <v>21</v>
      </c>
      <c r="B135" s="11" t="str">
        <f>[1]Aseguradoras!B22</f>
        <v>La Agricola S.A de Seguros y Reaseguros</v>
      </c>
      <c r="C135" s="12">
        <f>LOOKUP(403010100,[1]PlanCuentas!$A$2:$A$6092,[1]PlanCuentas!W$2:W$6092)</f>
        <v>0</v>
      </c>
      <c r="D135" s="12">
        <f>LOOKUP(403010200,[1]PlanCuentas!$A$2:$A$6092,[1]PlanCuentas!W$2:W$6092)</f>
        <v>0</v>
      </c>
      <c r="E135" s="12">
        <f>LOOKUP(403010300,[1]PlanCuentas!$A$2:$A$6092,[1]PlanCuentas!W$2:W$6092)</f>
        <v>0</v>
      </c>
      <c r="F135" s="12">
        <f>LOOKUP(403010400,[1]PlanCuentas!$A$2:$A$6092,[1]PlanCuentas!W$2:W$6092)</f>
        <v>0</v>
      </c>
      <c r="G135" s="12">
        <f>LOOKUP(403010500,[1]PlanCuentas!$A$2:$A$6092,[1]PlanCuentas!W$2:W$6092)</f>
        <v>0</v>
      </c>
      <c r="H135" s="12">
        <f>LOOKUP(403010600,[1]PlanCuentas!$A$2:$A$6092,[1]PlanCuentas!W$2:W$6092)</f>
        <v>0</v>
      </c>
      <c r="I135" s="12">
        <f>LOOKUP(403010700,[1]PlanCuentas!$A$2:$A$6092,[1]PlanCuentas!W$2:W$6092)</f>
        <v>0</v>
      </c>
      <c r="J135" s="12">
        <f>LOOKUP(403010800,[1]PlanCuentas!$A$2:$A$6092,[1]PlanCuentas!W$2:W$6092)</f>
        <v>0</v>
      </c>
      <c r="K135" s="12">
        <f>LOOKUP(403010900,[1]PlanCuentas!$A$2:$A$6092,[1]PlanCuentas!W$2:W$6092)</f>
        <v>0</v>
      </c>
      <c r="L135" s="12">
        <f>LOOKUP(403011000,[1]PlanCuentas!$A$2:$A$6092,[1]PlanCuentas!W$2:W$6092)</f>
        <v>0</v>
      </c>
      <c r="M135" s="12">
        <f>LOOKUP(403011100,[1]PlanCuentas!$A$2:$A$6092,[1]PlanCuentas!W$2:W$6092)</f>
        <v>0</v>
      </c>
      <c r="N135" s="12">
        <f>LOOKUP(403011200,[1]PlanCuentas!$A$2:$A$6092,[1]PlanCuentas!W$2:W$6092)</f>
        <v>0</v>
      </c>
      <c r="O135" s="12">
        <f>LOOKUP(403011300,[1]PlanCuentas!$A$2:$A$6092,[1]PlanCuentas!W$2:W$6092)</f>
        <v>0</v>
      </c>
      <c r="P135" s="12">
        <f>LOOKUP(403012000,[1]PlanCuentas!$A$2:$A$6092,[1]PlanCuentas!W$2:W$6092)</f>
        <v>0</v>
      </c>
      <c r="Q135" s="13">
        <f t="shared" si="6"/>
        <v>0</v>
      </c>
    </row>
    <row r="136" spans="1:17" x14ac:dyDescent="0.2">
      <c r="A136" s="10">
        <v>22</v>
      </c>
      <c r="B136" s="11" t="str">
        <f>[1]Aseguradoras!B23</f>
        <v>Grupo General de Seguros y Reaseguros S.A.</v>
      </c>
      <c r="C136" s="12">
        <f>LOOKUP(403010100,[1]PlanCuentas!$A$2:$A$6092,[1]PlanCuentas!X$2:X$6092)</f>
        <v>0</v>
      </c>
      <c r="D136" s="12">
        <f>LOOKUP(403010200,[1]PlanCuentas!$A$2:$A$6092,[1]PlanCuentas!X$2:X$6092)</f>
        <v>0</v>
      </c>
      <c r="E136" s="12">
        <f>LOOKUP(403010300,[1]PlanCuentas!$A$2:$A$6092,[1]PlanCuentas!X$2:X$6092)</f>
        <v>0</v>
      </c>
      <c r="F136" s="12">
        <f>LOOKUP(403010400,[1]PlanCuentas!$A$2:$A$6092,[1]PlanCuentas!X$2:X$6092)</f>
        <v>0</v>
      </c>
      <c r="G136" s="12">
        <f>LOOKUP(403010500,[1]PlanCuentas!$A$2:$A$6092,[1]PlanCuentas!X$2:X$6092)</f>
        <v>0</v>
      </c>
      <c r="H136" s="12">
        <f>LOOKUP(403010600,[1]PlanCuentas!$A$2:$A$6092,[1]PlanCuentas!X$2:X$6092)</f>
        <v>0</v>
      </c>
      <c r="I136" s="12">
        <f>LOOKUP(403010700,[1]PlanCuentas!$A$2:$A$6092,[1]PlanCuentas!X$2:X$6092)</f>
        <v>0</v>
      </c>
      <c r="J136" s="12">
        <f>LOOKUP(403010800,[1]PlanCuentas!$A$2:$A$6092,[1]PlanCuentas!X$2:X$6092)</f>
        <v>0</v>
      </c>
      <c r="K136" s="12">
        <f>LOOKUP(403010900,[1]PlanCuentas!$A$2:$A$6092,[1]PlanCuentas!X$2:X$6092)</f>
        <v>0</v>
      </c>
      <c r="L136" s="12">
        <f>LOOKUP(403011000,[1]PlanCuentas!$A$2:$A$6092,[1]PlanCuentas!X$2:X$6092)</f>
        <v>0</v>
      </c>
      <c r="M136" s="12">
        <f>LOOKUP(403011100,[1]PlanCuentas!$A$2:$A$6092,[1]PlanCuentas!X$2:X$6092)</f>
        <v>0</v>
      </c>
      <c r="N136" s="12">
        <f>LOOKUP(403011200,[1]PlanCuentas!$A$2:$A$6092,[1]PlanCuentas!X$2:X$6092)</f>
        <v>0</v>
      </c>
      <c r="O136" s="12">
        <f>LOOKUP(403011300,[1]PlanCuentas!$A$2:$A$6092,[1]PlanCuentas!X$2:X$6092)</f>
        <v>0</v>
      </c>
      <c r="P136" s="12">
        <f>LOOKUP(403012000,[1]PlanCuentas!$A$2:$A$6092,[1]PlanCuentas!X$2:X$6092)</f>
        <v>0</v>
      </c>
      <c r="Q136" s="13">
        <f t="shared" si="6"/>
        <v>0</v>
      </c>
    </row>
    <row r="137" spans="1:17" x14ac:dyDescent="0.2">
      <c r="A137" s="10">
        <v>23</v>
      </c>
      <c r="B137" s="11" t="str">
        <f>[1]Aseguradoras!B24</f>
        <v>Alfa S.A de Seguros y Reaseguros</v>
      </c>
      <c r="C137" s="12">
        <f>LOOKUP(403010100,[1]PlanCuentas!$A$2:$A$6092,[1]PlanCuentas!Y$2:Y$6092)</f>
        <v>0</v>
      </c>
      <c r="D137" s="12">
        <f>LOOKUP(403010200,[1]PlanCuentas!$A$2:$A$6092,[1]PlanCuentas!Y$2:Y$6092)</f>
        <v>0</v>
      </c>
      <c r="E137" s="12">
        <f>LOOKUP(403010300,[1]PlanCuentas!$A$2:$A$6092,[1]PlanCuentas!Y$2:Y$6092)</f>
        <v>0</v>
      </c>
      <c r="F137" s="12">
        <f>LOOKUP(403010400,[1]PlanCuentas!$A$2:$A$6092,[1]PlanCuentas!Y$2:Y$6092)</f>
        <v>0</v>
      </c>
      <c r="G137" s="12">
        <f>LOOKUP(403010500,[1]PlanCuentas!$A$2:$A$6092,[1]PlanCuentas!Y$2:Y$6092)</f>
        <v>0</v>
      </c>
      <c r="H137" s="12">
        <f>LOOKUP(403010600,[1]PlanCuentas!$A$2:$A$6092,[1]PlanCuentas!Y$2:Y$6092)</f>
        <v>0</v>
      </c>
      <c r="I137" s="12">
        <f>LOOKUP(403010700,[1]PlanCuentas!$A$2:$A$6092,[1]PlanCuentas!Y$2:Y$6092)</f>
        <v>0</v>
      </c>
      <c r="J137" s="12">
        <f>LOOKUP(403010800,[1]PlanCuentas!$A$2:$A$6092,[1]PlanCuentas!Y$2:Y$6092)</f>
        <v>0</v>
      </c>
      <c r="K137" s="12">
        <f>LOOKUP(403010900,[1]PlanCuentas!$A$2:$A$6092,[1]PlanCuentas!Y$2:Y$6092)</f>
        <v>0</v>
      </c>
      <c r="L137" s="12">
        <f>LOOKUP(403011000,[1]PlanCuentas!$A$2:$A$6092,[1]PlanCuentas!Y$2:Y$6092)</f>
        <v>0</v>
      </c>
      <c r="M137" s="12">
        <f>LOOKUP(403011100,[1]PlanCuentas!$A$2:$A$6092,[1]PlanCuentas!Y$2:Y$6092)</f>
        <v>0</v>
      </c>
      <c r="N137" s="12">
        <f>LOOKUP(403011200,[1]PlanCuentas!$A$2:$A$6092,[1]PlanCuentas!Y$2:Y$6092)</f>
        <v>0</v>
      </c>
      <c r="O137" s="12">
        <f>LOOKUP(403011300,[1]PlanCuentas!$A$2:$A$6092,[1]PlanCuentas!Y$2:Y$6092)</f>
        <v>0</v>
      </c>
      <c r="P137" s="12">
        <f>LOOKUP(403012000,[1]PlanCuentas!$A$2:$A$6092,[1]PlanCuentas!Y$2:Y$6092)</f>
        <v>0</v>
      </c>
      <c r="Q137" s="13">
        <f t="shared" si="6"/>
        <v>0</v>
      </c>
    </row>
    <row r="138" spans="1:17" x14ac:dyDescent="0.2">
      <c r="A138" s="10">
        <v>24</v>
      </c>
      <c r="B138" s="11" t="str">
        <f>[1]Aseguradoras!B25</f>
        <v>Cenit de Seguros S.A.</v>
      </c>
      <c r="C138" s="12">
        <f>LOOKUP(403010100,[1]PlanCuentas!$A$2:$A$6092,[1]PlanCuentas!Z$2:Z$6092)</f>
        <v>0</v>
      </c>
      <c r="D138" s="12">
        <f>LOOKUP(403010200,[1]PlanCuentas!$A$2:$A$6092,[1]PlanCuentas!Z$2:Z$6092)</f>
        <v>0</v>
      </c>
      <c r="E138" s="12">
        <f>LOOKUP(403010300,[1]PlanCuentas!$A$2:$A$6092,[1]PlanCuentas!Z$2:Z$6092)</f>
        <v>0</v>
      </c>
      <c r="F138" s="12">
        <f>LOOKUP(403010400,[1]PlanCuentas!$A$2:$A$6092,[1]PlanCuentas!Z$2:Z$6092)</f>
        <v>0</v>
      </c>
      <c r="G138" s="12">
        <f>LOOKUP(403010500,[1]PlanCuentas!$A$2:$A$6092,[1]PlanCuentas!Z$2:Z$6092)</f>
        <v>0</v>
      </c>
      <c r="H138" s="12">
        <f>LOOKUP(403010600,[1]PlanCuentas!$A$2:$A$6092,[1]PlanCuentas!Z$2:Z$6092)</f>
        <v>0</v>
      </c>
      <c r="I138" s="12">
        <f>LOOKUP(403010700,[1]PlanCuentas!$A$2:$A$6092,[1]PlanCuentas!Z$2:Z$6092)</f>
        <v>0</v>
      </c>
      <c r="J138" s="12">
        <f>LOOKUP(403010800,[1]PlanCuentas!$A$2:$A$6092,[1]PlanCuentas!Z$2:Z$6092)</f>
        <v>0</v>
      </c>
      <c r="K138" s="12">
        <f>LOOKUP(403010900,[1]PlanCuentas!$A$2:$A$6092,[1]PlanCuentas!Z$2:Z$6092)</f>
        <v>0</v>
      </c>
      <c r="L138" s="12">
        <f>LOOKUP(403011000,[1]PlanCuentas!$A$2:$A$6092,[1]PlanCuentas!Z$2:Z$6092)</f>
        <v>0</v>
      </c>
      <c r="M138" s="12">
        <f>LOOKUP(403011100,[1]PlanCuentas!$A$2:$A$6092,[1]PlanCuentas!Z$2:Z$6092)</f>
        <v>0</v>
      </c>
      <c r="N138" s="12">
        <f>LOOKUP(403011200,[1]PlanCuentas!$A$2:$A$6092,[1]PlanCuentas!Z$2:Z$6092)</f>
        <v>0</v>
      </c>
      <c r="O138" s="12">
        <f>LOOKUP(403011300,[1]PlanCuentas!$A$2:$A$6092,[1]PlanCuentas!Z$2:Z$6092)</f>
        <v>0</v>
      </c>
      <c r="P138" s="12">
        <f>LOOKUP(403012000,[1]PlanCuentas!$A$2:$A$6092,[1]PlanCuentas!Z$2:Z$6092)</f>
        <v>0</v>
      </c>
      <c r="Q138" s="13">
        <f t="shared" si="6"/>
        <v>0</v>
      </c>
    </row>
    <row r="139" spans="1:17" x14ac:dyDescent="0.2">
      <c r="A139" s="10">
        <v>25</v>
      </c>
      <c r="B139" s="11" t="str">
        <f>[1]Aseguradoras!B26</f>
        <v>La Meridional Paraguaya S.A de Seguros</v>
      </c>
      <c r="C139" s="12">
        <f>LOOKUP(403010100,[1]PlanCuentas!$A$2:$A$6092,[1]PlanCuentas!AA$2:AA$6092)</f>
        <v>0</v>
      </c>
      <c r="D139" s="12">
        <f>LOOKUP(403010200,[1]PlanCuentas!$A$2:$A$6092,[1]PlanCuentas!AA$2:AA$6092)</f>
        <v>0</v>
      </c>
      <c r="E139" s="12">
        <f>LOOKUP(403010300,[1]PlanCuentas!$A$2:$A$6092,[1]PlanCuentas!AA$2:AA$6092)</f>
        <v>0</v>
      </c>
      <c r="F139" s="12">
        <f>LOOKUP(403010400,[1]PlanCuentas!$A$2:$A$6092,[1]PlanCuentas!AA$2:AA$6092)</f>
        <v>0</v>
      </c>
      <c r="G139" s="12">
        <f>LOOKUP(403010500,[1]PlanCuentas!$A$2:$A$6092,[1]PlanCuentas!AA$2:AA$6092)</f>
        <v>0</v>
      </c>
      <c r="H139" s="12">
        <f>LOOKUP(403010600,[1]PlanCuentas!$A$2:$A$6092,[1]PlanCuentas!AA$2:AA$6092)</f>
        <v>0</v>
      </c>
      <c r="I139" s="12">
        <f>LOOKUP(403010700,[1]PlanCuentas!$A$2:$A$6092,[1]PlanCuentas!AA$2:AA$6092)</f>
        <v>0</v>
      </c>
      <c r="J139" s="12">
        <f>LOOKUP(403010800,[1]PlanCuentas!$A$2:$A$6092,[1]PlanCuentas!AA$2:AA$6092)</f>
        <v>0</v>
      </c>
      <c r="K139" s="12">
        <f>LOOKUP(403010900,[1]PlanCuentas!$A$2:$A$6092,[1]PlanCuentas!AA$2:AA$6092)</f>
        <v>0</v>
      </c>
      <c r="L139" s="12">
        <f>LOOKUP(403011000,[1]PlanCuentas!$A$2:$A$6092,[1]PlanCuentas!AA$2:AA$6092)</f>
        <v>0</v>
      </c>
      <c r="M139" s="12">
        <f>LOOKUP(403011100,[1]PlanCuentas!$A$2:$A$6092,[1]PlanCuentas!AA$2:AA$6092)</f>
        <v>0</v>
      </c>
      <c r="N139" s="12">
        <f>LOOKUP(403011200,[1]PlanCuentas!$A$2:$A$6092,[1]PlanCuentas!AA$2:AA$6092)</f>
        <v>0</v>
      </c>
      <c r="O139" s="12">
        <f>LOOKUP(403011300,[1]PlanCuentas!$A$2:$A$6092,[1]PlanCuentas!AA$2:AA$6092)</f>
        <v>0</v>
      </c>
      <c r="P139" s="12">
        <f>LOOKUP(403012000,[1]PlanCuentas!$A$2:$A$6092,[1]PlanCuentas!AA$2:AA$6092)</f>
        <v>0</v>
      </c>
      <c r="Q139" s="13">
        <f t="shared" si="6"/>
        <v>0</v>
      </c>
    </row>
    <row r="140" spans="1:17" x14ac:dyDescent="0.2">
      <c r="A140" s="10">
        <v>26</v>
      </c>
      <c r="B140" s="11" t="str">
        <f>[1]Aseguradoras!B27</f>
        <v>Aseguradora Del Este S.A de Seguros y Reaseguros</v>
      </c>
      <c r="C140" s="12">
        <f>LOOKUP(403010100,[1]PlanCuentas!$A$2:$A$6092,[1]PlanCuentas!AB$2:AB$6092)</f>
        <v>0</v>
      </c>
      <c r="D140" s="12">
        <f>LOOKUP(403010200,[1]PlanCuentas!$A$2:$A$6092,[1]PlanCuentas!AB$2:AB$6092)</f>
        <v>0</v>
      </c>
      <c r="E140" s="12">
        <f>LOOKUP(403010300,[1]PlanCuentas!$A$2:$A$6092,[1]PlanCuentas!AB$2:AB$6092)</f>
        <v>0</v>
      </c>
      <c r="F140" s="12">
        <f>LOOKUP(403010400,[1]PlanCuentas!$A$2:$A$6092,[1]PlanCuentas!AB$2:AB$6092)</f>
        <v>0</v>
      </c>
      <c r="G140" s="12">
        <f>LOOKUP(403010500,[1]PlanCuentas!$A$2:$A$6092,[1]PlanCuentas!AB$2:AB$6092)</f>
        <v>0</v>
      </c>
      <c r="H140" s="12">
        <f>LOOKUP(403010600,[1]PlanCuentas!$A$2:$A$6092,[1]PlanCuentas!AB$2:AB$6092)</f>
        <v>0</v>
      </c>
      <c r="I140" s="12">
        <f>LOOKUP(403010700,[1]PlanCuentas!$A$2:$A$6092,[1]PlanCuentas!AB$2:AB$6092)</f>
        <v>0</v>
      </c>
      <c r="J140" s="12">
        <f>LOOKUP(403010800,[1]PlanCuentas!$A$2:$A$6092,[1]PlanCuentas!AB$2:AB$6092)</f>
        <v>0</v>
      </c>
      <c r="K140" s="12">
        <f>LOOKUP(403010900,[1]PlanCuentas!$A$2:$A$6092,[1]PlanCuentas!AB$2:AB$6092)</f>
        <v>0</v>
      </c>
      <c r="L140" s="12">
        <f>LOOKUP(403011000,[1]PlanCuentas!$A$2:$A$6092,[1]PlanCuentas!AB$2:AB$6092)</f>
        <v>0</v>
      </c>
      <c r="M140" s="12">
        <f>LOOKUP(403011100,[1]PlanCuentas!$A$2:$A$6092,[1]PlanCuentas!AB$2:AB$6092)</f>
        <v>0</v>
      </c>
      <c r="N140" s="12">
        <f>LOOKUP(403011200,[1]PlanCuentas!$A$2:$A$6092,[1]PlanCuentas!AB$2:AB$6092)</f>
        <v>0</v>
      </c>
      <c r="O140" s="12">
        <f>LOOKUP(403011300,[1]PlanCuentas!$A$2:$A$6092,[1]PlanCuentas!AB$2:AB$6092)</f>
        <v>0</v>
      </c>
      <c r="P140" s="12">
        <f>LOOKUP(403012000,[1]PlanCuentas!$A$2:$A$6092,[1]PlanCuentas!AB$2:AB$6092)</f>
        <v>0</v>
      </c>
      <c r="Q140" s="13">
        <f t="shared" si="6"/>
        <v>0</v>
      </c>
    </row>
    <row r="141" spans="1:17" x14ac:dyDescent="0.2">
      <c r="A141" s="10">
        <v>27</v>
      </c>
      <c r="B141" s="11" t="str">
        <f>[1]Aseguradoras!B28</f>
        <v>Imperio S.A de Seguros y Reaseguros</v>
      </c>
      <c r="C141" s="12">
        <f>LOOKUP(403010100,[1]PlanCuentas!$A$2:$A$6092,[1]PlanCuentas!AC$2:AC$6092)</f>
        <v>0</v>
      </c>
      <c r="D141" s="12">
        <f>LOOKUP(403010200,[1]PlanCuentas!$A$2:$A$6092,[1]PlanCuentas!AC$2:AC$6092)</f>
        <v>0</v>
      </c>
      <c r="E141" s="12">
        <f>LOOKUP(403010300,[1]PlanCuentas!$A$2:$A$6092,[1]PlanCuentas!AC$2:AC$6092)</f>
        <v>0</v>
      </c>
      <c r="F141" s="12">
        <f>LOOKUP(403010400,[1]PlanCuentas!$A$2:$A$6092,[1]PlanCuentas!AC$2:AC$6092)</f>
        <v>0</v>
      </c>
      <c r="G141" s="12">
        <f>LOOKUP(403010500,[1]PlanCuentas!$A$2:$A$6092,[1]PlanCuentas!AC$2:AC$6092)</f>
        <v>0</v>
      </c>
      <c r="H141" s="12">
        <f>LOOKUP(403010600,[1]PlanCuentas!$A$2:$A$6092,[1]PlanCuentas!AC$2:AC$6092)</f>
        <v>0</v>
      </c>
      <c r="I141" s="12">
        <f>LOOKUP(403010700,[1]PlanCuentas!$A$2:$A$6092,[1]PlanCuentas!AC$2:AC$6092)</f>
        <v>0</v>
      </c>
      <c r="J141" s="12">
        <f>LOOKUP(403010800,[1]PlanCuentas!$A$2:$A$6092,[1]PlanCuentas!AC$2:AC$6092)</f>
        <v>0</v>
      </c>
      <c r="K141" s="12">
        <f>LOOKUP(403010900,[1]PlanCuentas!$A$2:$A$6092,[1]PlanCuentas!AC$2:AC$6092)</f>
        <v>0</v>
      </c>
      <c r="L141" s="12">
        <f>LOOKUP(403011000,[1]PlanCuentas!$A$2:$A$6092,[1]PlanCuentas!AC$2:AC$6092)</f>
        <v>0</v>
      </c>
      <c r="M141" s="12">
        <f>LOOKUP(403011100,[1]PlanCuentas!$A$2:$A$6092,[1]PlanCuentas!AC$2:AC$6092)</f>
        <v>0</v>
      </c>
      <c r="N141" s="12">
        <f>LOOKUP(403011200,[1]PlanCuentas!$A$2:$A$6092,[1]PlanCuentas!AC$2:AC$6092)</f>
        <v>0</v>
      </c>
      <c r="O141" s="12">
        <f>LOOKUP(403011300,[1]PlanCuentas!$A$2:$A$6092,[1]PlanCuentas!AC$2:AC$6092)</f>
        <v>0</v>
      </c>
      <c r="P141" s="12">
        <f>LOOKUP(403012000,[1]PlanCuentas!$A$2:$A$6092,[1]PlanCuentas!AC$2:AC$6092)</f>
        <v>0</v>
      </c>
      <c r="Q141" s="13">
        <f t="shared" si="6"/>
        <v>0</v>
      </c>
    </row>
    <row r="142" spans="1:17" x14ac:dyDescent="0.2">
      <c r="A142" s="10">
        <v>28</v>
      </c>
      <c r="B142" s="11" t="str">
        <f>[1]Aseguradoras!B29</f>
        <v>Regional S.A de Seguros y Reaseguros</v>
      </c>
      <c r="C142" s="12">
        <f>LOOKUP(403010100,[1]PlanCuentas!$A$2:$A$6092,[1]PlanCuentas!AD$2:AD$6092)</f>
        <v>0</v>
      </c>
      <c r="D142" s="12">
        <f>LOOKUP(403010200,[1]PlanCuentas!$A$2:$A$6092,[1]PlanCuentas!AD$2:AD$6092)</f>
        <v>0</v>
      </c>
      <c r="E142" s="12">
        <f>LOOKUP(403010300,[1]PlanCuentas!$A$2:$A$6092,[1]PlanCuentas!AD$2:AD$6092)</f>
        <v>0</v>
      </c>
      <c r="F142" s="12">
        <f>LOOKUP(403010400,[1]PlanCuentas!$A$2:$A$6092,[1]PlanCuentas!AD$2:AD$6092)</f>
        <v>0</v>
      </c>
      <c r="G142" s="12">
        <f>LOOKUP(403010500,[1]PlanCuentas!$A$2:$A$6092,[1]PlanCuentas!AD$2:AD$6092)</f>
        <v>0</v>
      </c>
      <c r="H142" s="12">
        <f>LOOKUP(403010600,[1]PlanCuentas!$A$2:$A$6092,[1]PlanCuentas!AD$2:AD$6092)</f>
        <v>0</v>
      </c>
      <c r="I142" s="12">
        <f>LOOKUP(403010700,[1]PlanCuentas!$A$2:$A$6092,[1]PlanCuentas!AD$2:AD$6092)</f>
        <v>0</v>
      </c>
      <c r="J142" s="12">
        <f>LOOKUP(403010800,[1]PlanCuentas!$A$2:$A$6092,[1]PlanCuentas!AD$2:AD$6092)</f>
        <v>0</v>
      </c>
      <c r="K142" s="12">
        <f>LOOKUP(403010900,[1]PlanCuentas!$A$2:$A$6092,[1]PlanCuentas!AD$2:AD$6092)</f>
        <v>0</v>
      </c>
      <c r="L142" s="12">
        <f>LOOKUP(403011000,[1]PlanCuentas!$A$2:$A$6092,[1]PlanCuentas!AD$2:AD$6092)</f>
        <v>0</v>
      </c>
      <c r="M142" s="12">
        <f>LOOKUP(403011100,[1]PlanCuentas!$A$2:$A$6092,[1]PlanCuentas!AD$2:AD$6092)</f>
        <v>0</v>
      </c>
      <c r="N142" s="12">
        <f>LOOKUP(403011200,[1]PlanCuentas!$A$2:$A$6092,[1]PlanCuentas!AD$2:AD$6092)</f>
        <v>0</v>
      </c>
      <c r="O142" s="12">
        <f>LOOKUP(403011300,[1]PlanCuentas!$A$2:$A$6092,[1]PlanCuentas!AD$2:AD$6092)</f>
        <v>0</v>
      </c>
      <c r="P142" s="12">
        <f>LOOKUP(403012000,[1]PlanCuentas!$A$2:$A$6092,[1]PlanCuentas!AD$2:AD$6092)</f>
        <v>0</v>
      </c>
      <c r="Q142" s="13">
        <f t="shared" si="6"/>
        <v>0</v>
      </c>
    </row>
    <row r="143" spans="1:17" x14ac:dyDescent="0.2">
      <c r="A143" s="10">
        <v>29</v>
      </c>
      <c r="B143" s="11" t="str">
        <f>[1]Aseguradoras!B30</f>
        <v>Mapfre Paraguay Compañía de Seguros S.A.</v>
      </c>
      <c r="C143" s="12">
        <f>LOOKUP(403010100,[1]PlanCuentas!$A$2:$A$6092,[1]PlanCuentas!AE$2:AE$6092)</f>
        <v>0</v>
      </c>
      <c r="D143" s="12">
        <f>LOOKUP(403010200,[1]PlanCuentas!$A$2:$A$6092,[1]PlanCuentas!AE$2:AE$6092)</f>
        <v>0</v>
      </c>
      <c r="E143" s="12">
        <f>LOOKUP(403010300,[1]PlanCuentas!$A$2:$A$6092,[1]PlanCuentas!AE$2:AE$6092)</f>
        <v>0</v>
      </c>
      <c r="F143" s="12">
        <f>LOOKUP(403010400,[1]PlanCuentas!$A$2:$A$6092,[1]PlanCuentas!AE$2:AE$6092)</f>
        <v>0</v>
      </c>
      <c r="G143" s="12">
        <f>LOOKUP(403010500,[1]PlanCuentas!$A$2:$A$6092,[1]PlanCuentas!AE$2:AE$6092)</f>
        <v>0</v>
      </c>
      <c r="H143" s="12">
        <f>LOOKUP(403010600,[1]PlanCuentas!$A$2:$A$6092,[1]PlanCuentas!AE$2:AE$6092)</f>
        <v>0</v>
      </c>
      <c r="I143" s="12">
        <f>LOOKUP(403010700,[1]PlanCuentas!$A$2:$A$6092,[1]PlanCuentas!AE$2:AE$6092)</f>
        <v>0</v>
      </c>
      <c r="J143" s="12">
        <f>LOOKUP(403010800,[1]PlanCuentas!$A$2:$A$6092,[1]PlanCuentas!AE$2:AE$6092)</f>
        <v>0</v>
      </c>
      <c r="K143" s="12">
        <f>LOOKUP(403010900,[1]PlanCuentas!$A$2:$A$6092,[1]PlanCuentas!AE$2:AE$6092)</f>
        <v>0</v>
      </c>
      <c r="L143" s="12">
        <f>LOOKUP(403011000,[1]PlanCuentas!$A$2:$A$6092,[1]PlanCuentas!AE$2:AE$6092)</f>
        <v>0</v>
      </c>
      <c r="M143" s="12">
        <f>LOOKUP(403011100,[1]PlanCuentas!$A$2:$A$6092,[1]PlanCuentas!AE$2:AE$6092)</f>
        <v>0</v>
      </c>
      <c r="N143" s="12">
        <f>LOOKUP(403011200,[1]PlanCuentas!$A$2:$A$6092,[1]PlanCuentas!AE$2:AE$6092)</f>
        <v>0</v>
      </c>
      <c r="O143" s="12">
        <f>LOOKUP(403011300,[1]PlanCuentas!$A$2:$A$6092,[1]PlanCuentas!AE$2:AE$6092)</f>
        <v>0</v>
      </c>
      <c r="P143" s="12">
        <f>LOOKUP(403012000,[1]PlanCuentas!$A$2:$A$6092,[1]PlanCuentas!AE$2:AE$6092)</f>
        <v>0</v>
      </c>
      <c r="Q143" s="13">
        <f t="shared" si="6"/>
        <v>0</v>
      </c>
    </row>
    <row r="144" spans="1:17" x14ac:dyDescent="0.2">
      <c r="A144" s="10">
        <v>30</v>
      </c>
      <c r="B144" s="11" t="str">
        <f>[1]Aseguradoras!B31</f>
        <v>Aseguradora Tajy Propiedad Cooperativa S.A. de Seguros</v>
      </c>
      <c r="C144" s="12">
        <f>LOOKUP(403010100,[1]PlanCuentas!$A$2:$A$6092,[1]PlanCuentas!AF$2:AF$6092)</f>
        <v>0</v>
      </c>
      <c r="D144" s="12">
        <f>LOOKUP(403010200,[1]PlanCuentas!$A$2:$A$6092,[1]PlanCuentas!AF$2:AF$6092)</f>
        <v>0</v>
      </c>
      <c r="E144" s="12">
        <f>LOOKUP(403010300,[1]PlanCuentas!$A$2:$A$6092,[1]PlanCuentas!AF$2:AF$6092)</f>
        <v>0</v>
      </c>
      <c r="F144" s="12">
        <f>LOOKUP(403010400,[1]PlanCuentas!$A$2:$A$6092,[1]PlanCuentas!AF$2:AF$6092)</f>
        <v>0</v>
      </c>
      <c r="G144" s="12">
        <f>LOOKUP(403010500,[1]PlanCuentas!$A$2:$A$6092,[1]PlanCuentas!AF$2:AF$6092)</f>
        <v>0</v>
      </c>
      <c r="H144" s="12">
        <f>LOOKUP(403010600,[1]PlanCuentas!$A$2:$A$6092,[1]PlanCuentas!AF$2:AF$6092)</f>
        <v>0</v>
      </c>
      <c r="I144" s="12">
        <f>LOOKUP(403010700,[1]PlanCuentas!$A$2:$A$6092,[1]PlanCuentas!AF$2:AF$6092)</f>
        <v>0</v>
      </c>
      <c r="J144" s="12">
        <f>LOOKUP(403010800,[1]PlanCuentas!$A$2:$A$6092,[1]PlanCuentas!AF$2:AF$6092)</f>
        <v>0</v>
      </c>
      <c r="K144" s="12">
        <f>LOOKUP(403010900,[1]PlanCuentas!$A$2:$A$6092,[1]PlanCuentas!AF$2:AF$6092)</f>
        <v>0</v>
      </c>
      <c r="L144" s="12">
        <f>LOOKUP(403011000,[1]PlanCuentas!$A$2:$A$6092,[1]PlanCuentas!AF$2:AF$6092)</f>
        <v>0</v>
      </c>
      <c r="M144" s="12">
        <f>LOOKUP(403011100,[1]PlanCuentas!$A$2:$A$6092,[1]PlanCuentas!AF$2:AF$6092)</f>
        <v>0</v>
      </c>
      <c r="N144" s="12">
        <f>LOOKUP(403011200,[1]PlanCuentas!$A$2:$A$6092,[1]PlanCuentas!AF$2:AF$6092)</f>
        <v>0</v>
      </c>
      <c r="O144" s="12">
        <f>LOOKUP(403011300,[1]PlanCuentas!$A$2:$A$6092,[1]PlanCuentas!AF$2:AF$6092)</f>
        <v>0</v>
      </c>
      <c r="P144" s="12">
        <f>LOOKUP(403012000,[1]PlanCuentas!$A$2:$A$6092,[1]PlanCuentas!AF$2:AF$6092)</f>
        <v>0</v>
      </c>
      <c r="Q144" s="13">
        <f t="shared" si="6"/>
        <v>0</v>
      </c>
    </row>
    <row r="145" spans="1:17" x14ac:dyDescent="0.2">
      <c r="A145" s="10">
        <v>31</v>
      </c>
      <c r="B145" s="11" t="str">
        <f>[1]Aseguradoras!B32</f>
        <v>Aseguradora del Sur S.A. Seguros Generales - ASUR</v>
      </c>
      <c r="C145" s="12">
        <f>LOOKUP(403010100,[1]PlanCuentas!$A$2:$A$6092,[1]PlanCuentas!AG$2:AG$6092)</f>
        <v>0</v>
      </c>
      <c r="D145" s="12">
        <f>LOOKUP(403010200,[1]PlanCuentas!$A$2:$A$6092,[1]PlanCuentas!AG$2:AG$6092)</f>
        <v>0</v>
      </c>
      <c r="E145" s="12">
        <f>LOOKUP(403010300,[1]PlanCuentas!$A$2:$A$6092,[1]PlanCuentas!AG$2:AG$6092)</f>
        <v>0</v>
      </c>
      <c r="F145" s="12">
        <f>LOOKUP(403010400,[1]PlanCuentas!$A$2:$A$6092,[1]PlanCuentas!AG$2:AG$6092)</f>
        <v>0</v>
      </c>
      <c r="G145" s="12">
        <f>LOOKUP(403010500,[1]PlanCuentas!$A$2:$A$6092,[1]PlanCuentas!AG$2:AG$6092)</f>
        <v>0</v>
      </c>
      <c r="H145" s="12">
        <f>LOOKUP(403010600,[1]PlanCuentas!$A$2:$A$6092,[1]PlanCuentas!AG$2:AG$6092)</f>
        <v>0</v>
      </c>
      <c r="I145" s="12">
        <f>LOOKUP(403010700,[1]PlanCuentas!$A$2:$A$6092,[1]PlanCuentas!AG$2:AG$6092)</f>
        <v>0</v>
      </c>
      <c r="J145" s="12">
        <f>LOOKUP(403010800,[1]PlanCuentas!$A$2:$A$6092,[1]PlanCuentas!AG$2:AG$6092)</f>
        <v>0</v>
      </c>
      <c r="K145" s="12">
        <f>LOOKUP(403010900,[1]PlanCuentas!$A$2:$A$6092,[1]PlanCuentas!AG$2:AG$6092)</f>
        <v>0</v>
      </c>
      <c r="L145" s="12">
        <f>LOOKUP(403011000,[1]PlanCuentas!$A$2:$A$6092,[1]PlanCuentas!AG$2:AG$6092)</f>
        <v>0</v>
      </c>
      <c r="M145" s="12">
        <f>LOOKUP(403011100,[1]PlanCuentas!$A$2:$A$6092,[1]PlanCuentas!AG$2:AG$6092)</f>
        <v>0</v>
      </c>
      <c r="N145" s="12">
        <f>LOOKUP(403011200,[1]PlanCuentas!$A$2:$A$6092,[1]PlanCuentas!AG$2:AG$6092)</f>
        <v>0</v>
      </c>
      <c r="O145" s="12">
        <f>LOOKUP(403011300,[1]PlanCuentas!$A$2:$A$6092,[1]PlanCuentas!AG$2:AG$6092)</f>
        <v>0</v>
      </c>
      <c r="P145" s="12">
        <f>LOOKUP(403012000,[1]PlanCuentas!$A$2:$A$6092,[1]PlanCuentas!AG$2:AG$6092)</f>
        <v>0</v>
      </c>
      <c r="Q145" s="13">
        <f t="shared" si="6"/>
        <v>0</v>
      </c>
    </row>
    <row r="146" spans="1:17" x14ac:dyDescent="0.2">
      <c r="A146" s="10">
        <v>32</v>
      </c>
      <c r="B146" s="11" t="str">
        <f>[1]Aseguradoras!B33</f>
        <v>Panal Compañía De Seguros Generales S.A.</v>
      </c>
      <c r="C146" s="12">
        <f>LOOKUP(403010100,[1]PlanCuentas!$A$2:$A$6092,[1]PlanCuentas!AH$2:AH$6092)</f>
        <v>0</v>
      </c>
      <c r="D146" s="12">
        <f>LOOKUP(403010200,[1]PlanCuentas!$A$2:$A$6092,[1]PlanCuentas!AH$2:AH$6092)</f>
        <v>0</v>
      </c>
      <c r="E146" s="12">
        <f>LOOKUP(403010300,[1]PlanCuentas!$A$2:$A$6092,[1]PlanCuentas!AH$2:AH$6092)</f>
        <v>0</v>
      </c>
      <c r="F146" s="12">
        <f>LOOKUP(403010400,[1]PlanCuentas!$A$2:$A$6092,[1]PlanCuentas!AH$2:AH$6092)</f>
        <v>0</v>
      </c>
      <c r="G146" s="12">
        <f>LOOKUP(403010500,[1]PlanCuentas!$A$2:$A$6092,[1]PlanCuentas!AH$2:AH$6092)</f>
        <v>0</v>
      </c>
      <c r="H146" s="12">
        <f>LOOKUP(403010600,[1]PlanCuentas!$A$2:$A$6092,[1]PlanCuentas!AH$2:AH$6092)</f>
        <v>0</v>
      </c>
      <c r="I146" s="12">
        <f>LOOKUP(403010700,[1]PlanCuentas!$A$2:$A$6092,[1]PlanCuentas!AH$2:AH$6092)</f>
        <v>0</v>
      </c>
      <c r="J146" s="12">
        <f>LOOKUP(403010800,[1]PlanCuentas!$A$2:$A$6092,[1]PlanCuentas!AH$2:AH$6092)</f>
        <v>0</v>
      </c>
      <c r="K146" s="12">
        <f>LOOKUP(403010900,[1]PlanCuentas!$A$2:$A$6092,[1]PlanCuentas!AH$2:AH$6092)</f>
        <v>0</v>
      </c>
      <c r="L146" s="12">
        <f>LOOKUP(403011000,[1]PlanCuentas!$A$2:$A$6092,[1]PlanCuentas!AH$2:AH$6092)</f>
        <v>0</v>
      </c>
      <c r="M146" s="12">
        <f>LOOKUP(403011100,[1]PlanCuentas!$A$2:$A$6092,[1]PlanCuentas!AH$2:AH$6092)</f>
        <v>0</v>
      </c>
      <c r="N146" s="12">
        <f>LOOKUP(403011200,[1]PlanCuentas!$A$2:$A$6092,[1]PlanCuentas!AH$2:AH$6092)</f>
        <v>0</v>
      </c>
      <c r="O146" s="12">
        <f>LOOKUP(403011300,[1]PlanCuentas!$A$2:$A$6092,[1]PlanCuentas!AH$2:AH$6092)</f>
        <v>0</v>
      </c>
      <c r="P146" s="12">
        <f>LOOKUP(403012000,[1]PlanCuentas!$A$2:$A$6092,[1]PlanCuentas!AH$2:AH$6092)</f>
        <v>0</v>
      </c>
      <c r="Q146" s="13">
        <f t="shared" si="6"/>
        <v>0</v>
      </c>
    </row>
    <row r="147" spans="1:17" x14ac:dyDescent="0.2">
      <c r="A147" s="10">
        <v>33</v>
      </c>
      <c r="B147" s="11" t="str">
        <f>[1]Aseguradoras!B34</f>
        <v>Sancor Seguros del Paraguay S.A.</v>
      </c>
      <c r="C147" s="12">
        <f>LOOKUP(403010100,[1]PlanCuentas!$A$2:$A$6092,[1]PlanCuentas!AI$2:AI$6092)</f>
        <v>0</v>
      </c>
      <c r="D147" s="12">
        <f>LOOKUP(403010200,[1]PlanCuentas!$A$2:$A$6092,[1]PlanCuentas!AI$2:AI$6092)</f>
        <v>0</v>
      </c>
      <c r="E147" s="12">
        <f>LOOKUP(403010300,[1]PlanCuentas!$A$2:$A$6092,[1]PlanCuentas!AI$2:AI$6092)</f>
        <v>0</v>
      </c>
      <c r="F147" s="12">
        <f>LOOKUP(403010400,[1]PlanCuentas!$A$2:$A$6092,[1]PlanCuentas!AI$2:AI$6092)</f>
        <v>0</v>
      </c>
      <c r="G147" s="12">
        <f>LOOKUP(403010500,[1]PlanCuentas!$A$2:$A$6092,[1]PlanCuentas!AI$2:AI$6092)</f>
        <v>0</v>
      </c>
      <c r="H147" s="12">
        <f>LOOKUP(403010600,[1]PlanCuentas!$A$2:$A$6092,[1]PlanCuentas!AI$2:AI$6092)</f>
        <v>0</v>
      </c>
      <c r="I147" s="12">
        <f>LOOKUP(403010700,[1]PlanCuentas!$A$2:$A$6092,[1]PlanCuentas!AI$2:AI$6092)</f>
        <v>0</v>
      </c>
      <c r="J147" s="12">
        <f>LOOKUP(403010800,[1]PlanCuentas!$A$2:$A$6092,[1]PlanCuentas!AI$2:AI$6092)</f>
        <v>0</v>
      </c>
      <c r="K147" s="12">
        <f>LOOKUP(403010900,[1]PlanCuentas!$A$2:$A$6092,[1]PlanCuentas!AI$2:AI$6092)</f>
        <v>0</v>
      </c>
      <c r="L147" s="12">
        <f>LOOKUP(403011000,[1]PlanCuentas!$A$2:$A$6092,[1]PlanCuentas!AI$2:AI$6092)</f>
        <v>0</v>
      </c>
      <c r="M147" s="12">
        <f>LOOKUP(403011100,[1]PlanCuentas!$A$2:$A$6092,[1]PlanCuentas!AI$2:AI$6092)</f>
        <v>0</v>
      </c>
      <c r="N147" s="12">
        <f>LOOKUP(403011200,[1]PlanCuentas!$A$2:$A$6092,[1]PlanCuentas!AI$2:AI$6092)</f>
        <v>0</v>
      </c>
      <c r="O147" s="12">
        <f>LOOKUP(403011300,[1]PlanCuentas!$A$2:$A$6092,[1]PlanCuentas!AI$2:AI$6092)</f>
        <v>0</v>
      </c>
      <c r="P147" s="12">
        <f>LOOKUP(403012000,[1]PlanCuentas!$A$2:$A$6092,[1]PlanCuentas!AI$2:AI$6092)</f>
        <v>0</v>
      </c>
      <c r="Q147" s="13">
        <f>SUM(C147:P147)</f>
        <v>0</v>
      </c>
    </row>
    <row r="148" spans="1:17" x14ac:dyDescent="0.2">
      <c r="A148" s="14"/>
      <c r="B148" s="15" t="s">
        <v>18</v>
      </c>
      <c r="C148" s="17">
        <f t="shared" ref="C148:Q148" si="7">SUBTOTAL(109,C115:C147)</f>
        <v>0</v>
      </c>
      <c r="D148" s="17">
        <f t="shared" si="7"/>
        <v>0</v>
      </c>
      <c r="E148" s="17">
        <f t="shared" si="7"/>
        <v>0</v>
      </c>
      <c r="F148" s="17">
        <f t="shared" si="7"/>
        <v>0</v>
      </c>
      <c r="G148" s="17">
        <f t="shared" si="7"/>
        <v>0</v>
      </c>
      <c r="H148" s="17">
        <f t="shared" si="7"/>
        <v>0</v>
      </c>
      <c r="I148" s="17">
        <f t="shared" si="7"/>
        <v>0</v>
      </c>
      <c r="J148" s="17">
        <f t="shared" si="7"/>
        <v>0</v>
      </c>
      <c r="K148" s="17">
        <f t="shared" si="7"/>
        <v>0</v>
      </c>
      <c r="L148" s="17">
        <f t="shared" si="7"/>
        <v>0</v>
      </c>
      <c r="M148" s="17">
        <f t="shared" si="7"/>
        <v>0</v>
      </c>
      <c r="N148" s="17">
        <f t="shared" si="7"/>
        <v>0</v>
      </c>
      <c r="O148" s="17">
        <f t="shared" si="7"/>
        <v>0</v>
      </c>
      <c r="P148" s="17">
        <f t="shared" si="7"/>
        <v>0</v>
      </c>
      <c r="Q148" s="17">
        <f t="shared" si="7"/>
        <v>0</v>
      </c>
    </row>
    <row r="151" spans="1:17" ht="28.35" customHeight="1" x14ac:dyDescent="0.2">
      <c r="A151" s="1" t="s">
        <v>22</v>
      </c>
      <c r="B151" s="47" t="s">
        <v>24</v>
      </c>
      <c r="C151" s="47"/>
      <c r="D151" s="2"/>
      <c r="E151" s="3"/>
      <c r="F151" s="4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24" x14ac:dyDescent="0.2">
      <c r="A152" s="7" t="s">
        <v>2</v>
      </c>
      <c r="B152" s="8" t="s">
        <v>3</v>
      </c>
      <c r="C152" s="9" t="s">
        <v>4</v>
      </c>
      <c r="D152" s="9" t="s">
        <v>5</v>
      </c>
      <c r="E152" s="9" t="s">
        <v>6</v>
      </c>
      <c r="F152" s="9" t="s">
        <v>7</v>
      </c>
      <c r="G152" s="9" t="s">
        <v>8</v>
      </c>
      <c r="H152" s="9" t="s">
        <v>9</v>
      </c>
      <c r="I152" s="9" t="s">
        <v>10</v>
      </c>
      <c r="J152" s="9" t="s">
        <v>11</v>
      </c>
      <c r="K152" s="9" t="s">
        <v>12</v>
      </c>
      <c r="L152" s="9" t="s">
        <v>13</v>
      </c>
      <c r="M152" s="9" t="s">
        <v>14</v>
      </c>
      <c r="N152" s="9" t="s">
        <v>15</v>
      </c>
      <c r="O152" s="9" t="s">
        <v>16</v>
      </c>
      <c r="P152" s="9" t="s">
        <v>17</v>
      </c>
      <c r="Q152" s="8" t="s">
        <v>18</v>
      </c>
    </row>
    <row r="153" spans="1:17" x14ac:dyDescent="0.2">
      <c r="A153" s="10">
        <v>1</v>
      </c>
      <c r="B153" s="11" t="str">
        <f>[1]Aseguradoras!B2</f>
        <v>El Comercio Paraguayo S.A. de Seguros</v>
      </c>
      <c r="C153" s="12">
        <f>LOOKUP(403020100,[1]PlanCuentas!$A$2:$A$6092,[1]PlanCuentas!C$2:C$6092)</f>
        <v>0</v>
      </c>
      <c r="D153" s="12">
        <f>LOOKUP(403020200,[1]PlanCuentas!$A$2:$A$6092,[1]PlanCuentas!C$2:C$6092)</f>
        <v>0</v>
      </c>
      <c r="E153" s="12">
        <f>LOOKUP(403020300,[1]PlanCuentas!$A$2:$A$6092,[1]PlanCuentas!C$2:C$6092)</f>
        <v>0</v>
      </c>
      <c r="F153" s="12">
        <f>LOOKUP(403020400,[1]PlanCuentas!$A$2:$A$6092,[1]PlanCuentas!C$2:C$6092)</f>
        <v>0</v>
      </c>
      <c r="G153" s="12">
        <f>LOOKUP(403020500,[1]PlanCuentas!$A$2:$A$6092,[1]PlanCuentas!C$2:C$6092)</f>
        <v>0</v>
      </c>
      <c r="H153" s="12">
        <f>LOOKUP(403020600,[1]PlanCuentas!$A$2:$A$6092,[1]PlanCuentas!C$2:C$6092)</f>
        <v>0</v>
      </c>
      <c r="I153" s="12">
        <f>LOOKUP(403020700,[1]PlanCuentas!$A$2:$A$6092,[1]PlanCuentas!C$2:C$6092)</f>
        <v>0</v>
      </c>
      <c r="J153" s="12">
        <f>LOOKUP(403020800,[1]PlanCuentas!$A$2:$A$6092,[1]PlanCuentas!C$2:C$6092)</f>
        <v>0</v>
      </c>
      <c r="K153" s="12">
        <f>LOOKUP(403020900,[1]PlanCuentas!$A$2:$A$6092,[1]PlanCuentas!C$2:C$6092)</f>
        <v>0</v>
      </c>
      <c r="L153" s="12">
        <f>LOOKUP(403021000,[1]PlanCuentas!$A$2:$A$6092,[1]PlanCuentas!C$2:C$6092)</f>
        <v>0</v>
      </c>
      <c r="M153" s="12">
        <f>LOOKUP(403021100,[1]PlanCuentas!$A$2:$A$6092,[1]PlanCuentas!C$2:C$6092)</f>
        <v>0</v>
      </c>
      <c r="N153" s="12">
        <f>LOOKUP(403021200,[1]PlanCuentas!$A$2:$A$6092,[1]PlanCuentas!C$2:C$6092)</f>
        <v>0</v>
      </c>
      <c r="O153" s="12">
        <f>LOOKUP(403021300,[1]PlanCuentas!$A$2:$A$6092,[1]PlanCuentas!C$2:C$6092)</f>
        <v>0</v>
      </c>
      <c r="P153" s="12">
        <f>LOOKUP(403022000,[1]PlanCuentas!$A$2:$A$6092,[1]PlanCuentas!C$2:C$6092)</f>
        <v>0</v>
      </c>
      <c r="Q153" s="13">
        <f t="shared" ref="Q153:Q184" si="8">SUM(C153:P153)</f>
        <v>0</v>
      </c>
    </row>
    <row r="154" spans="1:17" x14ac:dyDescent="0.2">
      <c r="A154" s="10">
        <v>2</v>
      </c>
      <c r="B154" s="11" t="str">
        <f>[1]Aseguradoras!B3</f>
        <v>La Rural S.A de Seguros</v>
      </c>
      <c r="C154" s="12">
        <f>LOOKUP(403020100,[1]PlanCuentas!$A$2:$A$6092,[1]PlanCuentas!D$2:D$6092)</f>
        <v>0</v>
      </c>
      <c r="D154" s="12">
        <f>LOOKUP(403020200,[1]PlanCuentas!$A$2:$A$6092,[1]PlanCuentas!D$2:D$6092)</f>
        <v>0</v>
      </c>
      <c r="E154" s="12">
        <f>LOOKUP(403020300,[1]PlanCuentas!$A$2:$A$6092,[1]PlanCuentas!D$2:D$6092)</f>
        <v>0</v>
      </c>
      <c r="F154" s="12">
        <f>LOOKUP(403020400,[1]PlanCuentas!$A$2:$A$6092,[1]PlanCuentas!D$2:D$6092)</f>
        <v>0</v>
      </c>
      <c r="G154" s="12">
        <f>LOOKUP(403020500,[1]PlanCuentas!$A$2:$A$6092,[1]PlanCuentas!D$2:D$6092)</f>
        <v>0</v>
      </c>
      <c r="H154" s="12">
        <f>LOOKUP(403020600,[1]PlanCuentas!$A$2:$A$6092,[1]PlanCuentas!D$2:D$6092)</f>
        <v>0</v>
      </c>
      <c r="I154" s="12">
        <f>LOOKUP(403020700,[1]PlanCuentas!$A$2:$A$6092,[1]PlanCuentas!D$2:D$6092)</f>
        <v>0</v>
      </c>
      <c r="J154" s="12">
        <f>LOOKUP(403020800,[1]PlanCuentas!$A$2:$A$6092,[1]PlanCuentas!D$2:D$6092)</f>
        <v>0</v>
      </c>
      <c r="K154" s="12">
        <f>LOOKUP(403020900,[1]PlanCuentas!$A$2:$A$6092,[1]PlanCuentas!D$2:D$6092)</f>
        <v>0</v>
      </c>
      <c r="L154" s="12">
        <f>LOOKUP(403021000,[1]PlanCuentas!$A$2:$A$6092,[1]PlanCuentas!D$2:D$6092)</f>
        <v>0</v>
      </c>
      <c r="M154" s="12">
        <f>LOOKUP(403021100,[1]PlanCuentas!$A$2:$A$6092,[1]PlanCuentas!D$2:D$6092)</f>
        <v>0</v>
      </c>
      <c r="N154" s="12">
        <f>LOOKUP(403021200,[1]PlanCuentas!$A$2:$A$6092,[1]PlanCuentas!D$2:D$6092)</f>
        <v>0</v>
      </c>
      <c r="O154" s="12">
        <f>LOOKUP(403021300,[1]PlanCuentas!$A$2:$A$6092,[1]PlanCuentas!D$2:D$6092)</f>
        <v>0</v>
      </c>
      <c r="P154" s="12">
        <f>LOOKUP(403022000,[1]PlanCuentas!$A$2:$A$6092,[1]PlanCuentas!D$2:D$6092)</f>
        <v>0</v>
      </c>
      <c r="Q154" s="13">
        <f t="shared" si="8"/>
        <v>0</v>
      </c>
    </row>
    <row r="155" spans="1:17" x14ac:dyDescent="0.2">
      <c r="A155" s="10">
        <v>3</v>
      </c>
      <c r="B155" s="11" t="str">
        <f>[1]Aseguradoras!B4</f>
        <v>La Paraguaya S.A de Seguros</v>
      </c>
      <c r="C155" s="12">
        <f>LOOKUP(403020100,[1]PlanCuentas!$A$2:$A$6092,[1]PlanCuentas!E$2:E$6092)</f>
        <v>0</v>
      </c>
      <c r="D155" s="12">
        <f>LOOKUP(403020200,[1]PlanCuentas!$A$2:$A$6092,[1]PlanCuentas!E$2:E$6092)</f>
        <v>0</v>
      </c>
      <c r="E155" s="12">
        <f>LOOKUP(403020300,[1]PlanCuentas!$A$2:$A$6092,[1]PlanCuentas!E$2:E$6092)</f>
        <v>0</v>
      </c>
      <c r="F155" s="12">
        <f>LOOKUP(403020400,[1]PlanCuentas!$A$2:$A$6092,[1]PlanCuentas!E$2:E$6092)</f>
        <v>0</v>
      </c>
      <c r="G155" s="12">
        <f>LOOKUP(403020500,[1]PlanCuentas!$A$2:$A$6092,[1]PlanCuentas!E$2:E$6092)</f>
        <v>0</v>
      </c>
      <c r="H155" s="12">
        <f>LOOKUP(403020600,[1]PlanCuentas!$A$2:$A$6092,[1]PlanCuentas!E$2:E$6092)</f>
        <v>0</v>
      </c>
      <c r="I155" s="12">
        <f>LOOKUP(403020700,[1]PlanCuentas!$A$2:$A$6092,[1]PlanCuentas!E$2:E$6092)</f>
        <v>0</v>
      </c>
      <c r="J155" s="12">
        <f>LOOKUP(403020800,[1]PlanCuentas!$A$2:$A$6092,[1]PlanCuentas!E$2:E$6092)</f>
        <v>0</v>
      </c>
      <c r="K155" s="12">
        <f>LOOKUP(403020900,[1]PlanCuentas!$A$2:$A$6092,[1]PlanCuentas!E$2:E$6092)</f>
        <v>0</v>
      </c>
      <c r="L155" s="12">
        <f>LOOKUP(403021000,[1]PlanCuentas!$A$2:$A$6092,[1]PlanCuentas!E$2:E$6092)</f>
        <v>0</v>
      </c>
      <c r="M155" s="12">
        <f>LOOKUP(403021100,[1]PlanCuentas!$A$2:$A$6092,[1]PlanCuentas!E$2:E$6092)</f>
        <v>0</v>
      </c>
      <c r="N155" s="12">
        <f>LOOKUP(403021200,[1]PlanCuentas!$A$2:$A$6092,[1]PlanCuentas!E$2:E$6092)</f>
        <v>0</v>
      </c>
      <c r="O155" s="12">
        <f>LOOKUP(403021300,[1]PlanCuentas!$A$2:$A$6092,[1]PlanCuentas!E$2:E$6092)</f>
        <v>0</v>
      </c>
      <c r="P155" s="12">
        <f>LOOKUP(403022000,[1]PlanCuentas!$A$2:$A$6092,[1]PlanCuentas!E$2:E$6092)</f>
        <v>0</v>
      </c>
      <c r="Q155" s="13">
        <f t="shared" si="8"/>
        <v>0</v>
      </c>
    </row>
    <row r="156" spans="1:17" s="5" customFormat="1" x14ac:dyDescent="0.2">
      <c r="A156" s="10">
        <v>4</v>
      </c>
      <c r="B156" s="11" t="str">
        <f>[1]Aseguradoras!B5</f>
        <v>Seguros Generales S. A (SEGESA)</v>
      </c>
      <c r="C156" s="12">
        <f>LOOKUP(403020100,[1]PlanCuentas!$A$2:$A$6092,[1]PlanCuentas!F$2:F$6092)</f>
        <v>0</v>
      </c>
      <c r="D156" s="12">
        <f>LOOKUP(403020200,[1]PlanCuentas!$A$2:$A$6092,[1]PlanCuentas!F$2:F$6092)</f>
        <v>0</v>
      </c>
      <c r="E156" s="12">
        <f>LOOKUP(403020300,[1]PlanCuentas!$A$2:$A$6092,[1]PlanCuentas!F$2:F$6092)</f>
        <v>0</v>
      </c>
      <c r="F156" s="12">
        <f>LOOKUP(403020400,[1]PlanCuentas!$A$2:$A$6092,[1]PlanCuentas!F$2:F$6092)</f>
        <v>0</v>
      </c>
      <c r="G156" s="12">
        <f>LOOKUP(403020500,[1]PlanCuentas!$A$2:$A$6092,[1]PlanCuentas!F$2:F$6092)</f>
        <v>0</v>
      </c>
      <c r="H156" s="12">
        <f>LOOKUP(403020600,[1]PlanCuentas!$A$2:$A$6092,[1]PlanCuentas!F$2:F$6092)</f>
        <v>0</v>
      </c>
      <c r="I156" s="12">
        <f>LOOKUP(403020700,[1]PlanCuentas!$A$2:$A$6092,[1]PlanCuentas!F$2:F$6092)</f>
        <v>0</v>
      </c>
      <c r="J156" s="12">
        <f>LOOKUP(403020800,[1]PlanCuentas!$A$2:$A$6092,[1]PlanCuentas!F$2:F$6092)</f>
        <v>0</v>
      </c>
      <c r="K156" s="12">
        <f>LOOKUP(403020900,[1]PlanCuentas!$A$2:$A$6092,[1]PlanCuentas!F$2:F$6092)</f>
        <v>0</v>
      </c>
      <c r="L156" s="12">
        <f>LOOKUP(403021000,[1]PlanCuentas!$A$2:$A$6092,[1]PlanCuentas!F$2:F$6092)</f>
        <v>0</v>
      </c>
      <c r="M156" s="12">
        <f>LOOKUP(403021100,[1]PlanCuentas!$A$2:$A$6092,[1]PlanCuentas!F$2:F$6092)</f>
        <v>0</v>
      </c>
      <c r="N156" s="12">
        <f>LOOKUP(403021200,[1]PlanCuentas!$A$2:$A$6092,[1]PlanCuentas!F$2:F$6092)</f>
        <v>0</v>
      </c>
      <c r="O156" s="12">
        <f>LOOKUP(403021300,[1]PlanCuentas!$A$2:$A$6092,[1]PlanCuentas!F$2:F$6092)</f>
        <v>0</v>
      </c>
      <c r="P156" s="12">
        <f>LOOKUP(403022000,[1]PlanCuentas!$A$2:$A$6092,[1]PlanCuentas!F$2:F$6092)</f>
        <v>0</v>
      </c>
      <c r="Q156" s="13">
        <f t="shared" si="8"/>
        <v>0</v>
      </c>
    </row>
    <row r="157" spans="1:17" x14ac:dyDescent="0.2">
      <c r="A157" s="10">
        <v>5</v>
      </c>
      <c r="B157" s="11" t="str">
        <f>[1]Aseguradoras!B6</f>
        <v>Rumbos S.A de Seguros</v>
      </c>
      <c r="C157" s="12">
        <f>LOOKUP(403020100,[1]PlanCuentas!$A$2:$A$6092,[1]PlanCuentas!G$2:G$6092)</f>
        <v>0</v>
      </c>
      <c r="D157" s="12">
        <f>LOOKUP(403020200,[1]PlanCuentas!$A$2:$A$6092,[1]PlanCuentas!G$2:G$6092)</f>
        <v>0</v>
      </c>
      <c r="E157" s="12">
        <f>LOOKUP(403020300,[1]PlanCuentas!$A$2:$A$6092,[1]PlanCuentas!G$2:G$6092)</f>
        <v>0</v>
      </c>
      <c r="F157" s="12">
        <f>LOOKUP(403020400,[1]PlanCuentas!$A$2:$A$6092,[1]PlanCuentas!G$2:G$6092)</f>
        <v>0</v>
      </c>
      <c r="G157" s="12">
        <f>LOOKUP(403020500,[1]PlanCuentas!$A$2:$A$6092,[1]PlanCuentas!G$2:G$6092)</f>
        <v>0</v>
      </c>
      <c r="H157" s="12">
        <f>LOOKUP(403020600,[1]PlanCuentas!$A$2:$A$6092,[1]PlanCuentas!G$2:G$6092)</f>
        <v>0</v>
      </c>
      <c r="I157" s="12">
        <f>LOOKUP(403020700,[1]PlanCuentas!$A$2:$A$6092,[1]PlanCuentas!G$2:G$6092)</f>
        <v>0</v>
      </c>
      <c r="J157" s="12">
        <f>LOOKUP(403020800,[1]PlanCuentas!$A$2:$A$6092,[1]PlanCuentas!G$2:G$6092)</f>
        <v>0</v>
      </c>
      <c r="K157" s="12">
        <f>LOOKUP(403020900,[1]PlanCuentas!$A$2:$A$6092,[1]PlanCuentas!G$2:G$6092)</f>
        <v>0</v>
      </c>
      <c r="L157" s="12">
        <f>LOOKUP(403021000,[1]PlanCuentas!$A$2:$A$6092,[1]PlanCuentas!G$2:G$6092)</f>
        <v>0</v>
      </c>
      <c r="M157" s="12">
        <f>LOOKUP(403021100,[1]PlanCuentas!$A$2:$A$6092,[1]PlanCuentas!G$2:G$6092)</f>
        <v>0</v>
      </c>
      <c r="N157" s="12">
        <f>LOOKUP(403021200,[1]PlanCuentas!$A$2:$A$6092,[1]PlanCuentas!G$2:G$6092)</f>
        <v>0</v>
      </c>
      <c r="O157" s="12">
        <f>LOOKUP(403021300,[1]PlanCuentas!$A$2:$A$6092,[1]PlanCuentas!G$2:G$6092)</f>
        <v>0</v>
      </c>
      <c r="P157" s="12">
        <f>LOOKUP(403022000,[1]PlanCuentas!$A$2:$A$6092,[1]PlanCuentas!G$2:G$6092)</f>
        <v>0</v>
      </c>
      <c r="Q157" s="13">
        <f t="shared" si="8"/>
        <v>0</v>
      </c>
    </row>
    <row r="158" spans="1:17" x14ac:dyDescent="0.2">
      <c r="A158" s="10">
        <v>6</v>
      </c>
      <c r="B158" s="11" t="str">
        <f>[1]Aseguradoras!B7</f>
        <v>La Consolidada S.A de Seguros</v>
      </c>
      <c r="C158" s="12">
        <f>LOOKUP(403020100,[1]PlanCuentas!$A$2:$A$6092,[1]PlanCuentas!H$2:H$6092)</f>
        <v>0</v>
      </c>
      <c r="D158" s="12">
        <f>LOOKUP(403020200,[1]PlanCuentas!$A$2:$A$6092,[1]PlanCuentas!H$2:H$6092)</f>
        <v>0</v>
      </c>
      <c r="E158" s="12">
        <f>LOOKUP(403020300,[1]PlanCuentas!$A$2:$A$6092,[1]PlanCuentas!H$2:H$6092)</f>
        <v>0</v>
      </c>
      <c r="F158" s="12">
        <f>LOOKUP(403020400,[1]PlanCuentas!$A$2:$A$6092,[1]PlanCuentas!H$2:H$6092)</f>
        <v>0</v>
      </c>
      <c r="G158" s="12">
        <f>LOOKUP(403020500,[1]PlanCuentas!$A$2:$A$6092,[1]PlanCuentas!H$2:H$6092)</f>
        <v>0</v>
      </c>
      <c r="H158" s="12">
        <f>LOOKUP(403020600,[1]PlanCuentas!$A$2:$A$6092,[1]PlanCuentas!H$2:H$6092)</f>
        <v>0</v>
      </c>
      <c r="I158" s="12">
        <f>LOOKUP(403020700,[1]PlanCuentas!$A$2:$A$6092,[1]PlanCuentas!H$2:H$6092)</f>
        <v>0</v>
      </c>
      <c r="J158" s="12">
        <f>LOOKUP(403020800,[1]PlanCuentas!$A$2:$A$6092,[1]PlanCuentas!H$2:H$6092)</f>
        <v>0</v>
      </c>
      <c r="K158" s="12">
        <f>LOOKUP(403020900,[1]PlanCuentas!$A$2:$A$6092,[1]PlanCuentas!H$2:H$6092)</f>
        <v>0</v>
      </c>
      <c r="L158" s="12">
        <f>LOOKUP(403021000,[1]PlanCuentas!$A$2:$A$6092,[1]PlanCuentas!H$2:H$6092)</f>
        <v>0</v>
      </c>
      <c r="M158" s="12">
        <f>LOOKUP(403021100,[1]PlanCuentas!$A$2:$A$6092,[1]PlanCuentas!H$2:H$6092)</f>
        <v>0</v>
      </c>
      <c r="N158" s="12">
        <f>LOOKUP(403021200,[1]PlanCuentas!$A$2:$A$6092,[1]PlanCuentas!H$2:H$6092)</f>
        <v>0</v>
      </c>
      <c r="O158" s="12">
        <f>LOOKUP(403021300,[1]PlanCuentas!$A$2:$A$6092,[1]PlanCuentas!H$2:H$6092)</f>
        <v>0</v>
      </c>
      <c r="P158" s="12">
        <f>LOOKUP(403022000,[1]PlanCuentas!$A$2:$A$6092,[1]PlanCuentas!H$2:H$6092)</f>
        <v>0</v>
      </c>
      <c r="Q158" s="13">
        <f t="shared" si="8"/>
        <v>0</v>
      </c>
    </row>
    <row r="159" spans="1:17" x14ac:dyDescent="0.2">
      <c r="A159" s="10">
        <v>7</v>
      </c>
      <c r="B159" s="11" t="str">
        <f>[1]Aseguradoras!B8</f>
        <v>El Productor S.A de Seguros y Reaseguros</v>
      </c>
      <c r="C159" s="12">
        <f>LOOKUP(403020100,[1]PlanCuentas!$A$2:$A$6092,[1]PlanCuentas!I$2:I$6092)</f>
        <v>0</v>
      </c>
      <c r="D159" s="12">
        <f>LOOKUP(403020200,[1]PlanCuentas!$A$2:$A$6092,[1]PlanCuentas!I$2:I$6092)</f>
        <v>0</v>
      </c>
      <c r="E159" s="12">
        <f>LOOKUP(403020300,[1]PlanCuentas!$A$2:$A$6092,[1]PlanCuentas!I$2:I$6092)</f>
        <v>0</v>
      </c>
      <c r="F159" s="12">
        <f>LOOKUP(403020400,[1]PlanCuentas!$A$2:$A$6092,[1]PlanCuentas!I$2:I$6092)</f>
        <v>0</v>
      </c>
      <c r="G159" s="12">
        <f>LOOKUP(403020500,[1]PlanCuentas!$A$2:$A$6092,[1]PlanCuentas!I$2:I$6092)</f>
        <v>0</v>
      </c>
      <c r="H159" s="12">
        <f>LOOKUP(403020600,[1]PlanCuentas!$A$2:$A$6092,[1]PlanCuentas!I$2:I$6092)</f>
        <v>0</v>
      </c>
      <c r="I159" s="12">
        <f>LOOKUP(403020700,[1]PlanCuentas!$A$2:$A$6092,[1]PlanCuentas!I$2:I$6092)</f>
        <v>0</v>
      </c>
      <c r="J159" s="12">
        <f>LOOKUP(403020800,[1]PlanCuentas!$A$2:$A$6092,[1]PlanCuentas!I$2:I$6092)</f>
        <v>0</v>
      </c>
      <c r="K159" s="12">
        <f>LOOKUP(403020900,[1]PlanCuentas!$A$2:$A$6092,[1]PlanCuentas!I$2:I$6092)</f>
        <v>0</v>
      </c>
      <c r="L159" s="12">
        <f>LOOKUP(403021000,[1]PlanCuentas!$A$2:$A$6092,[1]PlanCuentas!I$2:I$6092)</f>
        <v>0</v>
      </c>
      <c r="M159" s="12">
        <f>LOOKUP(403021100,[1]PlanCuentas!$A$2:$A$6092,[1]PlanCuentas!I$2:I$6092)</f>
        <v>0</v>
      </c>
      <c r="N159" s="12">
        <f>LOOKUP(403021200,[1]PlanCuentas!$A$2:$A$6092,[1]PlanCuentas!I$2:I$6092)</f>
        <v>0</v>
      </c>
      <c r="O159" s="12">
        <f>LOOKUP(403021300,[1]PlanCuentas!$A$2:$A$6092,[1]PlanCuentas!I$2:I$6092)</f>
        <v>0</v>
      </c>
      <c r="P159" s="12">
        <f>LOOKUP(403022000,[1]PlanCuentas!$A$2:$A$6092,[1]PlanCuentas!I$2:I$6092)</f>
        <v>0</v>
      </c>
      <c r="Q159" s="13">
        <f t="shared" si="8"/>
        <v>0</v>
      </c>
    </row>
    <row r="160" spans="1:17" x14ac:dyDescent="0.2">
      <c r="A160" s="10">
        <v>8</v>
      </c>
      <c r="B160" s="11" t="str">
        <f>[1]Aseguradoras!B9</f>
        <v>Atalaya S.A de Seguros Generales</v>
      </c>
      <c r="C160" s="12">
        <f>LOOKUP(403020100,[1]PlanCuentas!$A$2:$A$6092,[1]PlanCuentas!J$2:J$6092)</f>
        <v>0</v>
      </c>
      <c r="D160" s="12">
        <f>LOOKUP(403020200,[1]PlanCuentas!$A$2:$A$6092,[1]PlanCuentas!J$2:J$6092)</f>
        <v>0</v>
      </c>
      <c r="E160" s="12">
        <f>LOOKUP(403020300,[1]PlanCuentas!$A$2:$A$6092,[1]PlanCuentas!J$2:J$6092)</f>
        <v>0</v>
      </c>
      <c r="F160" s="12">
        <f>LOOKUP(403020400,[1]PlanCuentas!$A$2:$A$6092,[1]PlanCuentas!J$2:J$6092)</f>
        <v>0</v>
      </c>
      <c r="G160" s="12">
        <f>LOOKUP(403020500,[1]PlanCuentas!$A$2:$A$6092,[1]PlanCuentas!J$2:J$6092)</f>
        <v>0</v>
      </c>
      <c r="H160" s="12">
        <f>LOOKUP(403020600,[1]PlanCuentas!$A$2:$A$6092,[1]PlanCuentas!J$2:J$6092)</f>
        <v>0</v>
      </c>
      <c r="I160" s="12">
        <f>LOOKUP(403020700,[1]PlanCuentas!$A$2:$A$6092,[1]PlanCuentas!J$2:J$6092)</f>
        <v>0</v>
      </c>
      <c r="J160" s="12">
        <f>LOOKUP(403020800,[1]PlanCuentas!$A$2:$A$6092,[1]PlanCuentas!J$2:J$6092)</f>
        <v>0</v>
      </c>
      <c r="K160" s="12">
        <f>LOOKUP(403020900,[1]PlanCuentas!$A$2:$A$6092,[1]PlanCuentas!J$2:J$6092)</f>
        <v>0</v>
      </c>
      <c r="L160" s="12">
        <f>LOOKUP(403021000,[1]PlanCuentas!$A$2:$A$6092,[1]PlanCuentas!J$2:J$6092)</f>
        <v>0</v>
      </c>
      <c r="M160" s="12">
        <f>LOOKUP(403021100,[1]PlanCuentas!$A$2:$A$6092,[1]PlanCuentas!J$2:J$6092)</f>
        <v>0</v>
      </c>
      <c r="N160" s="12">
        <f>LOOKUP(403021200,[1]PlanCuentas!$A$2:$A$6092,[1]PlanCuentas!J$2:J$6092)</f>
        <v>0</v>
      </c>
      <c r="O160" s="12">
        <f>LOOKUP(403021300,[1]PlanCuentas!$A$2:$A$6092,[1]PlanCuentas!J$2:J$6092)</f>
        <v>0</v>
      </c>
      <c r="P160" s="12">
        <f>LOOKUP(403022000,[1]PlanCuentas!$A$2:$A$6092,[1]PlanCuentas!J$2:J$6092)</f>
        <v>0</v>
      </c>
      <c r="Q160" s="13">
        <f t="shared" si="8"/>
        <v>0</v>
      </c>
    </row>
    <row r="161" spans="1:17" x14ac:dyDescent="0.2">
      <c r="A161" s="10">
        <v>9</v>
      </c>
      <c r="B161" s="11" t="str">
        <f>[1]Aseguradoras!B10</f>
        <v>La Independencia de Seguros S.A.</v>
      </c>
      <c r="C161" s="12">
        <f>LOOKUP(403020100,[1]PlanCuentas!$A$2:$A$6092,[1]PlanCuentas!K$2:K$6092)</f>
        <v>0</v>
      </c>
      <c r="D161" s="12">
        <f>LOOKUP(403020200,[1]PlanCuentas!$A$2:$A$6092,[1]PlanCuentas!K$2:K$6092)</f>
        <v>0</v>
      </c>
      <c r="E161" s="12">
        <f>LOOKUP(403020300,[1]PlanCuentas!$A$2:$A$6092,[1]PlanCuentas!K$2:K$6092)</f>
        <v>0</v>
      </c>
      <c r="F161" s="12">
        <f>LOOKUP(403020400,[1]PlanCuentas!$A$2:$A$6092,[1]PlanCuentas!K$2:K$6092)</f>
        <v>0</v>
      </c>
      <c r="G161" s="12">
        <f>LOOKUP(403020500,[1]PlanCuentas!$A$2:$A$6092,[1]PlanCuentas!K$2:K$6092)</f>
        <v>0</v>
      </c>
      <c r="H161" s="12">
        <f>LOOKUP(403020600,[1]PlanCuentas!$A$2:$A$6092,[1]PlanCuentas!K$2:K$6092)</f>
        <v>0</v>
      </c>
      <c r="I161" s="12">
        <f>LOOKUP(403020700,[1]PlanCuentas!$A$2:$A$6092,[1]PlanCuentas!K$2:K$6092)</f>
        <v>0</v>
      </c>
      <c r="J161" s="12">
        <f>LOOKUP(403020800,[1]PlanCuentas!$A$2:$A$6092,[1]PlanCuentas!K$2:K$6092)</f>
        <v>0</v>
      </c>
      <c r="K161" s="12">
        <f>LOOKUP(403020900,[1]PlanCuentas!$A$2:$A$6092,[1]PlanCuentas!K$2:K$6092)</f>
        <v>0</v>
      </c>
      <c r="L161" s="12">
        <f>LOOKUP(403021000,[1]PlanCuentas!$A$2:$A$6092,[1]PlanCuentas!K$2:K$6092)</f>
        <v>0</v>
      </c>
      <c r="M161" s="12">
        <f>LOOKUP(403021100,[1]PlanCuentas!$A$2:$A$6092,[1]PlanCuentas!K$2:K$6092)</f>
        <v>0</v>
      </c>
      <c r="N161" s="12">
        <f>LOOKUP(403021200,[1]PlanCuentas!$A$2:$A$6092,[1]PlanCuentas!K$2:K$6092)</f>
        <v>0</v>
      </c>
      <c r="O161" s="12">
        <f>LOOKUP(403021300,[1]PlanCuentas!$A$2:$A$6092,[1]PlanCuentas!K$2:K$6092)</f>
        <v>0</v>
      </c>
      <c r="P161" s="12">
        <f>LOOKUP(403022000,[1]PlanCuentas!$A$2:$A$6092,[1]PlanCuentas!K$2:K$6092)</f>
        <v>0</v>
      </c>
      <c r="Q161" s="13">
        <f t="shared" si="8"/>
        <v>0</v>
      </c>
    </row>
    <row r="162" spans="1:17" x14ac:dyDescent="0.2">
      <c r="A162" s="10">
        <v>10</v>
      </c>
      <c r="B162" s="11" t="str">
        <f>[1]Aseguradoras!B11</f>
        <v>Patria S.A de Seguros y Reaseguros</v>
      </c>
      <c r="C162" s="12">
        <f>LOOKUP(403020100,[1]PlanCuentas!$A$2:$A$6092,[1]PlanCuentas!L$2:L$6092)</f>
        <v>0</v>
      </c>
      <c r="D162" s="12">
        <f>LOOKUP(403020200,[1]PlanCuentas!$A$2:$A$6092,[1]PlanCuentas!L$2:L$6092)</f>
        <v>0</v>
      </c>
      <c r="E162" s="12">
        <f>LOOKUP(403020300,[1]PlanCuentas!$A$2:$A$6092,[1]PlanCuentas!L$2:L$6092)</f>
        <v>0</v>
      </c>
      <c r="F162" s="12">
        <f>LOOKUP(403020400,[1]PlanCuentas!$A$2:$A$6092,[1]PlanCuentas!L$2:L$6092)</f>
        <v>0</v>
      </c>
      <c r="G162" s="12">
        <f>LOOKUP(403020500,[1]PlanCuentas!$A$2:$A$6092,[1]PlanCuentas!L$2:L$6092)</f>
        <v>0</v>
      </c>
      <c r="H162" s="12">
        <f>LOOKUP(403020600,[1]PlanCuentas!$A$2:$A$6092,[1]PlanCuentas!L$2:L$6092)</f>
        <v>0</v>
      </c>
      <c r="I162" s="12">
        <f>LOOKUP(403020700,[1]PlanCuentas!$A$2:$A$6092,[1]PlanCuentas!L$2:L$6092)</f>
        <v>0</v>
      </c>
      <c r="J162" s="12">
        <f>LOOKUP(403020800,[1]PlanCuentas!$A$2:$A$6092,[1]PlanCuentas!L$2:L$6092)</f>
        <v>0</v>
      </c>
      <c r="K162" s="12">
        <f>LOOKUP(403020900,[1]PlanCuentas!$A$2:$A$6092,[1]PlanCuentas!L$2:L$6092)</f>
        <v>0</v>
      </c>
      <c r="L162" s="12">
        <f>LOOKUP(403021000,[1]PlanCuentas!$A$2:$A$6092,[1]PlanCuentas!L$2:L$6092)</f>
        <v>0</v>
      </c>
      <c r="M162" s="12">
        <f>LOOKUP(403021100,[1]PlanCuentas!$A$2:$A$6092,[1]PlanCuentas!L$2:L$6092)</f>
        <v>0</v>
      </c>
      <c r="N162" s="12">
        <f>LOOKUP(403021200,[1]PlanCuentas!$A$2:$A$6092,[1]PlanCuentas!L$2:L$6092)</f>
        <v>0</v>
      </c>
      <c r="O162" s="12">
        <f>LOOKUP(403021300,[1]PlanCuentas!$A$2:$A$6092,[1]PlanCuentas!L$2:L$6092)</f>
        <v>0</v>
      </c>
      <c r="P162" s="12">
        <f>LOOKUP(403022000,[1]PlanCuentas!$A$2:$A$6092,[1]PlanCuentas!L$2:L$6092)</f>
        <v>0</v>
      </c>
      <c r="Q162" s="13">
        <f t="shared" si="8"/>
        <v>0</v>
      </c>
    </row>
    <row r="163" spans="1:17" x14ac:dyDescent="0.2">
      <c r="A163" s="10">
        <v>11</v>
      </c>
      <c r="B163" s="11" t="str">
        <f>[1]Aseguradoras!B12</f>
        <v>Garantía S.A de Seguros y Reaseguros</v>
      </c>
      <c r="C163" s="12">
        <f>LOOKUP(403020100,[1]PlanCuentas!$A$2:$A$6092,[1]PlanCuentas!M$2:M$6092)</f>
        <v>0</v>
      </c>
      <c r="D163" s="12">
        <f>LOOKUP(403020200,[1]PlanCuentas!$A$2:$A$6092,[1]PlanCuentas!M$2:M$6092)</f>
        <v>0</v>
      </c>
      <c r="E163" s="12">
        <f>LOOKUP(403020300,[1]PlanCuentas!$A$2:$A$6092,[1]PlanCuentas!M$2:M$6092)</f>
        <v>0</v>
      </c>
      <c r="F163" s="12">
        <f>LOOKUP(403020400,[1]PlanCuentas!$A$2:$A$6092,[1]PlanCuentas!M$2:M$6092)</f>
        <v>0</v>
      </c>
      <c r="G163" s="12">
        <f>LOOKUP(403020500,[1]PlanCuentas!$A$2:$A$6092,[1]PlanCuentas!M$2:M$6092)</f>
        <v>0</v>
      </c>
      <c r="H163" s="12">
        <f>LOOKUP(403020600,[1]PlanCuentas!$A$2:$A$6092,[1]PlanCuentas!M$2:M$6092)</f>
        <v>0</v>
      </c>
      <c r="I163" s="12">
        <f>LOOKUP(403020700,[1]PlanCuentas!$A$2:$A$6092,[1]PlanCuentas!M$2:M$6092)</f>
        <v>0</v>
      </c>
      <c r="J163" s="12">
        <f>LOOKUP(403020800,[1]PlanCuentas!$A$2:$A$6092,[1]PlanCuentas!M$2:M$6092)</f>
        <v>0</v>
      </c>
      <c r="K163" s="12">
        <f>LOOKUP(403020900,[1]PlanCuentas!$A$2:$A$6092,[1]PlanCuentas!M$2:M$6092)</f>
        <v>0</v>
      </c>
      <c r="L163" s="12">
        <f>LOOKUP(403021000,[1]PlanCuentas!$A$2:$A$6092,[1]PlanCuentas!M$2:M$6092)</f>
        <v>0</v>
      </c>
      <c r="M163" s="12">
        <f>LOOKUP(403021100,[1]PlanCuentas!$A$2:$A$6092,[1]PlanCuentas!M$2:M$6092)</f>
        <v>0</v>
      </c>
      <c r="N163" s="12">
        <f>LOOKUP(403021200,[1]PlanCuentas!$A$2:$A$6092,[1]PlanCuentas!M$2:M$6092)</f>
        <v>0</v>
      </c>
      <c r="O163" s="12">
        <f>LOOKUP(403021300,[1]PlanCuentas!$A$2:$A$6092,[1]PlanCuentas!M$2:M$6092)</f>
        <v>0</v>
      </c>
      <c r="P163" s="12">
        <f>LOOKUP(403022000,[1]PlanCuentas!$A$2:$A$6092,[1]PlanCuentas!M$2:M$6092)</f>
        <v>0</v>
      </c>
      <c r="Q163" s="13">
        <f t="shared" si="8"/>
        <v>0</v>
      </c>
    </row>
    <row r="164" spans="1:17" x14ac:dyDescent="0.2">
      <c r="A164" s="10">
        <v>12</v>
      </c>
      <c r="B164" s="11" t="str">
        <f>[1]Aseguradoras!B13</f>
        <v>Aseguradora Paraguaya S.A.</v>
      </c>
      <c r="C164" s="12">
        <f>LOOKUP(403020100,[1]PlanCuentas!$A$2:$A$6092,[1]PlanCuentas!N$2:N$6092)</f>
        <v>0</v>
      </c>
      <c r="D164" s="12">
        <f>LOOKUP(403020200,[1]PlanCuentas!$A$2:$A$6092,[1]PlanCuentas!N$2:N$6092)</f>
        <v>0</v>
      </c>
      <c r="E164" s="12">
        <f>LOOKUP(403020300,[1]PlanCuentas!$A$2:$A$6092,[1]PlanCuentas!N$2:N$6092)</f>
        <v>0</v>
      </c>
      <c r="F164" s="12">
        <f>LOOKUP(403020400,[1]PlanCuentas!$A$2:$A$6092,[1]PlanCuentas!N$2:N$6092)</f>
        <v>0</v>
      </c>
      <c r="G164" s="12">
        <f>LOOKUP(403020500,[1]PlanCuentas!$A$2:$A$6092,[1]PlanCuentas!N$2:N$6092)</f>
        <v>0</v>
      </c>
      <c r="H164" s="12">
        <f>LOOKUP(403020600,[1]PlanCuentas!$A$2:$A$6092,[1]PlanCuentas!N$2:N$6092)</f>
        <v>0</v>
      </c>
      <c r="I164" s="12">
        <f>LOOKUP(403020700,[1]PlanCuentas!$A$2:$A$6092,[1]PlanCuentas!N$2:N$6092)</f>
        <v>0</v>
      </c>
      <c r="J164" s="12">
        <f>LOOKUP(403020800,[1]PlanCuentas!$A$2:$A$6092,[1]PlanCuentas!N$2:N$6092)</f>
        <v>0</v>
      </c>
      <c r="K164" s="12">
        <f>LOOKUP(403020900,[1]PlanCuentas!$A$2:$A$6092,[1]PlanCuentas!N$2:N$6092)</f>
        <v>0</v>
      </c>
      <c r="L164" s="12">
        <f>LOOKUP(403021000,[1]PlanCuentas!$A$2:$A$6092,[1]PlanCuentas!N$2:N$6092)</f>
        <v>0</v>
      </c>
      <c r="M164" s="12">
        <f>LOOKUP(403021100,[1]PlanCuentas!$A$2:$A$6092,[1]PlanCuentas!N$2:N$6092)</f>
        <v>0</v>
      </c>
      <c r="N164" s="12">
        <f>LOOKUP(403021200,[1]PlanCuentas!$A$2:$A$6092,[1]PlanCuentas!N$2:N$6092)</f>
        <v>0</v>
      </c>
      <c r="O164" s="12">
        <f>LOOKUP(403021300,[1]PlanCuentas!$A$2:$A$6092,[1]PlanCuentas!N$2:N$6092)</f>
        <v>0</v>
      </c>
      <c r="P164" s="12">
        <f>LOOKUP(403022000,[1]PlanCuentas!$A$2:$A$6092,[1]PlanCuentas!N$2:N$6092)</f>
        <v>0</v>
      </c>
      <c r="Q164" s="13">
        <f t="shared" si="8"/>
        <v>0</v>
      </c>
    </row>
    <row r="165" spans="1:17" x14ac:dyDescent="0.2">
      <c r="A165" s="10">
        <v>13</v>
      </c>
      <c r="B165" s="11" t="str">
        <f>[1]Aseguradoras!B14</f>
        <v>Fénix S.A de Seguros y Reaseguros</v>
      </c>
      <c r="C165" s="12">
        <f>LOOKUP(403020100,[1]PlanCuentas!$A$2:$A$6092,[1]PlanCuentas!O$2:O$6092)</f>
        <v>0</v>
      </c>
      <c r="D165" s="12">
        <f>LOOKUP(403020200,[1]PlanCuentas!$A$2:$A$6092,[1]PlanCuentas!O$2:O$6092)</f>
        <v>0</v>
      </c>
      <c r="E165" s="12">
        <f>LOOKUP(403020300,[1]PlanCuentas!$A$2:$A$6092,[1]PlanCuentas!O$2:O$6092)</f>
        <v>0</v>
      </c>
      <c r="F165" s="12">
        <f>LOOKUP(403020400,[1]PlanCuentas!$A$2:$A$6092,[1]PlanCuentas!O$2:O$6092)</f>
        <v>0</v>
      </c>
      <c r="G165" s="12">
        <f>LOOKUP(403020500,[1]PlanCuentas!$A$2:$A$6092,[1]PlanCuentas!O$2:O$6092)</f>
        <v>0</v>
      </c>
      <c r="H165" s="12">
        <f>LOOKUP(403020600,[1]PlanCuentas!$A$2:$A$6092,[1]PlanCuentas!O$2:O$6092)</f>
        <v>0</v>
      </c>
      <c r="I165" s="12">
        <f>LOOKUP(403020700,[1]PlanCuentas!$A$2:$A$6092,[1]PlanCuentas!O$2:O$6092)</f>
        <v>0</v>
      </c>
      <c r="J165" s="12">
        <f>LOOKUP(403020800,[1]PlanCuentas!$A$2:$A$6092,[1]PlanCuentas!O$2:O$6092)</f>
        <v>0</v>
      </c>
      <c r="K165" s="12">
        <f>LOOKUP(403020900,[1]PlanCuentas!$A$2:$A$6092,[1]PlanCuentas!O$2:O$6092)</f>
        <v>0</v>
      </c>
      <c r="L165" s="12">
        <f>LOOKUP(403021000,[1]PlanCuentas!$A$2:$A$6092,[1]PlanCuentas!O$2:O$6092)</f>
        <v>0</v>
      </c>
      <c r="M165" s="12">
        <f>LOOKUP(403021100,[1]PlanCuentas!$A$2:$A$6092,[1]PlanCuentas!O$2:O$6092)</f>
        <v>0</v>
      </c>
      <c r="N165" s="12">
        <f>LOOKUP(403021200,[1]PlanCuentas!$A$2:$A$6092,[1]PlanCuentas!O$2:O$6092)</f>
        <v>0</v>
      </c>
      <c r="O165" s="12">
        <f>LOOKUP(403021300,[1]PlanCuentas!$A$2:$A$6092,[1]PlanCuentas!O$2:O$6092)</f>
        <v>0</v>
      </c>
      <c r="P165" s="12">
        <f>LOOKUP(403022000,[1]PlanCuentas!$A$2:$A$6092,[1]PlanCuentas!O$2:O$6092)</f>
        <v>0</v>
      </c>
      <c r="Q165" s="13">
        <f t="shared" si="8"/>
        <v>0</v>
      </c>
    </row>
    <row r="166" spans="1:17" x14ac:dyDescent="0.2">
      <c r="A166" s="10">
        <v>14</v>
      </c>
      <c r="B166" s="11" t="str">
        <f>[1]Aseguradoras!B15</f>
        <v>Central S.A de Seguros</v>
      </c>
      <c r="C166" s="12">
        <f>LOOKUP(403020100,[1]PlanCuentas!$A$2:$A$6092,[1]PlanCuentas!P$2:P$6092)</f>
        <v>0</v>
      </c>
      <c r="D166" s="12">
        <f>LOOKUP(403020200,[1]PlanCuentas!$A$2:$A$6092,[1]PlanCuentas!P$2:P$6092)</f>
        <v>0</v>
      </c>
      <c r="E166" s="12">
        <f>LOOKUP(403020300,[1]PlanCuentas!$A$2:$A$6092,[1]PlanCuentas!P$2:P$6092)</f>
        <v>0</v>
      </c>
      <c r="F166" s="12">
        <f>LOOKUP(403020400,[1]PlanCuentas!$A$2:$A$6092,[1]PlanCuentas!P$2:P$6092)</f>
        <v>0</v>
      </c>
      <c r="G166" s="12">
        <f>LOOKUP(403020500,[1]PlanCuentas!$A$2:$A$6092,[1]PlanCuentas!P$2:P$6092)</f>
        <v>0</v>
      </c>
      <c r="H166" s="12">
        <f>LOOKUP(403020600,[1]PlanCuentas!$A$2:$A$6092,[1]PlanCuentas!P$2:P$6092)</f>
        <v>0</v>
      </c>
      <c r="I166" s="12">
        <f>LOOKUP(403020700,[1]PlanCuentas!$A$2:$A$6092,[1]PlanCuentas!P$2:P$6092)</f>
        <v>0</v>
      </c>
      <c r="J166" s="12">
        <f>LOOKUP(403020800,[1]PlanCuentas!$A$2:$A$6092,[1]PlanCuentas!P$2:P$6092)</f>
        <v>0</v>
      </c>
      <c r="K166" s="12">
        <f>LOOKUP(403020900,[1]PlanCuentas!$A$2:$A$6092,[1]PlanCuentas!P$2:P$6092)</f>
        <v>0</v>
      </c>
      <c r="L166" s="12">
        <f>LOOKUP(403021000,[1]PlanCuentas!$A$2:$A$6092,[1]PlanCuentas!P$2:P$6092)</f>
        <v>0</v>
      </c>
      <c r="M166" s="12">
        <f>LOOKUP(403021100,[1]PlanCuentas!$A$2:$A$6092,[1]PlanCuentas!P$2:P$6092)</f>
        <v>0</v>
      </c>
      <c r="N166" s="12">
        <f>LOOKUP(403021200,[1]PlanCuentas!$A$2:$A$6092,[1]PlanCuentas!P$2:P$6092)</f>
        <v>0</v>
      </c>
      <c r="O166" s="12">
        <f>LOOKUP(403021300,[1]PlanCuentas!$A$2:$A$6092,[1]PlanCuentas!P$2:P$6092)</f>
        <v>0</v>
      </c>
      <c r="P166" s="12">
        <f>LOOKUP(403022000,[1]PlanCuentas!$A$2:$A$6092,[1]PlanCuentas!P$2:P$6092)</f>
        <v>0</v>
      </c>
      <c r="Q166" s="13">
        <f t="shared" si="8"/>
        <v>0</v>
      </c>
    </row>
    <row r="167" spans="1:17" x14ac:dyDescent="0.2">
      <c r="A167" s="10">
        <v>15</v>
      </c>
      <c r="B167" s="11" t="str">
        <f>[1]Aseguradoras!B16</f>
        <v>Seguros Chaco S.A de Seguros y Reaseguros</v>
      </c>
      <c r="C167" s="12">
        <f>LOOKUP(403020100,[1]PlanCuentas!$A$2:$A$6092,[1]PlanCuentas!Q$2:Q$6092)</f>
        <v>0</v>
      </c>
      <c r="D167" s="12">
        <f>LOOKUP(403020200,[1]PlanCuentas!$A$2:$A$6092,[1]PlanCuentas!Q$2:Q$6092)</f>
        <v>0</v>
      </c>
      <c r="E167" s="12">
        <f>LOOKUP(403020300,[1]PlanCuentas!$A$2:$A$6092,[1]PlanCuentas!Q$2:Q$6092)</f>
        <v>0</v>
      </c>
      <c r="F167" s="12">
        <f>LOOKUP(403020400,[1]PlanCuentas!$A$2:$A$6092,[1]PlanCuentas!Q$2:Q$6092)</f>
        <v>0</v>
      </c>
      <c r="G167" s="12">
        <f>LOOKUP(403020500,[1]PlanCuentas!$A$2:$A$6092,[1]PlanCuentas!Q$2:Q$6092)</f>
        <v>0</v>
      </c>
      <c r="H167" s="12">
        <f>LOOKUP(403020600,[1]PlanCuentas!$A$2:$A$6092,[1]PlanCuentas!Q$2:Q$6092)</f>
        <v>0</v>
      </c>
      <c r="I167" s="12">
        <f>LOOKUP(403020700,[1]PlanCuentas!$A$2:$A$6092,[1]PlanCuentas!Q$2:Q$6092)</f>
        <v>0</v>
      </c>
      <c r="J167" s="12">
        <f>LOOKUP(403020800,[1]PlanCuentas!$A$2:$A$6092,[1]PlanCuentas!Q$2:Q$6092)</f>
        <v>0</v>
      </c>
      <c r="K167" s="12">
        <f>LOOKUP(403020900,[1]PlanCuentas!$A$2:$A$6092,[1]PlanCuentas!Q$2:Q$6092)</f>
        <v>0</v>
      </c>
      <c r="L167" s="12">
        <f>LOOKUP(403021000,[1]PlanCuentas!$A$2:$A$6092,[1]PlanCuentas!Q$2:Q$6092)</f>
        <v>0</v>
      </c>
      <c r="M167" s="12">
        <f>LOOKUP(403021100,[1]PlanCuentas!$A$2:$A$6092,[1]PlanCuentas!Q$2:Q$6092)</f>
        <v>0</v>
      </c>
      <c r="N167" s="12">
        <f>LOOKUP(403021200,[1]PlanCuentas!$A$2:$A$6092,[1]PlanCuentas!Q$2:Q$6092)</f>
        <v>0</v>
      </c>
      <c r="O167" s="12">
        <f>LOOKUP(403021300,[1]PlanCuentas!$A$2:$A$6092,[1]PlanCuentas!Q$2:Q$6092)</f>
        <v>0</v>
      </c>
      <c r="P167" s="12">
        <f>LOOKUP(403022000,[1]PlanCuentas!$A$2:$A$6092,[1]PlanCuentas!Q$2:Q$6092)</f>
        <v>0</v>
      </c>
      <c r="Q167" s="13">
        <f t="shared" si="8"/>
        <v>0</v>
      </c>
    </row>
    <row r="168" spans="1:17" x14ac:dyDescent="0.2">
      <c r="A168" s="10">
        <v>16</v>
      </c>
      <c r="B168" s="11" t="str">
        <f>[1]Aseguradoras!B17</f>
        <v>El Sol Del Paraguay Compañía de Seguros y Reaseguros S.A.</v>
      </c>
      <c r="C168" s="12">
        <f>LOOKUP(403020100,[1]PlanCuentas!$A$2:$A$6092,[1]PlanCuentas!R$2:R$6092)</f>
        <v>0</v>
      </c>
      <c r="D168" s="12">
        <f>LOOKUP(403020200,[1]PlanCuentas!$A$2:$A$6092,[1]PlanCuentas!R$2:R$6092)</f>
        <v>0</v>
      </c>
      <c r="E168" s="12">
        <f>LOOKUP(403020300,[1]PlanCuentas!$A$2:$A$6092,[1]PlanCuentas!R$2:R$6092)</f>
        <v>0</v>
      </c>
      <c r="F168" s="12">
        <f>LOOKUP(403020400,[1]PlanCuentas!$A$2:$A$6092,[1]PlanCuentas!R$2:R$6092)</f>
        <v>0</v>
      </c>
      <c r="G168" s="12">
        <f>LOOKUP(403020500,[1]PlanCuentas!$A$2:$A$6092,[1]PlanCuentas!R$2:R$6092)</f>
        <v>0</v>
      </c>
      <c r="H168" s="12">
        <f>LOOKUP(403020600,[1]PlanCuentas!$A$2:$A$6092,[1]PlanCuentas!R$2:R$6092)</f>
        <v>0</v>
      </c>
      <c r="I168" s="12">
        <f>LOOKUP(403020700,[1]PlanCuentas!$A$2:$A$6092,[1]PlanCuentas!R$2:R$6092)</f>
        <v>0</v>
      </c>
      <c r="J168" s="12">
        <f>LOOKUP(403020800,[1]PlanCuentas!$A$2:$A$6092,[1]PlanCuentas!R$2:R$6092)</f>
        <v>0</v>
      </c>
      <c r="K168" s="12">
        <f>LOOKUP(403020900,[1]PlanCuentas!$A$2:$A$6092,[1]PlanCuentas!R$2:R$6092)</f>
        <v>0</v>
      </c>
      <c r="L168" s="12">
        <f>LOOKUP(403021000,[1]PlanCuentas!$A$2:$A$6092,[1]PlanCuentas!R$2:R$6092)</f>
        <v>0</v>
      </c>
      <c r="M168" s="12">
        <f>LOOKUP(403021100,[1]PlanCuentas!$A$2:$A$6092,[1]PlanCuentas!R$2:R$6092)</f>
        <v>0</v>
      </c>
      <c r="N168" s="12">
        <f>LOOKUP(403021200,[1]PlanCuentas!$A$2:$A$6092,[1]PlanCuentas!R$2:R$6092)</f>
        <v>0</v>
      </c>
      <c r="O168" s="12">
        <f>LOOKUP(403021300,[1]PlanCuentas!$A$2:$A$6092,[1]PlanCuentas!R$2:R$6092)</f>
        <v>0</v>
      </c>
      <c r="P168" s="12">
        <f>LOOKUP(403022000,[1]PlanCuentas!$A$2:$A$6092,[1]PlanCuentas!R$2:R$6092)</f>
        <v>0</v>
      </c>
      <c r="Q168" s="13">
        <f t="shared" si="8"/>
        <v>0</v>
      </c>
    </row>
    <row r="169" spans="1:17" x14ac:dyDescent="0.2">
      <c r="A169" s="10">
        <v>17</v>
      </c>
      <c r="B169" s="11" t="str">
        <f>[1]Aseguradoras!B18</f>
        <v>Intercontinental de Seguros y Reaseguros S.A.</v>
      </c>
      <c r="C169" s="12">
        <f>LOOKUP(403020100,[1]PlanCuentas!$A$2:$A$6092,[1]PlanCuentas!S$2:S$6092)</f>
        <v>0</v>
      </c>
      <c r="D169" s="12">
        <f>LOOKUP(403020200,[1]PlanCuentas!$A$2:$A$6092,[1]PlanCuentas!S$2:S$6092)</f>
        <v>0</v>
      </c>
      <c r="E169" s="12">
        <f>LOOKUP(403020300,[1]PlanCuentas!$A$2:$A$6092,[1]PlanCuentas!S$2:S$6092)</f>
        <v>0</v>
      </c>
      <c r="F169" s="12">
        <f>LOOKUP(403020400,[1]PlanCuentas!$A$2:$A$6092,[1]PlanCuentas!S$2:S$6092)</f>
        <v>0</v>
      </c>
      <c r="G169" s="12">
        <f>LOOKUP(403020500,[1]PlanCuentas!$A$2:$A$6092,[1]PlanCuentas!S$2:S$6092)</f>
        <v>0</v>
      </c>
      <c r="H169" s="12">
        <f>LOOKUP(403020600,[1]PlanCuentas!$A$2:$A$6092,[1]PlanCuentas!S$2:S$6092)</f>
        <v>0</v>
      </c>
      <c r="I169" s="12">
        <f>LOOKUP(403020700,[1]PlanCuentas!$A$2:$A$6092,[1]PlanCuentas!S$2:S$6092)</f>
        <v>0</v>
      </c>
      <c r="J169" s="12">
        <f>LOOKUP(403020800,[1]PlanCuentas!$A$2:$A$6092,[1]PlanCuentas!S$2:S$6092)</f>
        <v>0</v>
      </c>
      <c r="K169" s="12">
        <f>LOOKUP(403020900,[1]PlanCuentas!$A$2:$A$6092,[1]PlanCuentas!S$2:S$6092)</f>
        <v>0</v>
      </c>
      <c r="L169" s="12">
        <f>LOOKUP(403021000,[1]PlanCuentas!$A$2:$A$6092,[1]PlanCuentas!S$2:S$6092)</f>
        <v>0</v>
      </c>
      <c r="M169" s="12">
        <f>LOOKUP(403021100,[1]PlanCuentas!$A$2:$A$6092,[1]PlanCuentas!S$2:S$6092)</f>
        <v>0</v>
      </c>
      <c r="N169" s="12">
        <f>LOOKUP(403021200,[1]PlanCuentas!$A$2:$A$6092,[1]PlanCuentas!S$2:S$6092)</f>
        <v>0</v>
      </c>
      <c r="O169" s="12">
        <f>LOOKUP(403021300,[1]PlanCuentas!$A$2:$A$6092,[1]PlanCuentas!S$2:S$6092)</f>
        <v>0</v>
      </c>
      <c r="P169" s="12">
        <f>LOOKUP(403022000,[1]PlanCuentas!$A$2:$A$6092,[1]PlanCuentas!S$2:S$6092)</f>
        <v>0</v>
      </c>
      <c r="Q169" s="13">
        <f t="shared" si="8"/>
        <v>0</v>
      </c>
    </row>
    <row r="170" spans="1:17" x14ac:dyDescent="0.2">
      <c r="A170" s="10">
        <v>18</v>
      </c>
      <c r="B170" s="11" t="str">
        <f>[1]Aseguradoras!B19</f>
        <v>Seguridad S.A Compañía de Seguros</v>
      </c>
      <c r="C170" s="12">
        <f>LOOKUP(403020100,[1]PlanCuentas!$A$2:$A$6092,[1]PlanCuentas!T$2:T$6092)</f>
        <v>0</v>
      </c>
      <c r="D170" s="12">
        <f>LOOKUP(403020200,[1]PlanCuentas!$A$2:$A$6092,[1]PlanCuentas!T$2:T$6092)</f>
        <v>0</v>
      </c>
      <c r="E170" s="12">
        <f>LOOKUP(403020300,[1]PlanCuentas!$A$2:$A$6092,[1]PlanCuentas!T$2:T$6092)</f>
        <v>0</v>
      </c>
      <c r="F170" s="12">
        <f>LOOKUP(403020400,[1]PlanCuentas!$A$2:$A$6092,[1]PlanCuentas!T$2:T$6092)</f>
        <v>0</v>
      </c>
      <c r="G170" s="12">
        <f>LOOKUP(403020500,[1]PlanCuentas!$A$2:$A$6092,[1]PlanCuentas!T$2:T$6092)</f>
        <v>0</v>
      </c>
      <c r="H170" s="12">
        <f>LOOKUP(403020600,[1]PlanCuentas!$A$2:$A$6092,[1]PlanCuentas!T$2:T$6092)</f>
        <v>0</v>
      </c>
      <c r="I170" s="12">
        <f>LOOKUP(403020700,[1]PlanCuentas!$A$2:$A$6092,[1]PlanCuentas!T$2:T$6092)</f>
        <v>0</v>
      </c>
      <c r="J170" s="12">
        <f>LOOKUP(403020800,[1]PlanCuentas!$A$2:$A$6092,[1]PlanCuentas!T$2:T$6092)</f>
        <v>0</v>
      </c>
      <c r="K170" s="12">
        <f>LOOKUP(403020900,[1]PlanCuentas!$A$2:$A$6092,[1]PlanCuentas!T$2:T$6092)</f>
        <v>0</v>
      </c>
      <c r="L170" s="12">
        <f>LOOKUP(403021000,[1]PlanCuentas!$A$2:$A$6092,[1]PlanCuentas!T$2:T$6092)</f>
        <v>0</v>
      </c>
      <c r="M170" s="12">
        <f>LOOKUP(403021100,[1]PlanCuentas!$A$2:$A$6092,[1]PlanCuentas!T$2:T$6092)</f>
        <v>0</v>
      </c>
      <c r="N170" s="12">
        <f>LOOKUP(403021200,[1]PlanCuentas!$A$2:$A$6092,[1]PlanCuentas!T$2:T$6092)</f>
        <v>0</v>
      </c>
      <c r="O170" s="12">
        <f>LOOKUP(403021300,[1]PlanCuentas!$A$2:$A$6092,[1]PlanCuentas!T$2:T$6092)</f>
        <v>0</v>
      </c>
      <c r="P170" s="12">
        <f>LOOKUP(403022000,[1]PlanCuentas!$A$2:$A$6092,[1]PlanCuentas!T$2:T$6092)</f>
        <v>0</v>
      </c>
      <c r="Q170" s="13">
        <f t="shared" si="8"/>
        <v>0</v>
      </c>
    </row>
    <row r="171" spans="1:17" x14ac:dyDescent="0.2">
      <c r="A171" s="10">
        <v>19</v>
      </c>
      <c r="B171" s="11" t="str">
        <f>[1]Aseguradoras!B20</f>
        <v>Universo de Seguros y Reaseguros S.A.</v>
      </c>
      <c r="C171" s="12">
        <f>LOOKUP(403020100,[1]PlanCuentas!$A$2:$A$6092,[1]PlanCuentas!U$2:U$6092)</f>
        <v>0</v>
      </c>
      <c r="D171" s="12">
        <f>LOOKUP(403020200,[1]PlanCuentas!$A$2:$A$6092,[1]PlanCuentas!U$2:U$6092)</f>
        <v>0</v>
      </c>
      <c r="E171" s="12">
        <f>LOOKUP(403020300,[1]PlanCuentas!$A$2:$A$6092,[1]PlanCuentas!U$2:U$6092)</f>
        <v>0</v>
      </c>
      <c r="F171" s="12">
        <f>LOOKUP(403020400,[1]PlanCuentas!$A$2:$A$6092,[1]PlanCuentas!U$2:U$6092)</f>
        <v>0</v>
      </c>
      <c r="G171" s="12">
        <f>LOOKUP(403020500,[1]PlanCuentas!$A$2:$A$6092,[1]PlanCuentas!U$2:U$6092)</f>
        <v>0</v>
      </c>
      <c r="H171" s="12">
        <f>LOOKUP(403020600,[1]PlanCuentas!$A$2:$A$6092,[1]PlanCuentas!U$2:U$6092)</f>
        <v>0</v>
      </c>
      <c r="I171" s="12">
        <f>LOOKUP(403020700,[1]PlanCuentas!$A$2:$A$6092,[1]PlanCuentas!U$2:U$6092)</f>
        <v>0</v>
      </c>
      <c r="J171" s="12">
        <f>LOOKUP(403020800,[1]PlanCuentas!$A$2:$A$6092,[1]PlanCuentas!U$2:U$6092)</f>
        <v>0</v>
      </c>
      <c r="K171" s="12">
        <f>LOOKUP(403020900,[1]PlanCuentas!$A$2:$A$6092,[1]PlanCuentas!U$2:U$6092)</f>
        <v>0</v>
      </c>
      <c r="L171" s="12">
        <f>LOOKUP(403021000,[1]PlanCuentas!$A$2:$A$6092,[1]PlanCuentas!U$2:U$6092)</f>
        <v>0</v>
      </c>
      <c r="M171" s="12">
        <f>LOOKUP(403021100,[1]PlanCuentas!$A$2:$A$6092,[1]PlanCuentas!U$2:U$6092)</f>
        <v>0</v>
      </c>
      <c r="N171" s="12">
        <f>LOOKUP(403021200,[1]PlanCuentas!$A$2:$A$6092,[1]PlanCuentas!U$2:U$6092)</f>
        <v>0</v>
      </c>
      <c r="O171" s="12">
        <f>LOOKUP(403021300,[1]PlanCuentas!$A$2:$A$6092,[1]PlanCuentas!U$2:U$6092)</f>
        <v>0</v>
      </c>
      <c r="P171" s="12">
        <f>LOOKUP(403022000,[1]PlanCuentas!$A$2:$A$6092,[1]PlanCuentas!U$2:U$6092)</f>
        <v>0</v>
      </c>
      <c r="Q171" s="13">
        <f t="shared" si="8"/>
        <v>0</v>
      </c>
    </row>
    <row r="172" spans="1:17" x14ac:dyDescent="0.2">
      <c r="A172" s="10">
        <v>20</v>
      </c>
      <c r="B172" s="11" t="str">
        <f>[1]Aseguradoras!B21</f>
        <v>Aseguradora Yacyreta S.A de Seguros y Reaseguros</v>
      </c>
      <c r="C172" s="12">
        <f>LOOKUP(403020100,[1]PlanCuentas!$A$2:$A$6092,[1]PlanCuentas!V$2:V$6092)</f>
        <v>0</v>
      </c>
      <c r="D172" s="12">
        <f>LOOKUP(403020200,[1]PlanCuentas!$A$2:$A$6092,[1]PlanCuentas!V$2:V$6092)</f>
        <v>0</v>
      </c>
      <c r="E172" s="12">
        <f>LOOKUP(403020300,[1]PlanCuentas!$A$2:$A$6092,[1]PlanCuentas!V$2:V$6092)</f>
        <v>0</v>
      </c>
      <c r="F172" s="12">
        <f>LOOKUP(403020400,[1]PlanCuentas!$A$2:$A$6092,[1]PlanCuentas!V$2:V$6092)</f>
        <v>0</v>
      </c>
      <c r="G172" s="12">
        <f>LOOKUP(403020500,[1]PlanCuentas!$A$2:$A$6092,[1]PlanCuentas!V$2:V$6092)</f>
        <v>0</v>
      </c>
      <c r="H172" s="12">
        <f>LOOKUP(403020600,[1]PlanCuentas!$A$2:$A$6092,[1]PlanCuentas!V$2:V$6092)</f>
        <v>0</v>
      </c>
      <c r="I172" s="12">
        <f>LOOKUP(403020700,[1]PlanCuentas!$A$2:$A$6092,[1]PlanCuentas!V$2:V$6092)</f>
        <v>0</v>
      </c>
      <c r="J172" s="12">
        <f>LOOKUP(403020800,[1]PlanCuentas!$A$2:$A$6092,[1]PlanCuentas!V$2:V$6092)</f>
        <v>0</v>
      </c>
      <c r="K172" s="12">
        <f>LOOKUP(403020900,[1]PlanCuentas!$A$2:$A$6092,[1]PlanCuentas!V$2:V$6092)</f>
        <v>0</v>
      </c>
      <c r="L172" s="12">
        <f>LOOKUP(403021000,[1]PlanCuentas!$A$2:$A$6092,[1]PlanCuentas!V$2:V$6092)</f>
        <v>0</v>
      </c>
      <c r="M172" s="12">
        <f>LOOKUP(403021100,[1]PlanCuentas!$A$2:$A$6092,[1]PlanCuentas!V$2:V$6092)</f>
        <v>0</v>
      </c>
      <c r="N172" s="12">
        <f>LOOKUP(403021200,[1]PlanCuentas!$A$2:$A$6092,[1]PlanCuentas!V$2:V$6092)</f>
        <v>0</v>
      </c>
      <c r="O172" s="12">
        <f>LOOKUP(403021300,[1]PlanCuentas!$A$2:$A$6092,[1]PlanCuentas!V$2:V$6092)</f>
        <v>0</v>
      </c>
      <c r="P172" s="12">
        <f>LOOKUP(403022000,[1]PlanCuentas!$A$2:$A$6092,[1]PlanCuentas!V$2:V$6092)</f>
        <v>0</v>
      </c>
      <c r="Q172" s="13">
        <f t="shared" si="8"/>
        <v>0</v>
      </c>
    </row>
    <row r="173" spans="1:17" x14ac:dyDescent="0.2">
      <c r="A173" s="10">
        <v>21</v>
      </c>
      <c r="B173" s="11" t="str">
        <f>[1]Aseguradoras!B22</f>
        <v>La Agricola S.A de Seguros y Reaseguros</v>
      </c>
      <c r="C173" s="12">
        <f>LOOKUP(403020100,[1]PlanCuentas!$A$2:$A$6092,[1]PlanCuentas!W$2:W$6092)</f>
        <v>0</v>
      </c>
      <c r="D173" s="12">
        <f>LOOKUP(403020200,[1]PlanCuentas!$A$2:$A$6092,[1]PlanCuentas!W$2:W$6092)</f>
        <v>0</v>
      </c>
      <c r="E173" s="12">
        <f>LOOKUP(403020300,[1]PlanCuentas!$A$2:$A$6092,[1]PlanCuentas!W$2:W$6092)</f>
        <v>0</v>
      </c>
      <c r="F173" s="12">
        <f>LOOKUP(403020400,[1]PlanCuentas!$A$2:$A$6092,[1]PlanCuentas!W$2:W$6092)</f>
        <v>0</v>
      </c>
      <c r="G173" s="12">
        <f>LOOKUP(403020500,[1]PlanCuentas!$A$2:$A$6092,[1]PlanCuentas!W$2:W$6092)</f>
        <v>0</v>
      </c>
      <c r="H173" s="12">
        <f>LOOKUP(403020600,[1]PlanCuentas!$A$2:$A$6092,[1]PlanCuentas!W$2:W$6092)</f>
        <v>0</v>
      </c>
      <c r="I173" s="12">
        <f>LOOKUP(403020700,[1]PlanCuentas!$A$2:$A$6092,[1]PlanCuentas!W$2:W$6092)</f>
        <v>0</v>
      </c>
      <c r="J173" s="12">
        <f>LOOKUP(403020800,[1]PlanCuentas!$A$2:$A$6092,[1]PlanCuentas!W$2:W$6092)</f>
        <v>0</v>
      </c>
      <c r="K173" s="12">
        <f>LOOKUP(403020900,[1]PlanCuentas!$A$2:$A$6092,[1]PlanCuentas!W$2:W$6092)</f>
        <v>0</v>
      </c>
      <c r="L173" s="12">
        <f>LOOKUP(403021000,[1]PlanCuentas!$A$2:$A$6092,[1]PlanCuentas!W$2:W$6092)</f>
        <v>0</v>
      </c>
      <c r="M173" s="12">
        <f>LOOKUP(403021100,[1]PlanCuentas!$A$2:$A$6092,[1]PlanCuentas!W$2:W$6092)</f>
        <v>0</v>
      </c>
      <c r="N173" s="12">
        <f>LOOKUP(403021200,[1]PlanCuentas!$A$2:$A$6092,[1]PlanCuentas!W$2:W$6092)</f>
        <v>0</v>
      </c>
      <c r="O173" s="12">
        <f>LOOKUP(403021300,[1]PlanCuentas!$A$2:$A$6092,[1]PlanCuentas!W$2:W$6092)</f>
        <v>0</v>
      </c>
      <c r="P173" s="12">
        <f>LOOKUP(403022000,[1]PlanCuentas!$A$2:$A$6092,[1]PlanCuentas!W$2:W$6092)</f>
        <v>0</v>
      </c>
      <c r="Q173" s="13">
        <f t="shared" si="8"/>
        <v>0</v>
      </c>
    </row>
    <row r="174" spans="1:17" x14ac:dyDescent="0.2">
      <c r="A174" s="10">
        <v>22</v>
      </c>
      <c r="B174" s="11" t="str">
        <f>[1]Aseguradoras!B23</f>
        <v>Grupo General de Seguros y Reaseguros S.A.</v>
      </c>
      <c r="C174" s="12">
        <f>LOOKUP(403020100,[1]PlanCuentas!$A$2:$A$6092,[1]PlanCuentas!X$2:X$6092)</f>
        <v>0</v>
      </c>
      <c r="D174" s="12">
        <f>LOOKUP(403020200,[1]PlanCuentas!$A$2:$A$6092,[1]PlanCuentas!X$2:X$6092)</f>
        <v>0</v>
      </c>
      <c r="E174" s="12">
        <f>LOOKUP(403020300,[1]PlanCuentas!$A$2:$A$6092,[1]PlanCuentas!X$2:X$6092)</f>
        <v>0</v>
      </c>
      <c r="F174" s="12">
        <f>LOOKUP(403020400,[1]PlanCuentas!$A$2:$A$6092,[1]PlanCuentas!X$2:X$6092)</f>
        <v>0</v>
      </c>
      <c r="G174" s="12">
        <f>LOOKUP(403020500,[1]PlanCuentas!$A$2:$A$6092,[1]PlanCuentas!X$2:X$6092)</f>
        <v>0</v>
      </c>
      <c r="H174" s="12">
        <f>LOOKUP(403020600,[1]PlanCuentas!$A$2:$A$6092,[1]PlanCuentas!X$2:X$6092)</f>
        <v>0</v>
      </c>
      <c r="I174" s="12">
        <f>LOOKUP(403020700,[1]PlanCuentas!$A$2:$A$6092,[1]PlanCuentas!X$2:X$6092)</f>
        <v>0</v>
      </c>
      <c r="J174" s="12">
        <f>LOOKUP(403020800,[1]PlanCuentas!$A$2:$A$6092,[1]PlanCuentas!X$2:X$6092)</f>
        <v>0</v>
      </c>
      <c r="K174" s="12">
        <f>LOOKUP(403020900,[1]PlanCuentas!$A$2:$A$6092,[1]PlanCuentas!X$2:X$6092)</f>
        <v>0</v>
      </c>
      <c r="L174" s="12">
        <f>LOOKUP(403021000,[1]PlanCuentas!$A$2:$A$6092,[1]PlanCuentas!X$2:X$6092)</f>
        <v>0</v>
      </c>
      <c r="M174" s="12">
        <f>LOOKUP(403021100,[1]PlanCuentas!$A$2:$A$6092,[1]PlanCuentas!X$2:X$6092)</f>
        <v>0</v>
      </c>
      <c r="N174" s="12">
        <f>LOOKUP(403021200,[1]PlanCuentas!$A$2:$A$6092,[1]PlanCuentas!X$2:X$6092)</f>
        <v>0</v>
      </c>
      <c r="O174" s="12">
        <f>LOOKUP(403021300,[1]PlanCuentas!$A$2:$A$6092,[1]PlanCuentas!X$2:X$6092)</f>
        <v>0</v>
      </c>
      <c r="P174" s="12">
        <f>LOOKUP(403022000,[1]PlanCuentas!$A$2:$A$6092,[1]PlanCuentas!X$2:X$6092)</f>
        <v>0</v>
      </c>
      <c r="Q174" s="13">
        <f t="shared" si="8"/>
        <v>0</v>
      </c>
    </row>
    <row r="175" spans="1:17" x14ac:dyDescent="0.2">
      <c r="A175" s="10">
        <v>23</v>
      </c>
      <c r="B175" s="11" t="str">
        <f>[1]Aseguradoras!B24</f>
        <v>Alfa S.A de Seguros y Reaseguros</v>
      </c>
      <c r="C175" s="12">
        <f>LOOKUP(403020100,[1]PlanCuentas!$A$2:$A$6092,[1]PlanCuentas!Y$2:Y$6092)</f>
        <v>0</v>
      </c>
      <c r="D175" s="12">
        <f>LOOKUP(403020200,[1]PlanCuentas!$A$2:$A$6092,[1]PlanCuentas!Y$2:Y$6092)</f>
        <v>0</v>
      </c>
      <c r="E175" s="12">
        <f>LOOKUP(403020300,[1]PlanCuentas!$A$2:$A$6092,[1]PlanCuentas!Y$2:Y$6092)</f>
        <v>0</v>
      </c>
      <c r="F175" s="12">
        <f>LOOKUP(403020400,[1]PlanCuentas!$A$2:$A$6092,[1]PlanCuentas!Y$2:Y$6092)</f>
        <v>0</v>
      </c>
      <c r="G175" s="12">
        <f>LOOKUP(403020500,[1]PlanCuentas!$A$2:$A$6092,[1]PlanCuentas!Y$2:Y$6092)</f>
        <v>0</v>
      </c>
      <c r="H175" s="12">
        <f>LOOKUP(403020600,[1]PlanCuentas!$A$2:$A$6092,[1]PlanCuentas!Y$2:Y$6092)</f>
        <v>0</v>
      </c>
      <c r="I175" s="12">
        <f>LOOKUP(403020700,[1]PlanCuentas!$A$2:$A$6092,[1]PlanCuentas!Y$2:Y$6092)</f>
        <v>0</v>
      </c>
      <c r="J175" s="12">
        <f>LOOKUP(403020800,[1]PlanCuentas!$A$2:$A$6092,[1]PlanCuentas!Y$2:Y$6092)</f>
        <v>0</v>
      </c>
      <c r="K175" s="12">
        <f>LOOKUP(403020900,[1]PlanCuentas!$A$2:$A$6092,[1]PlanCuentas!Y$2:Y$6092)</f>
        <v>0</v>
      </c>
      <c r="L175" s="12">
        <f>LOOKUP(403021000,[1]PlanCuentas!$A$2:$A$6092,[1]PlanCuentas!Y$2:Y$6092)</f>
        <v>0</v>
      </c>
      <c r="M175" s="12">
        <f>LOOKUP(403021100,[1]PlanCuentas!$A$2:$A$6092,[1]PlanCuentas!Y$2:Y$6092)</f>
        <v>0</v>
      </c>
      <c r="N175" s="12">
        <f>LOOKUP(403021200,[1]PlanCuentas!$A$2:$A$6092,[1]PlanCuentas!Y$2:Y$6092)</f>
        <v>0</v>
      </c>
      <c r="O175" s="12">
        <f>LOOKUP(403021300,[1]PlanCuentas!$A$2:$A$6092,[1]PlanCuentas!Y$2:Y$6092)</f>
        <v>0</v>
      </c>
      <c r="P175" s="12">
        <f>LOOKUP(403022000,[1]PlanCuentas!$A$2:$A$6092,[1]PlanCuentas!Y$2:Y$6092)</f>
        <v>0</v>
      </c>
      <c r="Q175" s="13">
        <f t="shared" si="8"/>
        <v>0</v>
      </c>
    </row>
    <row r="176" spans="1:17" x14ac:dyDescent="0.2">
      <c r="A176" s="10">
        <v>24</v>
      </c>
      <c r="B176" s="11" t="str">
        <f>[1]Aseguradoras!B25</f>
        <v>Cenit de Seguros S.A.</v>
      </c>
      <c r="C176" s="12">
        <f>LOOKUP(403020100,[1]PlanCuentas!$A$2:$A$6092,[1]PlanCuentas!Z$2:Z$6092)</f>
        <v>0</v>
      </c>
      <c r="D176" s="12">
        <f>LOOKUP(403020200,[1]PlanCuentas!$A$2:$A$6092,[1]PlanCuentas!Z$2:Z$6092)</f>
        <v>0</v>
      </c>
      <c r="E176" s="12">
        <f>LOOKUP(403020300,[1]PlanCuentas!$A$2:$A$6092,[1]PlanCuentas!Z$2:Z$6092)</f>
        <v>0</v>
      </c>
      <c r="F176" s="12">
        <f>LOOKUP(403020400,[1]PlanCuentas!$A$2:$A$6092,[1]PlanCuentas!Z$2:Z$6092)</f>
        <v>0</v>
      </c>
      <c r="G176" s="12">
        <f>LOOKUP(403020500,[1]PlanCuentas!$A$2:$A$6092,[1]PlanCuentas!Z$2:Z$6092)</f>
        <v>0</v>
      </c>
      <c r="H176" s="12">
        <f>LOOKUP(403020600,[1]PlanCuentas!$A$2:$A$6092,[1]PlanCuentas!Z$2:Z$6092)</f>
        <v>0</v>
      </c>
      <c r="I176" s="12">
        <f>LOOKUP(403020700,[1]PlanCuentas!$A$2:$A$6092,[1]PlanCuentas!Z$2:Z$6092)</f>
        <v>0</v>
      </c>
      <c r="J176" s="12">
        <f>LOOKUP(403020800,[1]PlanCuentas!$A$2:$A$6092,[1]PlanCuentas!Z$2:Z$6092)</f>
        <v>0</v>
      </c>
      <c r="K176" s="12">
        <f>LOOKUP(403020900,[1]PlanCuentas!$A$2:$A$6092,[1]PlanCuentas!Z$2:Z$6092)</f>
        <v>0</v>
      </c>
      <c r="L176" s="12">
        <f>LOOKUP(403021000,[1]PlanCuentas!$A$2:$A$6092,[1]PlanCuentas!Z$2:Z$6092)</f>
        <v>0</v>
      </c>
      <c r="M176" s="12">
        <f>LOOKUP(403021100,[1]PlanCuentas!$A$2:$A$6092,[1]PlanCuentas!Z$2:Z$6092)</f>
        <v>0</v>
      </c>
      <c r="N176" s="12">
        <f>LOOKUP(403021200,[1]PlanCuentas!$A$2:$A$6092,[1]PlanCuentas!Z$2:Z$6092)</f>
        <v>0</v>
      </c>
      <c r="O176" s="12">
        <f>LOOKUP(403021300,[1]PlanCuentas!$A$2:$A$6092,[1]PlanCuentas!Z$2:Z$6092)</f>
        <v>0</v>
      </c>
      <c r="P176" s="12">
        <f>LOOKUP(403022000,[1]PlanCuentas!$A$2:$A$6092,[1]PlanCuentas!Z$2:Z$6092)</f>
        <v>0</v>
      </c>
      <c r="Q176" s="13">
        <f t="shared" si="8"/>
        <v>0</v>
      </c>
    </row>
    <row r="177" spans="1:17" x14ac:dyDescent="0.2">
      <c r="A177" s="10">
        <v>25</v>
      </c>
      <c r="B177" s="11" t="str">
        <f>[1]Aseguradoras!B26</f>
        <v>La Meridional Paraguaya S.A de Seguros</v>
      </c>
      <c r="C177" s="12">
        <f>LOOKUP(403020100,[1]PlanCuentas!$A$2:$A$6092,[1]PlanCuentas!AA$2:AA$6092)</f>
        <v>0</v>
      </c>
      <c r="D177" s="12">
        <f>LOOKUP(403020200,[1]PlanCuentas!$A$2:$A$6092,[1]PlanCuentas!AA$2:AA$6092)</f>
        <v>0</v>
      </c>
      <c r="E177" s="12">
        <f>LOOKUP(403020300,[1]PlanCuentas!$A$2:$A$6092,[1]PlanCuentas!AA$2:AA$6092)</f>
        <v>0</v>
      </c>
      <c r="F177" s="12">
        <f>LOOKUP(403020400,[1]PlanCuentas!$A$2:$A$6092,[1]PlanCuentas!AA$2:AA$6092)</f>
        <v>0</v>
      </c>
      <c r="G177" s="12">
        <f>LOOKUP(403020500,[1]PlanCuentas!$A$2:$A$6092,[1]PlanCuentas!AA$2:AA$6092)</f>
        <v>0</v>
      </c>
      <c r="H177" s="12">
        <f>LOOKUP(403020600,[1]PlanCuentas!$A$2:$A$6092,[1]PlanCuentas!AA$2:AA$6092)</f>
        <v>0</v>
      </c>
      <c r="I177" s="12">
        <f>LOOKUP(403020700,[1]PlanCuentas!$A$2:$A$6092,[1]PlanCuentas!AA$2:AA$6092)</f>
        <v>0</v>
      </c>
      <c r="J177" s="12">
        <f>LOOKUP(403020800,[1]PlanCuentas!$A$2:$A$6092,[1]PlanCuentas!AA$2:AA$6092)</f>
        <v>0</v>
      </c>
      <c r="K177" s="12">
        <f>LOOKUP(403020900,[1]PlanCuentas!$A$2:$A$6092,[1]PlanCuentas!AA$2:AA$6092)</f>
        <v>0</v>
      </c>
      <c r="L177" s="12">
        <f>LOOKUP(403021000,[1]PlanCuentas!$A$2:$A$6092,[1]PlanCuentas!AA$2:AA$6092)</f>
        <v>0</v>
      </c>
      <c r="M177" s="12">
        <f>LOOKUP(403021100,[1]PlanCuentas!$A$2:$A$6092,[1]PlanCuentas!AA$2:AA$6092)</f>
        <v>0</v>
      </c>
      <c r="N177" s="12">
        <f>LOOKUP(403021200,[1]PlanCuentas!$A$2:$A$6092,[1]PlanCuentas!AA$2:AA$6092)</f>
        <v>0</v>
      </c>
      <c r="O177" s="12">
        <f>LOOKUP(403021300,[1]PlanCuentas!$A$2:$A$6092,[1]PlanCuentas!AA$2:AA$6092)</f>
        <v>0</v>
      </c>
      <c r="P177" s="12">
        <f>LOOKUP(403022000,[1]PlanCuentas!$A$2:$A$6092,[1]PlanCuentas!AA$2:AA$6092)</f>
        <v>0</v>
      </c>
      <c r="Q177" s="13">
        <f t="shared" si="8"/>
        <v>0</v>
      </c>
    </row>
    <row r="178" spans="1:17" x14ac:dyDescent="0.2">
      <c r="A178" s="10">
        <v>26</v>
      </c>
      <c r="B178" s="11" t="str">
        <f>[1]Aseguradoras!B27</f>
        <v>Aseguradora Del Este S.A de Seguros y Reaseguros</v>
      </c>
      <c r="C178" s="12">
        <f>LOOKUP(403020100,[1]PlanCuentas!$A$2:$A$6092,[1]PlanCuentas!AB$2:AB$6092)</f>
        <v>0</v>
      </c>
      <c r="D178" s="12">
        <f>LOOKUP(403020200,[1]PlanCuentas!$A$2:$A$6092,[1]PlanCuentas!AB$2:AB$6092)</f>
        <v>0</v>
      </c>
      <c r="E178" s="12">
        <f>LOOKUP(403020300,[1]PlanCuentas!$A$2:$A$6092,[1]PlanCuentas!AB$2:AB$6092)</f>
        <v>0</v>
      </c>
      <c r="F178" s="12">
        <f>LOOKUP(403020400,[1]PlanCuentas!$A$2:$A$6092,[1]PlanCuentas!AB$2:AB$6092)</f>
        <v>0</v>
      </c>
      <c r="G178" s="12">
        <f>LOOKUP(403020500,[1]PlanCuentas!$A$2:$A$6092,[1]PlanCuentas!AB$2:AB$6092)</f>
        <v>0</v>
      </c>
      <c r="H178" s="12">
        <f>LOOKUP(403020600,[1]PlanCuentas!$A$2:$A$6092,[1]PlanCuentas!AB$2:AB$6092)</f>
        <v>0</v>
      </c>
      <c r="I178" s="12">
        <f>LOOKUP(403020700,[1]PlanCuentas!$A$2:$A$6092,[1]PlanCuentas!AB$2:AB$6092)</f>
        <v>0</v>
      </c>
      <c r="J178" s="12">
        <f>LOOKUP(403020800,[1]PlanCuentas!$A$2:$A$6092,[1]PlanCuentas!AB$2:AB$6092)</f>
        <v>0</v>
      </c>
      <c r="K178" s="12">
        <f>LOOKUP(403020900,[1]PlanCuentas!$A$2:$A$6092,[1]PlanCuentas!AB$2:AB$6092)</f>
        <v>0</v>
      </c>
      <c r="L178" s="12">
        <f>LOOKUP(403021000,[1]PlanCuentas!$A$2:$A$6092,[1]PlanCuentas!AB$2:AB$6092)</f>
        <v>0</v>
      </c>
      <c r="M178" s="12">
        <f>LOOKUP(403021100,[1]PlanCuentas!$A$2:$A$6092,[1]PlanCuentas!AB$2:AB$6092)</f>
        <v>0</v>
      </c>
      <c r="N178" s="12">
        <f>LOOKUP(403021200,[1]PlanCuentas!$A$2:$A$6092,[1]PlanCuentas!AB$2:AB$6092)</f>
        <v>0</v>
      </c>
      <c r="O178" s="12">
        <f>LOOKUP(403021300,[1]PlanCuentas!$A$2:$A$6092,[1]PlanCuentas!AB$2:AB$6092)</f>
        <v>0</v>
      </c>
      <c r="P178" s="12">
        <f>LOOKUP(403022000,[1]PlanCuentas!$A$2:$A$6092,[1]PlanCuentas!AB$2:AB$6092)</f>
        <v>0</v>
      </c>
      <c r="Q178" s="13">
        <f t="shared" si="8"/>
        <v>0</v>
      </c>
    </row>
    <row r="179" spans="1:17" x14ac:dyDescent="0.2">
      <c r="A179" s="10">
        <v>27</v>
      </c>
      <c r="B179" s="11" t="str">
        <f>[1]Aseguradoras!B28</f>
        <v>Imperio S.A de Seguros y Reaseguros</v>
      </c>
      <c r="C179" s="12">
        <f>LOOKUP(403020100,[1]PlanCuentas!$A$2:$A$6092,[1]PlanCuentas!AC$2:AC$6092)</f>
        <v>0</v>
      </c>
      <c r="D179" s="12">
        <f>LOOKUP(403020200,[1]PlanCuentas!$A$2:$A$6092,[1]PlanCuentas!AC$2:AC$6092)</f>
        <v>0</v>
      </c>
      <c r="E179" s="12">
        <f>LOOKUP(403020300,[1]PlanCuentas!$A$2:$A$6092,[1]PlanCuentas!AC$2:AC$6092)</f>
        <v>0</v>
      </c>
      <c r="F179" s="12">
        <f>LOOKUP(403020400,[1]PlanCuentas!$A$2:$A$6092,[1]PlanCuentas!AC$2:AC$6092)</f>
        <v>0</v>
      </c>
      <c r="G179" s="12">
        <f>LOOKUP(403020500,[1]PlanCuentas!$A$2:$A$6092,[1]PlanCuentas!AC$2:AC$6092)</f>
        <v>0</v>
      </c>
      <c r="H179" s="12">
        <f>LOOKUP(403020600,[1]PlanCuentas!$A$2:$A$6092,[1]PlanCuentas!AC$2:AC$6092)</f>
        <v>0</v>
      </c>
      <c r="I179" s="12">
        <f>LOOKUP(403020700,[1]PlanCuentas!$A$2:$A$6092,[1]PlanCuentas!AC$2:AC$6092)</f>
        <v>0</v>
      </c>
      <c r="J179" s="12">
        <f>LOOKUP(403020800,[1]PlanCuentas!$A$2:$A$6092,[1]PlanCuentas!AC$2:AC$6092)</f>
        <v>0</v>
      </c>
      <c r="K179" s="12">
        <f>LOOKUP(403020900,[1]PlanCuentas!$A$2:$A$6092,[1]PlanCuentas!AC$2:AC$6092)</f>
        <v>0</v>
      </c>
      <c r="L179" s="12">
        <f>LOOKUP(403021000,[1]PlanCuentas!$A$2:$A$6092,[1]PlanCuentas!AC$2:AC$6092)</f>
        <v>0</v>
      </c>
      <c r="M179" s="12">
        <f>LOOKUP(403021100,[1]PlanCuentas!$A$2:$A$6092,[1]PlanCuentas!AC$2:AC$6092)</f>
        <v>0</v>
      </c>
      <c r="N179" s="12">
        <f>LOOKUP(403021200,[1]PlanCuentas!$A$2:$A$6092,[1]PlanCuentas!AC$2:AC$6092)</f>
        <v>0</v>
      </c>
      <c r="O179" s="12">
        <f>LOOKUP(403021300,[1]PlanCuentas!$A$2:$A$6092,[1]PlanCuentas!AC$2:AC$6092)</f>
        <v>0</v>
      </c>
      <c r="P179" s="12">
        <f>LOOKUP(403022000,[1]PlanCuentas!$A$2:$A$6092,[1]PlanCuentas!AC$2:AC$6092)</f>
        <v>0</v>
      </c>
      <c r="Q179" s="13">
        <f t="shared" si="8"/>
        <v>0</v>
      </c>
    </row>
    <row r="180" spans="1:17" x14ac:dyDescent="0.2">
      <c r="A180" s="10">
        <v>28</v>
      </c>
      <c r="B180" s="11" t="str">
        <f>[1]Aseguradoras!B29</f>
        <v>Regional S.A de Seguros y Reaseguros</v>
      </c>
      <c r="C180" s="12">
        <f>LOOKUP(403020100,[1]PlanCuentas!$A$2:$A$6092,[1]PlanCuentas!AD$2:AD$6092)</f>
        <v>0</v>
      </c>
      <c r="D180" s="12">
        <f>LOOKUP(403020200,[1]PlanCuentas!$A$2:$A$6092,[1]PlanCuentas!AD$2:AD$6092)</f>
        <v>0</v>
      </c>
      <c r="E180" s="12">
        <f>LOOKUP(403020300,[1]PlanCuentas!$A$2:$A$6092,[1]PlanCuentas!AD$2:AD$6092)</f>
        <v>0</v>
      </c>
      <c r="F180" s="12">
        <f>LOOKUP(403020400,[1]PlanCuentas!$A$2:$A$6092,[1]PlanCuentas!AD$2:AD$6092)</f>
        <v>0</v>
      </c>
      <c r="G180" s="12">
        <f>LOOKUP(403020500,[1]PlanCuentas!$A$2:$A$6092,[1]PlanCuentas!AD$2:AD$6092)</f>
        <v>0</v>
      </c>
      <c r="H180" s="12">
        <f>LOOKUP(403020600,[1]PlanCuentas!$A$2:$A$6092,[1]PlanCuentas!AD$2:AD$6092)</f>
        <v>0</v>
      </c>
      <c r="I180" s="12">
        <f>LOOKUP(403020700,[1]PlanCuentas!$A$2:$A$6092,[1]PlanCuentas!AD$2:AD$6092)</f>
        <v>0</v>
      </c>
      <c r="J180" s="12">
        <f>LOOKUP(403020800,[1]PlanCuentas!$A$2:$A$6092,[1]PlanCuentas!AD$2:AD$6092)</f>
        <v>0</v>
      </c>
      <c r="K180" s="12">
        <f>LOOKUP(403020900,[1]PlanCuentas!$A$2:$A$6092,[1]PlanCuentas!AD$2:AD$6092)</f>
        <v>0</v>
      </c>
      <c r="L180" s="12">
        <f>LOOKUP(403021000,[1]PlanCuentas!$A$2:$A$6092,[1]PlanCuentas!AD$2:AD$6092)</f>
        <v>0</v>
      </c>
      <c r="M180" s="12">
        <f>LOOKUP(403021100,[1]PlanCuentas!$A$2:$A$6092,[1]PlanCuentas!AD$2:AD$6092)</f>
        <v>0</v>
      </c>
      <c r="N180" s="12">
        <f>LOOKUP(403021200,[1]PlanCuentas!$A$2:$A$6092,[1]PlanCuentas!AD$2:AD$6092)</f>
        <v>0</v>
      </c>
      <c r="O180" s="12">
        <f>LOOKUP(403021300,[1]PlanCuentas!$A$2:$A$6092,[1]PlanCuentas!AD$2:AD$6092)</f>
        <v>0</v>
      </c>
      <c r="P180" s="12">
        <f>LOOKUP(403022000,[1]PlanCuentas!$A$2:$A$6092,[1]PlanCuentas!AD$2:AD$6092)</f>
        <v>0</v>
      </c>
      <c r="Q180" s="13">
        <f t="shared" si="8"/>
        <v>0</v>
      </c>
    </row>
    <row r="181" spans="1:17" x14ac:dyDescent="0.2">
      <c r="A181" s="10">
        <v>29</v>
      </c>
      <c r="B181" s="11" t="str">
        <f>[1]Aseguradoras!B30</f>
        <v>Mapfre Paraguay Compañía de Seguros S.A.</v>
      </c>
      <c r="C181" s="12">
        <f>LOOKUP(403020100,[1]PlanCuentas!$A$2:$A$6092,[1]PlanCuentas!AE$2:AE$6092)</f>
        <v>0</v>
      </c>
      <c r="D181" s="12">
        <f>LOOKUP(403020200,[1]PlanCuentas!$A$2:$A$6092,[1]PlanCuentas!AE$2:AE$6092)</f>
        <v>0</v>
      </c>
      <c r="E181" s="12">
        <f>LOOKUP(403020300,[1]PlanCuentas!$A$2:$A$6092,[1]PlanCuentas!AE$2:AE$6092)</f>
        <v>0</v>
      </c>
      <c r="F181" s="12">
        <f>LOOKUP(403020400,[1]PlanCuentas!$A$2:$A$6092,[1]PlanCuentas!AE$2:AE$6092)</f>
        <v>0</v>
      </c>
      <c r="G181" s="12">
        <f>LOOKUP(403020500,[1]PlanCuentas!$A$2:$A$6092,[1]PlanCuentas!AE$2:AE$6092)</f>
        <v>0</v>
      </c>
      <c r="H181" s="12">
        <f>LOOKUP(403020600,[1]PlanCuentas!$A$2:$A$6092,[1]PlanCuentas!AE$2:AE$6092)</f>
        <v>0</v>
      </c>
      <c r="I181" s="12">
        <f>LOOKUP(403020700,[1]PlanCuentas!$A$2:$A$6092,[1]PlanCuentas!AE$2:AE$6092)</f>
        <v>0</v>
      </c>
      <c r="J181" s="12">
        <f>LOOKUP(403020800,[1]PlanCuentas!$A$2:$A$6092,[1]PlanCuentas!AE$2:AE$6092)</f>
        <v>0</v>
      </c>
      <c r="K181" s="12">
        <f>LOOKUP(403020900,[1]PlanCuentas!$A$2:$A$6092,[1]PlanCuentas!AE$2:AE$6092)</f>
        <v>0</v>
      </c>
      <c r="L181" s="12">
        <f>LOOKUP(403021000,[1]PlanCuentas!$A$2:$A$6092,[1]PlanCuentas!AE$2:AE$6092)</f>
        <v>0</v>
      </c>
      <c r="M181" s="12">
        <f>LOOKUP(403021100,[1]PlanCuentas!$A$2:$A$6092,[1]PlanCuentas!AE$2:AE$6092)</f>
        <v>0</v>
      </c>
      <c r="N181" s="12">
        <f>LOOKUP(403021200,[1]PlanCuentas!$A$2:$A$6092,[1]PlanCuentas!AE$2:AE$6092)</f>
        <v>0</v>
      </c>
      <c r="O181" s="12">
        <f>LOOKUP(403021300,[1]PlanCuentas!$A$2:$A$6092,[1]PlanCuentas!AE$2:AE$6092)</f>
        <v>0</v>
      </c>
      <c r="P181" s="12">
        <f>LOOKUP(403022000,[1]PlanCuentas!$A$2:$A$6092,[1]PlanCuentas!AE$2:AE$6092)</f>
        <v>0</v>
      </c>
      <c r="Q181" s="13">
        <f t="shared" si="8"/>
        <v>0</v>
      </c>
    </row>
    <row r="182" spans="1:17" x14ac:dyDescent="0.2">
      <c r="A182" s="10">
        <v>30</v>
      </c>
      <c r="B182" s="11" t="str">
        <f>[1]Aseguradoras!B31</f>
        <v>Aseguradora Tajy Propiedad Cooperativa S.A. de Seguros</v>
      </c>
      <c r="C182" s="12">
        <f>LOOKUP(403020100,[1]PlanCuentas!$A$2:$A$6092,[1]PlanCuentas!AF$2:AF$6092)</f>
        <v>0</v>
      </c>
      <c r="D182" s="12">
        <f>LOOKUP(403020200,[1]PlanCuentas!$A$2:$A$6092,[1]PlanCuentas!AF$2:AF$6092)</f>
        <v>0</v>
      </c>
      <c r="E182" s="12">
        <f>LOOKUP(403020300,[1]PlanCuentas!$A$2:$A$6092,[1]PlanCuentas!AF$2:AF$6092)</f>
        <v>0</v>
      </c>
      <c r="F182" s="12">
        <f>LOOKUP(403020400,[1]PlanCuentas!$A$2:$A$6092,[1]PlanCuentas!AF$2:AF$6092)</f>
        <v>0</v>
      </c>
      <c r="G182" s="12">
        <f>LOOKUP(403020500,[1]PlanCuentas!$A$2:$A$6092,[1]PlanCuentas!AF$2:AF$6092)</f>
        <v>0</v>
      </c>
      <c r="H182" s="12">
        <f>LOOKUP(403020600,[1]PlanCuentas!$A$2:$A$6092,[1]PlanCuentas!AF$2:AF$6092)</f>
        <v>0</v>
      </c>
      <c r="I182" s="12">
        <f>LOOKUP(403020700,[1]PlanCuentas!$A$2:$A$6092,[1]PlanCuentas!AF$2:AF$6092)</f>
        <v>0</v>
      </c>
      <c r="J182" s="12">
        <f>LOOKUP(403020800,[1]PlanCuentas!$A$2:$A$6092,[1]PlanCuentas!AF$2:AF$6092)</f>
        <v>0</v>
      </c>
      <c r="K182" s="12">
        <f>LOOKUP(403020900,[1]PlanCuentas!$A$2:$A$6092,[1]PlanCuentas!AF$2:AF$6092)</f>
        <v>0</v>
      </c>
      <c r="L182" s="12">
        <f>LOOKUP(403021000,[1]PlanCuentas!$A$2:$A$6092,[1]PlanCuentas!AF$2:AF$6092)</f>
        <v>0</v>
      </c>
      <c r="M182" s="12">
        <f>LOOKUP(403021100,[1]PlanCuentas!$A$2:$A$6092,[1]PlanCuentas!AF$2:AF$6092)</f>
        <v>0</v>
      </c>
      <c r="N182" s="12">
        <f>LOOKUP(403021200,[1]PlanCuentas!$A$2:$A$6092,[1]PlanCuentas!AF$2:AF$6092)</f>
        <v>0</v>
      </c>
      <c r="O182" s="12">
        <f>LOOKUP(403021300,[1]PlanCuentas!$A$2:$A$6092,[1]PlanCuentas!AF$2:AF$6092)</f>
        <v>0</v>
      </c>
      <c r="P182" s="12">
        <f>LOOKUP(403022000,[1]PlanCuentas!$A$2:$A$6092,[1]PlanCuentas!AF$2:AF$6092)</f>
        <v>0</v>
      </c>
      <c r="Q182" s="13">
        <f t="shared" si="8"/>
        <v>0</v>
      </c>
    </row>
    <row r="183" spans="1:17" x14ac:dyDescent="0.2">
      <c r="A183" s="10">
        <v>31</v>
      </c>
      <c r="B183" s="11" t="str">
        <f>[1]Aseguradoras!B32</f>
        <v>Aseguradora del Sur S.A. Seguros Generales - ASUR</v>
      </c>
      <c r="C183" s="12">
        <f>LOOKUP(403020100,[1]PlanCuentas!$A$2:$A$6092,[1]PlanCuentas!AG$2:AG$6092)</f>
        <v>0</v>
      </c>
      <c r="D183" s="12">
        <f>LOOKUP(403020200,[1]PlanCuentas!$A$2:$A$6092,[1]PlanCuentas!AG$2:AG$6092)</f>
        <v>0</v>
      </c>
      <c r="E183" s="12">
        <f>LOOKUP(403020300,[1]PlanCuentas!$A$2:$A$6092,[1]PlanCuentas!AG$2:AG$6092)</f>
        <v>0</v>
      </c>
      <c r="F183" s="12">
        <f>LOOKUP(403020400,[1]PlanCuentas!$A$2:$A$6092,[1]PlanCuentas!AG$2:AG$6092)</f>
        <v>0</v>
      </c>
      <c r="G183" s="12">
        <f>LOOKUP(403020500,[1]PlanCuentas!$A$2:$A$6092,[1]PlanCuentas!AG$2:AG$6092)</f>
        <v>0</v>
      </c>
      <c r="H183" s="12">
        <f>LOOKUP(403020600,[1]PlanCuentas!$A$2:$A$6092,[1]PlanCuentas!AG$2:AG$6092)</f>
        <v>0</v>
      </c>
      <c r="I183" s="12">
        <f>LOOKUP(403020700,[1]PlanCuentas!$A$2:$A$6092,[1]PlanCuentas!AG$2:AG$6092)</f>
        <v>0</v>
      </c>
      <c r="J183" s="12">
        <f>LOOKUP(403020800,[1]PlanCuentas!$A$2:$A$6092,[1]PlanCuentas!AG$2:AG$6092)</f>
        <v>0</v>
      </c>
      <c r="K183" s="12">
        <f>LOOKUP(403020900,[1]PlanCuentas!$A$2:$A$6092,[1]PlanCuentas!AG$2:AG$6092)</f>
        <v>0</v>
      </c>
      <c r="L183" s="12">
        <f>LOOKUP(403021000,[1]PlanCuentas!$A$2:$A$6092,[1]PlanCuentas!AG$2:AG$6092)</f>
        <v>0</v>
      </c>
      <c r="M183" s="12">
        <f>LOOKUP(403021100,[1]PlanCuentas!$A$2:$A$6092,[1]PlanCuentas!AG$2:AG$6092)</f>
        <v>0</v>
      </c>
      <c r="N183" s="12">
        <f>LOOKUP(403021200,[1]PlanCuentas!$A$2:$A$6092,[1]PlanCuentas!AG$2:AG$6092)</f>
        <v>0</v>
      </c>
      <c r="O183" s="12">
        <f>LOOKUP(403021300,[1]PlanCuentas!$A$2:$A$6092,[1]PlanCuentas!AG$2:AG$6092)</f>
        <v>0</v>
      </c>
      <c r="P183" s="12">
        <f>LOOKUP(403022000,[1]PlanCuentas!$A$2:$A$6092,[1]PlanCuentas!AG$2:AG$6092)</f>
        <v>0</v>
      </c>
      <c r="Q183" s="13">
        <f t="shared" si="8"/>
        <v>0</v>
      </c>
    </row>
    <row r="184" spans="1:17" x14ac:dyDescent="0.2">
      <c r="A184" s="10">
        <v>32</v>
      </c>
      <c r="B184" s="11" t="str">
        <f>[1]Aseguradoras!B33</f>
        <v>Panal Compañía De Seguros Generales S.A.</v>
      </c>
      <c r="C184" s="12">
        <f>LOOKUP(403020100,[1]PlanCuentas!$A$2:$A$6092,[1]PlanCuentas!AH$2:AH$6092)</f>
        <v>0</v>
      </c>
      <c r="D184" s="12">
        <f>LOOKUP(403020200,[1]PlanCuentas!$A$2:$A$6092,[1]PlanCuentas!AH$2:AH$6092)</f>
        <v>0</v>
      </c>
      <c r="E184" s="12">
        <f>LOOKUP(403020300,[1]PlanCuentas!$A$2:$A$6092,[1]PlanCuentas!AH$2:AH$6092)</f>
        <v>0</v>
      </c>
      <c r="F184" s="12">
        <f>LOOKUP(403020400,[1]PlanCuentas!$A$2:$A$6092,[1]PlanCuentas!AH$2:AH$6092)</f>
        <v>0</v>
      </c>
      <c r="G184" s="12">
        <f>LOOKUP(403020500,[1]PlanCuentas!$A$2:$A$6092,[1]PlanCuentas!AH$2:AH$6092)</f>
        <v>0</v>
      </c>
      <c r="H184" s="12">
        <f>LOOKUP(403020600,[1]PlanCuentas!$A$2:$A$6092,[1]PlanCuentas!AH$2:AH$6092)</f>
        <v>0</v>
      </c>
      <c r="I184" s="12">
        <f>LOOKUP(403020700,[1]PlanCuentas!$A$2:$A$6092,[1]PlanCuentas!AH$2:AH$6092)</f>
        <v>0</v>
      </c>
      <c r="J184" s="12">
        <f>LOOKUP(403020800,[1]PlanCuentas!$A$2:$A$6092,[1]PlanCuentas!AH$2:AH$6092)</f>
        <v>0</v>
      </c>
      <c r="K184" s="12">
        <f>LOOKUP(403020900,[1]PlanCuentas!$A$2:$A$6092,[1]PlanCuentas!AH$2:AH$6092)</f>
        <v>0</v>
      </c>
      <c r="L184" s="12">
        <f>LOOKUP(403021000,[1]PlanCuentas!$A$2:$A$6092,[1]PlanCuentas!AH$2:AH$6092)</f>
        <v>0</v>
      </c>
      <c r="M184" s="12">
        <f>LOOKUP(403021100,[1]PlanCuentas!$A$2:$A$6092,[1]PlanCuentas!AH$2:AH$6092)</f>
        <v>0</v>
      </c>
      <c r="N184" s="12">
        <f>LOOKUP(403021200,[1]PlanCuentas!$A$2:$A$6092,[1]PlanCuentas!AH$2:AH$6092)</f>
        <v>0</v>
      </c>
      <c r="O184" s="12">
        <f>LOOKUP(403021300,[1]PlanCuentas!$A$2:$A$6092,[1]PlanCuentas!AH$2:AH$6092)</f>
        <v>0</v>
      </c>
      <c r="P184" s="12">
        <f>LOOKUP(403022000,[1]PlanCuentas!$A$2:$A$6092,[1]PlanCuentas!AH$2:AH$6092)</f>
        <v>0</v>
      </c>
      <c r="Q184" s="13">
        <f t="shared" si="8"/>
        <v>0</v>
      </c>
    </row>
    <row r="185" spans="1:17" x14ac:dyDescent="0.2">
      <c r="A185" s="10">
        <v>33</v>
      </c>
      <c r="B185" s="11" t="str">
        <f>[1]Aseguradoras!B34</f>
        <v>Sancor Seguros del Paraguay S.A.</v>
      </c>
      <c r="C185" s="12">
        <f>LOOKUP(403020100,[1]PlanCuentas!$A$2:$A$6092,[1]PlanCuentas!AI$2:AI$6092)</f>
        <v>0</v>
      </c>
      <c r="D185" s="12">
        <f>LOOKUP(403020200,[1]PlanCuentas!$A$2:$A$6092,[1]PlanCuentas!AI$2:AI$6092)</f>
        <v>0</v>
      </c>
      <c r="E185" s="12">
        <f>LOOKUP(403020300,[1]PlanCuentas!$A$2:$A$6092,[1]PlanCuentas!AI$2:AI$6092)</f>
        <v>0</v>
      </c>
      <c r="F185" s="12">
        <f>LOOKUP(403020400,[1]PlanCuentas!$A$2:$A$6092,[1]PlanCuentas!AI$2:AI$6092)</f>
        <v>0</v>
      </c>
      <c r="G185" s="12">
        <f>LOOKUP(403020500,[1]PlanCuentas!$A$2:$A$6092,[1]PlanCuentas!AI$2:AI$6092)</f>
        <v>0</v>
      </c>
      <c r="H185" s="12">
        <f>LOOKUP(403020600,[1]PlanCuentas!$A$2:$A$6092,[1]PlanCuentas!AI$2:AI$6092)</f>
        <v>0</v>
      </c>
      <c r="I185" s="12">
        <f>LOOKUP(403020700,[1]PlanCuentas!$A$2:$A$6092,[1]PlanCuentas!AI$2:AI$6092)</f>
        <v>0</v>
      </c>
      <c r="J185" s="12">
        <f>LOOKUP(403020800,[1]PlanCuentas!$A$2:$A$6092,[1]PlanCuentas!AI$2:AI$6092)</f>
        <v>0</v>
      </c>
      <c r="K185" s="12">
        <f>LOOKUP(403020900,[1]PlanCuentas!$A$2:$A$6092,[1]PlanCuentas!AI$2:AI$6092)</f>
        <v>0</v>
      </c>
      <c r="L185" s="12">
        <f>LOOKUP(403021000,[1]PlanCuentas!$A$2:$A$6092,[1]PlanCuentas!AI$2:AI$6092)</f>
        <v>0</v>
      </c>
      <c r="M185" s="12">
        <f>LOOKUP(403021100,[1]PlanCuentas!$A$2:$A$6092,[1]PlanCuentas!AI$2:AI$6092)</f>
        <v>0</v>
      </c>
      <c r="N185" s="12">
        <f>LOOKUP(403021200,[1]PlanCuentas!$A$2:$A$6092,[1]PlanCuentas!AI$2:AI$6092)</f>
        <v>0</v>
      </c>
      <c r="O185" s="12">
        <f>LOOKUP(403021300,[1]PlanCuentas!$A$2:$A$6092,[1]PlanCuentas!AI$2:AI$6092)</f>
        <v>0</v>
      </c>
      <c r="P185" s="12">
        <f>LOOKUP(403022000,[1]PlanCuentas!$A$2:$A$6092,[1]PlanCuentas!AI$2:AI$6092)</f>
        <v>0</v>
      </c>
      <c r="Q185" s="13">
        <f>SUM(C185:P185)</f>
        <v>0</v>
      </c>
    </row>
    <row r="186" spans="1:17" x14ac:dyDescent="0.2">
      <c r="A186" s="14"/>
      <c r="B186" s="15" t="s">
        <v>18</v>
      </c>
      <c r="C186" s="17">
        <f t="shared" ref="C186:Q186" si="9">SUBTOTAL(109,C153:C185)</f>
        <v>0</v>
      </c>
      <c r="D186" s="17">
        <f t="shared" si="9"/>
        <v>0</v>
      </c>
      <c r="E186" s="17">
        <f t="shared" si="9"/>
        <v>0</v>
      </c>
      <c r="F186" s="17">
        <f t="shared" si="9"/>
        <v>0</v>
      </c>
      <c r="G186" s="17">
        <f t="shared" si="9"/>
        <v>0</v>
      </c>
      <c r="H186" s="17">
        <f t="shared" si="9"/>
        <v>0</v>
      </c>
      <c r="I186" s="17">
        <f t="shared" si="9"/>
        <v>0</v>
      </c>
      <c r="J186" s="17">
        <f t="shared" si="9"/>
        <v>0</v>
      </c>
      <c r="K186" s="17">
        <f t="shared" si="9"/>
        <v>0</v>
      </c>
      <c r="L186" s="17">
        <f t="shared" si="9"/>
        <v>0</v>
      </c>
      <c r="M186" s="17">
        <f t="shared" si="9"/>
        <v>0</v>
      </c>
      <c r="N186" s="17">
        <f t="shared" si="9"/>
        <v>0</v>
      </c>
      <c r="O186" s="17">
        <f t="shared" si="9"/>
        <v>0</v>
      </c>
      <c r="P186" s="17">
        <f t="shared" si="9"/>
        <v>0</v>
      </c>
      <c r="Q186" s="17">
        <f t="shared" si="9"/>
        <v>0</v>
      </c>
    </row>
    <row r="187" spans="1:17" s="5" customFormat="1" x14ac:dyDescent="0.2">
      <c r="A187" s="18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</row>
    <row r="188" spans="1:17" x14ac:dyDescent="0.2"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28.35" customHeight="1" x14ac:dyDescent="0.2">
      <c r="A189" s="1" t="s">
        <v>25</v>
      </c>
      <c r="B189" s="49" t="s">
        <v>26</v>
      </c>
      <c r="C189" s="50"/>
      <c r="D189" s="2"/>
      <c r="E189" s="3"/>
      <c r="F189" s="4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24" x14ac:dyDescent="0.2">
      <c r="A190" s="7" t="s">
        <v>2</v>
      </c>
      <c r="B190" s="8" t="s">
        <v>3</v>
      </c>
      <c r="C190" s="9" t="s">
        <v>4</v>
      </c>
      <c r="D190" s="9" t="s">
        <v>5</v>
      </c>
      <c r="E190" s="9" t="s">
        <v>6</v>
      </c>
      <c r="F190" s="9" t="s">
        <v>7</v>
      </c>
      <c r="G190" s="9" t="s">
        <v>8</v>
      </c>
      <c r="H190" s="9" t="s">
        <v>9</v>
      </c>
      <c r="I190" s="9" t="s">
        <v>10</v>
      </c>
      <c r="J190" s="9" t="s">
        <v>11</v>
      </c>
      <c r="K190" s="9" t="s">
        <v>12</v>
      </c>
      <c r="L190" s="9" t="s">
        <v>13</v>
      </c>
      <c r="M190" s="9" t="s">
        <v>14</v>
      </c>
      <c r="N190" s="9" t="s">
        <v>15</v>
      </c>
      <c r="O190" s="9" t="s">
        <v>16</v>
      </c>
      <c r="P190" s="9" t="s">
        <v>17</v>
      </c>
      <c r="Q190" s="8" t="s">
        <v>18</v>
      </c>
    </row>
    <row r="191" spans="1:17" x14ac:dyDescent="0.2">
      <c r="A191" s="10">
        <v>1</v>
      </c>
      <c r="B191" s="11" t="str">
        <f>[1]Aseguradoras!B2</f>
        <v>El Comercio Paraguayo S.A. de Seguros</v>
      </c>
      <c r="C191" s="12">
        <f>LOOKUP(404010100,[1]PlanCuentas!$A$2:$A$6092,[1]PlanCuentas!C$2:C$6092)</f>
        <v>0</v>
      </c>
      <c r="D191" s="12">
        <f>LOOKUP(404010200,[1]PlanCuentas!$A$2:$A$6092,[1]PlanCuentas!C$2:C$6092)</f>
        <v>0</v>
      </c>
      <c r="E191" s="12">
        <f>LOOKUP(404010300,[1]PlanCuentas!$A$2:$A$6092,[1]PlanCuentas!C$2:C$6092)</f>
        <v>0</v>
      </c>
      <c r="F191" s="12">
        <f>LOOKUP(404010400,[1]PlanCuentas!$A$2:$A$6092,[1]PlanCuentas!C$2:C$6092)</f>
        <v>0</v>
      </c>
      <c r="G191" s="12">
        <f>LOOKUP(404010500,[1]PlanCuentas!$A$2:$A$6092,[1]PlanCuentas!C$2:C$6092)</f>
        <v>0</v>
      </c>
      <c r="H191" s="12">
        <f>LOOKUP(404010600,[1]PlanCuentas!$A$2:$A$6092,[1]PlanCuentas!C$2:C$6092)</f>
        <v>0</v>
      </c>
      <c r="I191" s="12">
        <f>LOOKUP(404010700,[1]PlanCuentas!$A$2:$A$6092,[1]PlanCuentas!C$2:C$6092)</f>
        <v>0</v>
      </c>
      <c r="J191" s="12">
        <f>LOOKUP(404010800,[1]PlanCuentas!$A$2:$A$6092,[1]PlanCuentas!C$2:C$6092)</f>
        <v>0</v>
      </c>
      <c r="K191" s="12">
        <f>LOOKUP(404010900,[1]PlanCuentas!$A$2:$A$6092,[1]PlanCuentas!C$2:C$6092)</f>
        <v>0</v>
      </c>
      <c r="L191" s="12">
        <f>LOOKUP(404011000,[1]PlanCuentas!$A$2:$A$6092,[1]PlanCuentas!C$2:C$6092)</f>
        <v>0</v>
      </c>
      <c r="M191" s="12">
        <f>LOOKUP(404011100,[1]PlanCuentas!$A$2:$A$6092,[1]PlanCuentas!C$2:C$6092)</f>
        <v>0</v>
      </c>
      <c r="N191" s="12">
        <f>LOOKUP(404011200,[1]PlanCuentas!$A$2:$A$6092,[1]PlanCuentas!C$2:C$6092)</f>
        <v>0</v>
      </c>
      <c r="O191" s="12">
        <f>LOOKUP(404011300,[1]PlanCuentas!$A$2:$A$6092,[1]PlanCuentas!C$2:C$6092)</f>
        <v>0</v>
      </c>
      <c r="P191" s="12">
        <f>LOOKUP(404012000,[1]PlanCuentas!$A$2:$A$6092,[1]PlanCuentas!C$2:C$6092)</f>
        <v>0</v>
      </c>
      <c r="Q191" s="13">
        <f t="shared" ref="Q191:Q222" si="10">SUM(C191:P191)</f>
        <v>0</v>
      </c>
    </row>
    <row r="192" spans="1:17" x14ac:dyDescent="0.2">
      <c r="A192" s="10">
        <v>2</v>
      </c>
      <c r="B192" s="11" t="str">
        <f>[1]Aseguradoras!B3</f>
        <v>La Rural S.A de Seguros</v>
      </c>
      <c r="C192" s="12">
        <f>LOOKUP(404010100,[1]PlanCuentas!$A$2:$A$6092,[1]PlanCuentas!D$2:D$6092)</f>
        <v>0</v>
      </c>
      <c r="D192" s="12">
        <f>LOOKUP(404010200,[1]PlanCuentas!$A$2:$A$6092,[1]PlanCuentas!D$2:D$6092)</f>
        <v>0</v>
      </c>
      <c r="E192" s="12">
        <f>LOOKUP(404010300,[1]PlanCuentas!$A$2:$A$6092,[1]PlanCuentas!D$2:D$6092)</f>
        <v>0</v>
      </c>
      <c r="F192" s="12">
        <f>LOOKUP(404010400,[1]PlanCuentas!$A$2:$A$6092,[1]PlanCuentas!D$2:D$6092)</f>
        <v>0</v>
      </c>
      <c r="G192" s="12">
        <f>LOOKUP(404010500,[1]PlanCuentas!$A$2:$A$6092,[1]PlanCuentas!D$2:D$6092)</f>
        <v>0</v>
      </c>
      <c r="H192" s="12">
        <f>LOOKUP(404010600,[1]PlanCuentas!$A$2:$A$6092,[1]PlanCuentas!D$2:D$6092)</f>
        <v>0</v>
      </c>
      <c r="I192" s="12">
        <f>LOOKUP(404010700,[1]PlanCuentas!$A$2:$A$6092,[1]PlanCuentas!D$2:D$6092)</f>
        <v>0</v>
      </c>
      <c r="J192" s="12">
        <f>LOOKUP(404010800,[1]PlanCuentas!$A$2:$A$6092,[1]PlanCuentas!D$2:D$6092)</f>
        <v>0</v>
      </c>
      <c r="K192" s="12">
        <f>LOOKUP(404010900,[1]PlanCuentas!$A$2:$A$6092,[1]PlanCuentas!D$2:D$6092)</f>
        <v>0</v>
      </c>
      <c r="L192" s="12">
        <f>LOOKUP(404011000,[1]PlanCuentas!$A$2:$A$6092,[1]PlanCuentas!D$2:D$6092)</f>
        <v>0</v>
      </c>
      <c r="M192" s="12">
        <f>LOOKUP(404011100,[1]PlanCuentas!$A$2:$A$6092,[1]PlanCuentas!D$2:D$6092)</f>
        <v>0</v>
      </c>
      <c r="N192" s="12">
        <f>LOOKUP(404011200,[1]PlanCuentas!$A$2:$A$6092,[1]PlanCuentas!D$2:D$6092)</f>
        <v>0</v>
      </c>
      <c r="O192" s="12">
        <f>LOOKUP(404011300,[1]PlanCuentas!$A$2:$A$6092,[1]PlanCuentas!D$2:D$6092)</f>
        <v>0</v>
      </c>
      <c r="P192" s="12">
        <f>LOOKUP(404012000,[1]PlanCuentas!$A$2:$A$6092,[1]PlanCuentas!D$2:D$6092)</f>
        <v>0</v>
      </c>
      <c r="Q192" s="13">
        <f t="shared" si="10"/>
        <v>0</v>
      </c>
    </row>
    <row r="193" spans="1:17" x14ac:dyDescent="0.2">
      <c r="A193" s="10">
        <v>3</v>
      </c>
      <c r="B193" s="11" t="str">
        <f>[1]Aseguradoras!B4</f>
        <v>La Paraguaya S.A de Seguros</v>
      </c>
      <c r="C193" s="12">
        <f>LOOKUP(404010100,[1]PlanCuentas!$A$2:$A$6092,[1]PlanCuentas!E$2:E$6092)</f>
        <v>0</v>
      </c>
      <c r="D193" s="12">
        <f>LOOKUP(404010200,[1]PlanCuentas!$A$2:$A$6092,[1]PlanCuentas!E$2:E$6092)</f>
        <v>0</v>
      </c>
      <c r="E193" s="12">
        <f>LOOKUP(404010300,[1]PlanCuentas!$A$2:$A$6092,[1]PlanCuentas!E$2:E$6092)</f>
        <v>0</v>
      </c>
      <c r="F193" s="12">
        <f>LOOKUP(404010400,[1]PlanCuentas!$A$2:$A$6092,[1]PlanCuentas!E$2:E$6092)</f>
        <v>0</v>
      </c>
      <c r="G193" s="12">
        <f>LOOKUP(404010500,[1]PlanCuentas!$A$2:$A$6092,[1]PlanCuentas!E$2:E$6092)</f>
        <v>0</v>
      </c>
      <c r="H193" s="12">
        <f>LOOKUP(404010600,[1]PlanCuentas!$A$2:$A$6092,[1]PlanCuentas!E$2:E$6092)</f>
        <v>0</v>
      </c>
      <c r="I193" s="12">
        <f>LOOKUP(404010700,[1]PlanCuentas!$A$2:$A$6092,[1]PlanCuentas!E$2:E$6092)</f>
        <v>0</v>
      </c>
      <c r="J193" s="12">
        <f>LOOKUP(404010800,[1]PlanCuentas!$A$2:$A$6092,[1]PlanCuentas!E$2:E$6092)</f>
        <v>0</v>
      </c>
      <c r="K193" s="12">
        <f>LOOKUP(404010900,[1]PlanCuentas!$A$2:$A$6092,[1]PlanCuentas!E$2:E$6092)</f>
        <v>0</v>
      </c>
      <c r="L193" s="12">
        <f>LOOKUP(404011000,[1]PlanCuentas!$A$2:$A$6092,[1]PlanCuentas!E$2:E$6092)</f>
        <v>0</v>
      </c>
      <c r="M193" s="12">
        <f>LOOKUP(404011100,[1]PlanCuentas!$A$2:$A$6092,[1]PlanCuentas!E$2:E$6092)</f>
        <v>0</v>
      </c>
      <c r="N193" s="12">
        <f>LOOKUP(404011200,[1]PlanCuentas!$A$2:$A$6092,[1]PlanCuentas!E$2:E$6092)</f>
        <v>0</v>
      </c>
      <c r="O193" s="12">
        <f>LOOKUP(404011300,[1]PlanCuentas!$A$2:$A$6092,[1]PlanCuentas!E$2:E$6092)</f>
        <v>0</v>
      </c>
      <c r="P193" s="12">
        <f>LOOKUP(404012000,[1]PlanCuentas!$A$2:$A$6092,[1]PlanCuentas!E$2:E$6092)</f>
        <v>0</v>
      </c>
      <c r="Q193" s="13">
        <f t="shared" si="10"/>
        <v>0</v>
      </c>
    </row>
    <row r="194" spans="1:17" x14ac:dyDescent="0.2">
      <c r="A194" s="10">
        <v>4</v>
      </c>
      <c r="B194" s="11" t="str">
        <f>[1]Aseguradoras!B5</f>
        <v>Seguros Generales S. A (SEGESA)</v>
      </c>
      <c r="C194" s="12">
        <f>LOOKUP(404010100,[1]PlanCuentas!$A$2:$A$6092,[1]PlanCuentas!F$2:F$6092)</f>
        <v>0</v>
      </c>
      <c r="D194" s="12">
        <f>LOOKUP(404010200,[1]PlanCuentas!$A$2:$A$6092,[1]PlanCuentas!F$2:F$6092)</f>
        <v>0</v>
      </c>
      <c r="E194" s="12">
        <f>LOOKUP(404010300,[1]PlanCuentas!$A$2:$A$6092,[1]PlanCuentas!F$2:F$6092)</f>
        <v>0</v>
      </c>
      <c r="F194" s="12">
        <f>LOOKUP(404010400,[1]PlanCuentas!$A$2:$A$6092,[1]PlanCuentas!F$2:F$6092)</f>
        <v>0</v>
      </c>
      <c r="G194" s="12">
        <f>LOOKUP(404010500,[1]PlanCuentas!$A$2:$A$6092,[1]PlanCuentas!F$2:F$6092)</f>
        <v>0</v>
      </c>
      <c r="H194" s="12">
        <f>LOOKUP(404010600,[1]PlanCuentas!$A$2:$A$6092,[1]PlanCuentas!F$2:F$6092)</f>
        <v>0</v>
      </c>
      <c r="I194" s="12">
        <f>LOOKUP(404010700,[1]PlanCuentas!$A$2:$A$6092,[1]PlanCuentas!F$2:F$6092)</f>
        <v>0</v>
      </c>
      <c r="J194" s="12">
        <f>LOOKUP(404010800,[1]PlanCuentas!$A$2:$A$6092,[1]PlanCuentas!F$2:F$6092)</f>
        <v>0</v>
      </c>
      <c r="K194" s="12">
        <f>LOOKUP(404010900,[1]PlanCuentas!$A$2:$A$6092,[1]PlanCuentas!F$2:F$6092)</f>
        <v>0</v>
      </c>
      <c r="L194" s="12">
        <f>LOOKUP(404011000,[1]PlanCuentas!$A$2:$A$6092,[1]PlanCuentas!F$2:F$6092)</f>
        <v>0</v>
      </c>
      <c r="M194" s="12">
        <f>LOOKUP(404011100,[1]PlanCuentas!$A$2:$A$6092,[1]PlanCuentas!F$2:F$6092)</f>
        <v>0</v>
      </c>
      <c r="N194" s="12">
        <f>LOOKUP(404011200,[1]PlanCuentas!$A$2:$A$6092,[1]PlanCuentas!F$2:F$6092)</f>
        <v>0</v>
      </c>
      <c r="O194" s="12">
        <f>LOOKUP(404011300,[1]PlanCuentas!$A$2:$A$6092,[1]PlanCuentas!F$2:F$6092)</f>
        <v>0</v>
      </c>
      <c r="P194" s="12">
        <f>LOOKUP(404012000,[1]PlanCuentas!$A$2:$A$6092,[1]PlanCuentas!F$2:F$6092)</f>
        <v>0</v>
      </c>
      <c r="Q194" s="13">
        <f t="shared" si="10"/>
        <v>0</v>
      </c>
    </row>
    <row r="195" spans="1:17" x14ac:dyDescent="0.2">
      <c r="A195" s="10">
        <v>5</v>
      </c>
      <c r="B195" s="11" t="str">
        <f>[1]Aseguradoras!B6</f>
        <v>Rumbos S.A de Seguros</v>
      </c>
      <c r="C195" s="12">
        <f>LOOKUP(404010100,[1]PlanCuentas!$A$2:$A$6092,[1]PlanCuentas!G$2:G$6092)</f>
        <v>0</v>
      </c>
      <c r="D195" s="12">
        <f>LOOKUP(404010200,[1]PlanCuentas!$A$2:$A$6092,[1]PlanCuentas!G$2:G$6092)</f>
        <v>0</v>
      </c>
      <c r="E195" s="12">
        <f>LOOKUP(404010300,[1]PlanCuentas!$A$2:$A$6092,[1]PlanCuentas!G$2:G$6092)</f>
        <v>0</v>
      </c>
      <c r="F195" s="12">
        <f>LOOKUP(404010400,[1]PlanCuentas!$A$2:$A$6092,[1]PlanCuentas!G$2:G$6092)</f>
        <v>0</v>
      </c>
      <c r="G195" s="12">
        <f>LOOKUP(404010500,[1]PlanCuentas!$A$2:$A$6092,[1]PlanCuentas!G$2:G$6092)</f>
        <v>0</v>
      </c>
      <c r="H195" s="12">
        <f>LOOKUP(404010600,[1]PlanCuentas!$A$2:$A$6092,[1]PlanCuentas!G$2:G$6092)</f>
        <v>0</v>
      </c>
      <c r="I195" s="12">
        <f>LOOKUP(404010700,[1]PlanCuentas!$A$2:$A$6092,[1]PlanCuentas!G$2:G$6092)</f>
        <v>0</v>
      </c>
      <c r="J195" s="12">
        <f>LOOKUP(404010800,[1]PlanCuentas!$A$2:$A$6092,[1]PlanCuentas!G$2:G$6092)</f>
        <v>0</v>
      </c>
      <c r="K195" s="12">
        <f>LOOKUP(404010900,[1]PlanCuentas!$A$2:$A$6092,[1]PlanCuentas!G$2:G$6092)</f>
        <v>0</v>
      </c>
      <c r="L195" s="12">
        <f>LOOKUP(404011000,[1]PlanCuentas!$A$2:$A$6092,[1]PlanCuentas!G$2:G$6092)</f>
        <v>0</v>
      </c>
      <c r="M195" s="12">
        <f>LOOKUP(404011100,[1]PlanCuentas!$A$2:$A$6092,[1]PlanCuentas!G$2:G$6092)</f>
        <v>0</v>
      </c>
      <c r="N195" s="12">
        <f>LOOKUP(404011200,[1]PlanCuentas!$A$2:$A$6092,[1]PlanCuentas!G$2:G$6092)</f>
        <v>0</v>
      </c>
      <c r="O195" s="12">
        <f>LOOKUP(404011300,[1]PlanCuentas!$A$2:$A$6092,[1]PlanCuentas!G$2:G$6092)</f>
        <v>0</v>
      </c>
      <c r="P195" s="12">
        <f>LOOKUP(404012000,[1]PlanCuentas!$A$2:$A$6092,[1]PlanCuentas!G$2:G$6092)</f>
        <v>0</v>
      </c>
      <c r="Q195" s="13">
        <f t="shared" si="10"/>
        <v>0</v>
      </c>
    </row>
    <row r="196" spans="1:17" x14ac:dyDescent="0.2">
      <c r="A196" s="10">
        <v>6</v>
      </c>
      <c r="B196" s="11" t="str">
        <f>[1]Aseguradoras!B7</f>
        <v>La Consolidada S.A de Seguros</v>
      </c>
      <c r="C196" s="12">
        <f>LOOKUP(404010100,[1]PlanCuentas!$A$2:$A$6092,[1]PlanCuentas!H$2:H$6092)</f>
        <v>0</v>
      </c>
      <c r="D196" s="12">
        <f>LOOKUP(404010200,[1]PlanCuentas!$A$2:$A$6092,[1]PlanCuentas!H$2:H$6092)</f>
        <v>0</v>
      </c>
      <c r="E196" s="12">
        <f>LOOKUP(404010300,[1]PlanCuentas!$A$2:$A$6092,[1]PlanCuentas!H$2:H$6092)</f>
        <v>0</v>
      </c>
      <c r="F196" s="12">
        <f>LOOKUP(404010400,[1]PlanCuentas!$A$2:$A$6092,[1]PlanCuentas!H$2:H$6092)</f>
        <v>0</v>
      </c>
      <c r="G196" s="12">
        <f>LOOKUP(404010500,[1]PlanCuentas!$A$2:$A$6092,[1]PlanCuentas!H$2:H$6092)</f>
        <v>0</v>
      </c>
      <c r="H196" s="12">
        <f>LOOKUP(404010600,[1]PlanCuentas!$A$2:$A$6092,[1]PlanCuentas!H$2:H$6092)</f>
        <v>0</v>
      </c>
      <c r="I196" s="12">
        <f>LOOKUP(404010700,[1]PlanCuentas!$A$2:$A$6092,[1]PlanCuentas!H$2:H$6092)</f>
        <v>0</v>
      </c>
      <c r="J196" s="12">
        <f>LOOKUP(404010800,[1]PlanCuentas!$A$2:$A$6092,[1]PlanCuentas!H$2:H$6092)</f>
        <v>0</v>
      </c>
      <c r="K196" s="12">
        <f>LOOKUP(404010900,[1]PlanCuentas!$A$2:$A$6092,[1]PlanCuentas!H$2:H$6092)</f>
        <v>0</v>
      </c>
      <c r="L196" s="12">
        <f>LOOKUP(404011000,[1]PlanCuentas!$A$2:$A$6092,[1]PlanCuentas!H$2:H$6092)</f>
        <v>0</v>
      </c>
      <c r="M196" s="12">
        <f>LOOKUP(404011100,[1]PlanCuentas!$A$2:$A$6092,[1]PlanCuentas!H$2:H$6092)</f>
        <v>0</v>
      </c>
      <c r="N196" s="12">
        <f>LOOKUP(404011200,[1]PlanCuentas!$A$2:$A$6092,[1]PlanCuentas!H$2:H$6092)</f>
        <v>0</v>
      </c>
      <c r="O196" s="12">
        <f>LOOKUP(404011300,[1]PlanCuentas!$A$2:$A$6092,[1]PlanCuentas!H$2:H$6092)</f>
        <v>0</v>
      </c>
      <c r="P196" s="12">
        <f>LOOKUP(404012000,[1]PlanCuentas!$A$2:$A$6092,[1]PlanCuentas!H$2:H$6092)</f>
        <v>0</v>
      </c>
      <c r="Q196" s="13">
        <f t="shared" si="10"/>
        <v>0</v>
      </c>
    </row>
    <row r="197" spans="1:17" x14ac:dyDescent="0.2">
      <c r="A197" s="10">
        <v>7</v>
      </c>
      <c r="B197" s="11" t="str">
        <f>[1]Aseguradoras!B8</f>
        <v>El Productor S.A de Seguros y Reaseguros</v>
      </c>
      <c r="C197" s="12">
        <f>LOOKUP(404010100,[1]PlanCuentas!$A$2:$A$6092,[1]PlanCuentas!I$2:I$6092)</f>
        <v>0</v>
      </c>
      <c r="D197" s="12">
        <f>LOOKUP(404010200,[1]PlanCuentas!$A$2:$A$6092,[1]PlanCuentas!I$2:I$6092)</f>
        <v>0</v>
      </c>
      <c r="E197" s="12">
        <f>LOOKUP(404010300,[1]PlanCuentas!$A$2:$A$6092,[1]PlanCuentas!I$2:I$6092)</f>
        <v>0</v>
      </c>
      <c r="F197" s="12">
        <f>LOOKUP(404010400,[1]PlanCuentas!$A$2:$A$6092,[1]PlanCuentas!I$2:I$6092)</f>
        <v>0</v>
      </c>
      <c r="G197" s="12">
        <f>LOOKUP(404010500,[1]PlanCuentas!$A$2:$A$6092,[1]PlanCuentas!I$2:I$6092)</f>
        <v>0</v>
      </c>
      <c r="H197" s="12">
        <f>LOOKUP(404010600,[1]PlanCuentas!$A$2:$A$6092,[1]PlanCuentas!I$2:I$6092)</f>
        <v>0</v>
      </c>
      <c r="I197" s="12">
        <f>LOOKUP(404010700,[1]PlanCuentas!$A$2:$A$6092,[1]PlanCuentas!I$2:I$6092)</f>
        <v>0</v>
      </c>
      <c r="J197" s="12">
        <f>LOOKUP(404010800,[1]PlanCuentas!$A$2:$A$6092,[1]PlanCuentas!I$2:I$6092)</f>
        <v>0</v>
      </c>
      <c r="K197" s="12">
        <f>LOOKUP(404010900,[1]PlanCuentas!$A$2:$A$6092,[1]PlanCuentas!I$2:I$6092)</f>
        <v>0</v>
      </c>
      <c r="L197" s="12">
        <f>LOOKUP(404011000,[1]PlanCuentas!$A$2:$A$6092,[1]PlanCuentas!I$2:I$6092)</f>
        <v>0</v>
      </c>
      <c r="M197" s="12">
        <f>LOOKUP(404011100,[1]PlanCuentas!$A$2:$A$6092,[1]PlanCuentas!I$2:I$6092)</f>
        <v>0</v>
      </c>
      <c r="N197" s="12">
        <f>LOOKUP(404011200,[1]PlanCuentas!$A$2:$A$6092,[1]PlanCuentas!I$2:I$6092)</f>
        <v>0</v>
      </c>
      <c r="O197" s="12">
        <f>LOOKUP(404011300,[1]PlanCuentas!$A$2:$A$6092,[1]PlanCuentas!I$2:I$6092)</f>
        <v>0</v>
      </c>
      <c r="P197" s="12">
        <f>LOOKUP(404012000,[1]PlanCuentas!$A$2:$A$6092,[1]PlanCuentas!I$2:I$6092)</f>
        <v>0</v>
      </c>
      <c r="Q197" s="13">
        <f t="shared" si="10"/>
        <v>0</v>
      </c>
    </row>
    <row r="198" spans="1:17" x14ac:dyDescent="0.2">
      <c r="A198" s="10">
        <v>8</v>
      </c>
      <c r="B198" s="11" t="str">
        <f>[1]Aseguradoras!B9</f>
        <v>Atalaya S.A de Seguros Generales</v>
      </c>
      <c r="C198" s="12">
        <f>LOOKUP(404010100,[1]PlanCuentas!$A$2:$A$6092,[1]PlanCuentas!J$2:J$6092)</f>
        <v>0</v>
      </c>
      <c r="D198" s="12">
        <f>LOOKUP(404010200,[1]PlanCuentas!$A$2:$A$6092,[1]PlanCuentas!J$2:J$6092)</f>
        <v>0</v>
      </c>
      <c r="E198" s="12">
        <f>LOOKUP(404010300,[1]PlanCuentas!$A$2:$A$6092,[1]PlanCuentas!J$2:J$6092)</f>
        <v>0</v>
      </c>
      <c r="F198" s="12">
        <f>LOOKUP(404010400,[1]PlanCuentas!$A$2:$A$6092,[1]PlanCuentas!J$2:J$6092)</f>
        <v>0</v>
      </c>
      <c r="G198" s="12">
        <f>LOOKUP(404010500,[1]PlanCuentas!$A$2:$A$6092,[1]PlanCuentas!J$2:J$6092)</f>
        <v>0</v>
      </c>
      <c r="H198" s="12">
        <f>LOOKUP(404010600,[1]PlanCuentas!$A$2:$A$6092,[1]PlanCuentas!J$2:J$6092)</f>
        <v>0</v>
      </c>
      <c r="I198" s="12">
        <f>LOOKUP(404010700,[1]PlanCuentas!$A$2:$A$6092,[1]PlanCuentas!J$2:J$6092)</f>
        <v>0</v>
      </c>
      <c r="J198" s="12">
        <f>LOOKUP(404010800,[1]PlanCuentas!$A$2:$A$6092,[1]PlanCuentas!J$2:J$6092)</f>
        <v>0</v>
      </c>
      <c r="K198" s="12">
        <f>LOOKUP(404010900,[1]PlanCuentas!$A$2:$A$6092,[1]PlanCuentas!J$2:J$6092)</f>
        <v>0</v>
      </c>
      <c r="L198" s="12">
        <f>LOOKUP(404011000,[1]PlanCuentas!$A$2:$A$6092,[1]PlanCuentas!J$2:J$6092)</f>
        <v>0</v>
      </c>
      <c r="M198" s="12">
        <f>LOOKUP(404011100,[1]PlanCuentas!$A$2:$A$6092,[1]PlanCuentas!J$2:J$6092)</f>
        <v>0</v>
      </c>
      <c r="N198" s="12">
        <f>LOOKUP(404011200,[1]PlanCuentas!$A$2:$A$6092,[1]PlanCuentas!J$2:J$6092)</f>
        <v>0</v>
      </c>
      <c r="O198" s="12">
        <f>LOOKUP(404011300,[1]PlanCuentas!$A$2:$A$6092,[1]PlanCuentas!J$2:J$6092)</f>
        <v>0</v>
      </c>
      <c r="P198" s="12">
        <f>LOOKUP(404012000,[1]PlanCuentas!$A$2:$A$6092,[1]PlanCuentas!J$2:J$6092)</f>
        <v>0</v>
      </c>
      <c r="Q198" s="13">
        <f t="shared" si="10"/>
        <v>0</v>
      </c>
    </row>
    <row r="199" spans="1:17" x14ac:dyDescent="0.2">
      <c r="A199" s="10">
        <v>9</v>
      </c>
      <c r="B199" s="11" t="str">
        <f>[1]Aseguradoras!B10</f>
        <v>La Independencia de Seguros S.A.</v>
      </c>
      <c r="C199" s="12">
        <f>LOOKUP(404010100,[1]PlanCuentas!$A$2:$A$6092,[1]PlanCuentas!K$2:K$6092)</f>
        <v>0</v>
      </c>
      <c r="D199" s="12">
        <f>LOOKUP(404010200,[1]PlanCuentas!$A$2:$A$6092,[1]PlanCuentas!K$2:K$6092)</f>
        <v>0</v>
      </c>
      <c r="E199" s="12">
        <f>LOOKUP(404010300,[1]PlanCuentas!$A$2:$A$6092,[1]PlanCuentas!K$2:K$6092)</f>
        <v>0</v>
      </c>
      <c r="F199" s="12">
        <f>LOOKUP(404010400,[1]PlanCuentas!$A$2:$A$6092,[1]PlanCuentas!K$2:K$6092)</f>
        <v>0</v>
      </c>
      <c r="G199" s="12">
        <f>LOOKUP(404010500,[1]PlanCuentas!$A$2:$A$6092,[1]PlanCuentas!K$2:K$6092)</f>
        <v>0</v>
      </c>
      <c r="H199" s="12">
        <f>LOOKUP(404010600,[1]PlanCuentas!$A$2:$A$6092,[1]PlanCuentas!K$2:K$6092)</f>
        <v>0</v>
      </c>
      <c r="I199" s="12">
        <f>LOOKUP(404010700,[1]PlanCuentas!$A$2:$A$6092,[1]PlanCuentas!K$2:K$6092)</f>
        <v>0</v>
      </c>
      <c r="J199" s="12">
        <f>LOOKUP(404010800,[1]PlanCuentas!$A$2:$A$6092,[1]PlanCuentas!K$2:K$6092)</f>
        <v>0</v>
      </c>
      <c r="K199" s="12">
        <f>LOOKUP(404010900,[1]PlanCuentas!$A$2:$A$6092,[1]PlanCuentas!K$2:K$6092)</f>
        <v>0</v>
      </c>
      <c r="L199" s="12">
        <f>LOOKUP(404011000,[1]PlanCuentas!$A$2:$A$6092,[1]PlanCuentas!K$2:K$6092)</f>
        <v>0</v>
      </c>
      <c r="M199" s="12">
        <f>LOOKUP(404011100,[1]PlanCuentas!$A$2:$A$6092,[1]PlanCuentas!K$2:K$6092)</f>
        <v>0</v>
      </c>
      <c r="N199" s="12">
        <f>LOOKUP(404011200,[1]PlanCuentas!$A$2:$A$6092,[1]PlanCuentas!K$2:K$6092)</f>
        <v>0</v>
      </c>
      <c r="O199" s="12">
        <f>LOOKUP(404011300,[1]PlanCuentas!$A$2:$A$6092,[1]PlanCuentas!K$2:K$6092)</f>
        <v>0</v>
      </c>
      <c r="P199" s="12">
        <f>LOOKUP(404012000,[1]PlanCuentas!$A$2:$A$6092,[1]PlanCuentas!K$2:K$6092)</f>
        <v>0</v>
      </c>
      <c r="Q199" s="13">
        <f t="shared" si="10"/>
        <v>0</v>
      </c>
    </row>
    <row r="200" spans="1:17" x14ac:dyDescent="0.2">
      <c r="A200" s="10">
        <v>10</v>
      </c>
      <c r="B200" s="11" t="str">
        <f>[1]Aseguradoras!B11</f>
        <v>Patria S.A de Seguros y Reaseguros</v>
      </c>
      <c r="C200" s="12">
        <f>LOOKUP(404010100,[1]PlanCuentas!$A$2:$A$6092,[1]PlanCuentas!L$2:L$6092)</f>
        <v>0</v>
      </c>
      <c r="D200" s="12">
        <f>LOOKUP(404010200,[1]PlanCuentas!$A$2:$A$6092,[1]PlanCuentas!L$2:L$6092)</f>
        <v>0</v>
      </c>
      <c r="E200" s="12">
        <f>LOOKUP(404010300,[1]PlanCuentas!$A$2:$A$6092,[1]PlanCuentas!L$2:L$6092)</f>
        <v>0</v>
      </c>
      <c r="F200" s="12">
        <f>LOOKUP(404010400,[1]PlanCuentas!$A$2:$A$6092,[1]PlanCuentas!L$2:L$6092)</f>
        <v>0</v>
      </c>
      <c r="G200" s="12">
        <f>LOOKUP(404010500,[1]PlanCuentas!$A$2:$A$6092,[1]PlanCuentas!L$2:L$6092)</f>
        <v>0</v>
      </c>
      <c r="H200" s="12">
        <f>LOOKUP(404010600,[1]PlanCuentas!$A$2:$A$6092,[1]PlanCuentas!L$2:L$6092)</f>
        <v>0</v>
      </c>
      <c r="I200" s="12">
        <f>LOOKUP(404010700,[1]PlanCuentas!$A$2:$A$6092,[1]PlanCuentas!L$2:L$6092)</f>
        <v>0</v>
      </c>
      <c r="J200" s="12">
        <f>LOOKUP(404010800,[1]PlanCuentas!$A$2:$A$6092,[1]PlanCuentas!L$2:L$6092)</f>
        <v>0</v>
      </c>
      <c r="K200" s="12">
        <f>LOOKUP(404010900,[1]PlanCuentas!$A$2:$A$6092,[1]PlanCuentas!L$2:L$6092)</f>
        <v>0</v>
      </c>
      <c r="L200" s="12">
        <f>LOOKUP(404011000,[1]PlanCuentas!$A$2:$A$6092,[1]PlanCuentas!L$2:L$6092)</f>
        <v>0</v>
      </c>
      <c r="M200" s="12">
        <f>LOOKUP(404011100,[1]PlanCuentas!$A$2:$A$6092,[1]PlanCuentas!L$2:L$6092)</f>
        <v>0</v>
      </c>
      <c r="N200" s="12">
        <f>LOOKUP(404011200,[1]PlanCuentas!$A$2:$A$6092,[1]PlanCuentas!L$2:L$6092)</f>
        <v>0</v>
      </c>
      <c r="O200" s="12">
        <f>LOOKUP(404011300,[1]PlanCuentas!$A$2:$A$6092,[1]PlanCuentas!L$2:L$6092)</f>
        <v>0</v>
      </c>
      <c r="P200" s="12">
        <f>LOOKUP(404012000,[1]PlanCuentas!$A$2:$A$6092,[1]PlanCuentas!L$2:L$6092)</f>
        <v>0</v>
      </c>
      <c r="Q200" s="13">
        <f t="shared" si="10"/>
        <v>0</v>
      </c>
    </row>
    <row r="201" spans="1:17" x14ac:dyDescent="0.2">
      <c r="A201" s="10">
        <v>11</v>
      </c>
      <c r="B201" s="11" t="str">
        <f>[1]Aseguradoras!B12</f>
        <v>Garantía S.A de Seguros y Reaseguros</v>
      </c>
      <c r="C201" s="12">
        <f>LOOKUP(404010100,[1]PlanCuentas!$A$2:$A$6092,[1]PlanCuentas!M$2:M$6092)</f>
        <v>0</v>
      </c>
      <c r="D201" s="12">
        <f>LOOKUP(404010200,[1]PlanCuentas!$A$2:$A$6092,[1]PlanCuentas!M$2:M$6092)</f>
        <v>0</v>
      </c>
      <c r="E201" s="12">
        <f>LOOKUP(404010300,[1]PlanCuentas!$A$2:$A$6092,[1]PlanCuentas!M$2:M$6092)</f>
        <v>0</v>
      </c>
      <c r="F201" s="12">
        <f>LOOKUP(404010400,[1]PlanCuentas!$A$2:$A$6092,[1]PlanCuentas!M$2:M$6092)</f>
        <v>0</v>
      </c>
      <c r="G201" s="12">
        <f>LOOKUP(404010500,[1]PlanCuentas!$A$2:$A$6092,[1]PlanCuentas!M$2:M$6092)</f>
        <v>0</v>
      </c>
      <c r="H201" s="12">
        <f>LOOKUP(404010600,[1]PlanCuentas!$A$2:$A$6092,[1]PlanCuentas!M$2:M$6092)</f>
        <v>0</v>
      </c>
      <c r="I201" s="12">
        <f>LOOKUP(404010700,[1]PlanCuentas!$A$2:$A$6092,[1]PlanCuentas!M$2:M$6092)</f>
        <v>0</v>
      </c>
      <c r="J201" s="12">
        <f>LOOKUP(404010800,[1]PlanCuentas!$A$2:$A$6092,[1]PlanCuentas!M$2:M$6092)</f>
        <v>0</v>
      </c>
      <c r="K201" s="12">
        <f>LOOKUP(404010900,[1]PlanCuentas!$A$2:$A$6092,[1]PlanCuentas!M$2:M$6092)</f>
        <v>0</v>
      </c>
      <c r="L201" s="12">
        <f>LOOKUP(404011000,[1]PlanCuentas!$A$2:$A$6092,[1]PlanCuentas!M$2:M$6092)</f>
        <v>0</v>
      </c>
      <c r="M201" s="12">
        <f>LOOKUP(404011100,[1]PlanCuentas!$A$2:$A$6092,[1]PlanCuentas!M$2:M$6092)</f>
        <v>0</v>
      </c>
      <c r="N201" s="12">
        <f>LOOKUP(404011200,[1]PlanCuentas!$A$2:$A$6092,[1]PlanCuentas!M$2:M$6092)</f>
        <v>0</v>
      </c>
      <c r="O201" s="12">
        <f>LOOKUP(404011300,[1]PlanCuentas!$A$2:$A$6092,[1]PlanCuentas!M$2:M$6092)</f>
        <v>0</v>
      </c>
      <c r="P201" s="12">
        <f>LOOKUP(404012000,[1]PlanCuentas!$A$2:$A$6092,[1]PlanCuentas!M$2:M$6092)</f>
        <v>0</v>
      </c>
      <c r="Q201" s="13">
        <f t="shared" si="10"/>
        <v>0</v>
      </c>
    </row>
    <row r="202" spans="1:17" x14ac:dyDescent="0.2">
      <c r="A202" s="10">
        <v>12</v>
      </c>
      <c r="B202" s="11" t="str">
        <f>[1]Aseguradoras!B13</f>
        <v>Aseguradora Paraguaya S.A.</v>
      </c>
      <c r="C202" s="12">
        <f>LOOKUP(404010100,[1]PlanCuentas!$A$2:$A$6092,[1]PlanCuentas!N$2:N$6092)</f>
        <v>0</v>
      </c>
      <c r="D202" s="12">
        <f>LOOKUP(404010200,[1]PlanCuentas!$A$2:$A$6092,[1]PlanCuentas!N$2:N$6092)</f>
        <v>0</v>
      </c>
      <c r="E202" s="12">
        <f>LOOKUP(404010300,[1]PlanCuentas!$A$2:$A$6092,[1]PlanCuentas!N$2:N$6092)</f>
        <v>0</v>
      </c>
      <c r="F202" s="12">
        <f>LOOKUP(404010400,[1]PlanCuentas!$A$2:$A$6092,[1]PlanCuentas!N$2:N$6092)</f>
        <v>0</v>
      </c>
      <c r="G202" s="12">
        <f>LOOKUP(404010500,[1]PlanCuentas!$A$2:$A$6092,[1]PlanCuentas!N$2:N$6092)</f>
        <v>0</v>
      </c>
      <c r="H202" s="12">
        <f>LOOKUP(404010600,[1]PlanCuentas!$A$2:$A$6092,[1]PlanCuentas!N$2:N$6092)</f>
        <v>0</v>
      </c>
      <c r="I202" s="12">
        <f>LOOKUP(404010700,[1]PlanCuentas!$A$2:$A$6092,[1]PlanCuentas!N$2:N$6092)</f>
        <v>0</v>
      </c>
      <c r="J202" s="12">
        <f>LOOKUP(404010800,[1]PlanCuentas!$A$2:$A$6092,[1]PlanCuentas!N$2:N$6092)</f>
        <v>0</v>
      </c>
      <c r="K202" s="12">
        <f>LOOKUP(404010900,[1]PlanCuentas!$A$2:$A$6092,[1]PlanCuentas!N$2:N$6092)</f>
        <v>0</v>
      </c>
      <c r="L202" s="12">
        <f>LOOKUP(404011000,[1]PlanCuentas!$A$2:$A$6092,[1]PlanCuentas!N$2:N$6092)</f>
        <v>0</v>
      </c>
      <c r="M202" s="12">
        <f>LOOKUP(404011100,[1]PlanCuentas!$A$2:$A$6092,[1]PlanCuentas!N$2:N$6092)</f>
        <v>0</v>
      </c>
      <c r="N202" s="12">
        <f>LOOKUP(404011200,[1]PlanCuentas!$A$2:$A$6092,[1]PlanCuentas!N$2:N$6092)</f>
        <v>0</v>
      </c>
      <c r="O202" s="12">
        <f>LOOKUP(404011300,[1]PlanCuentas!$A$2:$A$6092,[1]PlanCuentas!N$2:N$6092)</f>
        <v>0</v>
      </c>
      <c r="P202" s="12">
        <f>LOOKUP(404012000,[1]PlanCuentas!$A$2:$A$6092,[1]PlanCuentas!N$2:N$6092)</f>
        <v>0</v>
      </c>
      <c r="Q202" s="13">
        <f t="shared" si="10"/>
        <v>0</v>
      </c>
    </row>
    <row r="203" spans="1:17" x14ac:dyDescent="0.2">
      <c r="A203" s="10">
        <v>13</v>
      </c>
      <c r="B203" s="11" t="str">
        <f>[1]Aseguradoras!B14</f>
        <v>Fénix S.A de Seguros y Reaseguros</v>
      </c>
      <c r="C203" s="12">
        <f>LOOKUP(404010100,[1]PlanCuentas!$A$2:$A$6092,[1]PlanCuentas!O$2:O$6092)</f>
        <v>0</v>
      </c>
      <c r="D203" s="12">
        <f>LOOKUP(404010200,[1]PlanCuentas!$A$2:$A$6092,[1]PlanCuentas!O$2:O$6092)</f>
        <v>0</v>
      </c>
      <c r="E203" s="12">
        <f>LOOKUP(404010300,[1]PlanCuentas!$A$2:$A$6092,[1]PlanCuentas!O$2:O$6092)</f>
        <v>0</v>
      </c>
      <c r="F203" s="12">
        <f>LOOKUP(404010400,[1]PlanCuentas!$A$2:$A$6092,[1]PlanCuentas!O$2:O$6092)</f>
        <v>0</v>
      </c>
      <c r="G203" s="12">
        <f>LOOKUP(404010500,[1]PlanCuentas!$A$2:$A$6092,[1]PlanCuentas!O$2:O$6092)</f>
        <v>0</v>
      </c>
      <c r="H203" s="12">
        <f>LOOKUP(404010600,[1]PlanCuentas!$A$2:$A$6092,[1]PlanCuentas!O$2:O$6092)</f>
        <v>0</v>
      </c>
      <c r="I203" s="12">
        <f>LOOKUP(404010700,[1]PlanCuentas!$A$2:$A$6092,[1]PlanCuentas!O$2:O$6092)</f>
        <v>0</v>
      </c>
      <c r="J203" s="12">
        <f>LOOKUP(404010800,[1]PlanCuentas!$A$2:$A$6092,[1]PlanCuentas!O$2:O$6092)</f>
        <v>0</v>
      </c>
      <c r="K203" s="12">
        <f>LOOKUP(404010900,[1]PlanCuentas!$A$2:$A$6092,[1]PlanCuentas!O$2:O$6092)</f>
        <v>0</v>
      </c>
      <c r="L203" s="12">
        <f>LOOKUP(404011000,[1]PlanCuentas!$A$2:$A$6092,[1]PlanCuentas!O$2:O$6092)</f>
        <v>0</v>
      </c>
      <c r="M203" s="12">
        <f>LOOKUP(404011100,[1]PlanCuentas!$A$2:$A$6092,[1]PlanCuentas!O$2:O$6092)</f>
        <v>0</v>
      </c>
      <c r="N203" s="12">
        <f>LOOKUP(404011200,[1]PlanCuentas!$A$2:$A$6092,[1]PlanCuentas!O$2:O$6092)</f>
        <v>0</v>
      </c>
      <c r="O203" s="12">
        <f>LOOKUP(404011300,[1]PlanCuentas!$A$2:$A$6092,[1]PlanCuentas!O$2:O$6092)</f>
        <v>0</v>
      </c>
      <c r="P203" s="12">
        <f>LOOKUP(404012000,[1]PlanCuentas!$A$2:$A$6092,[1]PlanCuentas!O$2:O$6092)</f>
        <v>0</v>
      </c>
      <c r="Q203" s="13">
        <f t="shared" si="10"/>
        <v>0</v>
      </c>
    </row>
    <row r="204" spans="1:17" x14ac:dyDescent="0.2">
      <c r="A204" s="10">
        <v>14</v>
      </c>
      <c r="B204" s="11" t="str">
        <f>[1]Aseguradoras!B15</f>
        <v>Central S.A de Seguros</v>
      </c>
      <c r="C204" s="12">
        <f>LOOKUP(404010100,[1]PlanCuentas!$A$2:$A$6092,[1]PlanCuentas!P$2:P$6092)</f>
        <v>0</v>
      </c>
      <c r="D204" s="12">
        <f>LOOKUP(404010200,[1]PlanCuentas!$A$2:$A$6092,[1]PlanCuentas!P$2:P$6092)</f>
        <v>0</v>
      </c>
      <c r="E204" s="12">
        <f>LOOKUP(404010300,[1]PlanCuentas!$A$2:$A$6092,[1]PlanCuentas!P$2:P$6092)</f>
        <v>0</v>
      </c>
      <c r="F204" s="12">
        <f>LOOKUP(404010400,[1]PlanCuentas!$A$2:$A$6092,[1]PlanCuentas!P$2:P$6092)</f>
        <v>0</v>
      </c>
      <c r="G204" s="12">
        <f>LOOKUP(404010500,[1]PlanCuentas!$A$2:$A$6092,[1]PlanCuentas!P$2:P$6092)</f>
        <v>0</v>
      </c>
      <c r="H204" s="12">
        <f>LOOKUP(404010600,[1]PlanCuentas!$A$2:$A$6092,[1]PlanCuentas!P$2:P$6092)</f>
        <v>0</v>
      </c>
      <c r="I204" s="12">
        <f>LOOKUP(404010700,[1]PlanCuentas!$A$2:$A$6092,[1]PlanCuentas!P$2:P$6092)</f>
        <v>0</v>
      </c>
      <c r="J204" s="12">
        <f>LOOKUP(404010800,[1]PlanCuentas!$A$2:$A$6092,[1]PlanCuentas!P$2:P$6092)</f>
        <v>0</v>
      </c>
      <c r="K204" s="12">
        <f>LOOKUP(404010900,[1]PlanCuentas!$A$2:$A$6092,[1]PlanCuentas!P$2:P$6092)</f>
        <v>0</v>
      </c>
      <c r="L204" s="12">
        <f>LOOKUP(404011000,[1]PlanCuentas!$A$2:$A$6092,[1]PlanCuentas!P$2:P$6092)</f>
        <v>0</v>
      </c>
      <c r="M204" s="12">
        <f>LOOKUP(404011100,[1]PlanCuentas!$A$2:$A$6092,[1]PlanCuentas!P$2:P$6092)</f>
        <v>0</v>
      </c>
      <c r="N204" s="12">
        <f>LOOKUP(404011200,[1]PlanCuentas!$A$2:$A$6092,[1]PlanCuentas!P$2:P$6092)</f>
        <v>0</v>
      </c>
      <c r="O204" s="12">
        <f>LOOKUP(404011300,[1]PlanCuentas!$A$2:$A$6092,[1]PlanCuentas!P$2:P$6092)</f>
        <v>0</v>
      </c>
      <c r="P204" s="12">
        <f>LOOKUP(404012000,[1]PlanCuentas!$A$2:$A$6092,[1]PlanCuentas!P$2:P$6092)</f>
        <v>0</v>
      </c>
      <c r="Q204" s="13">
        <f t="shared" si="10"/>
        <v>0</v>
      </c>
    </row>
    <row r="205" spans="1:17" x14ac:dyDescent="0.2">
      <c r="A205" s="10">
        <v>15</v>
      </c>
      <c r="B205" s="11" t="str">
        <f>[1]Aseguradoras!B16</f>
        <v>Seguros Chaco S.A de Seguros y Reaseguros</v>
      </c>
      <c r="C205" s="12">
        <f>LOOKUP(404010100,[1]PlanCuentas!$A$2:$A$6092,[1]PlanCuentas!Q$2:Q$6092)</f>
        <v>0</v>
      </c>
      <c r="D205" s="12">
        <f>LOOKUP(404010200,[1]PlanCuentas!$A$2:$A$6092,[1]PlanCuentas!Q$2:Q$6092)</f>
        <v>0</v>
      </c>
      <c r="E205" s="12">
        <f>LOOKUP(404010300,[1]PlanCuentas!$A$2:$A$6092,[1]PlanCuentas!Q$2:Q$6092)</f>
        <v>0</v>
      </c>
      <c r="F205" s="12">
        <f>LOOKUP(404010400,[1]PlanCuentas!$A$2:$A$6092,[1]PlanCuentas!Q$2:Q$6092)</f>
        <v>0</v>
      </c>
      <c r="G205" s="12">
        <f>LOOKUP(404010500,[1]PlanCuentas!$A$2:$A$6092,[1]PlanCuentas!Q$2:Q$6092)</f>
        <v>0</v>
      </c>
      <c r="H205" s="12">
        <f>LOOKUP(404010600,[1]PlanCuentas!$A$2:$A$6092,[1]PlanCuentas!Q$2:Q$6092)</f>
        <v>0</v>
      </c>
      <c r="I205" s="12">
        <f>LOOKUP(404010700,[1]PlanCuentas!$A$2:$A$6092,[1]PlanCuentas!Q$2:Q$6092)</f>
        <v>0</v>
      </c>
      <c r="J205" s="12">
        <f>LOOKUP(404010800,[1]PlanCuentas!$A$2:$A$6092,[1]PlanCuentas!Q$2:Q$6092)</f>
        <v>0</v>
      </c>
      <c r="K205" s="12">
        <f>LOOKUP(404010900,[1]PlanCuentas!$A$2:$A$6092,[1]PlanCuentas!Q$2:Q$6092)</f>
        <v>0</v>
      </c>
      <c r="L205" s="12">
        <f>LOOKUP(404011000,[1]PlanCuentas!$A$2:$A$6092,[1]PlanCuentas!Q$2:Q$6092)</f>
        <v>0</v>
      </c>
      <c r="M205" s="12">
        <f>LOOKUP(404011100,[1]PlanCuentas!$A$2:$A$6092,[1]PlanCuentas!Q$2:Q$6092)</f>
        <v>0</v>
      </c>
      <c r="N205" s="12">
        <f>LOOKUP(404011200,[1]PlanCuentas!$A$2:$A$6092,[1]PlanCuentas!Q$2:Q$6092)</f>
        <v>0</v>
      </c>
      <c r="O205" s="12">
        <f>LOOKUP(404011300,[1]PlanCuentas!$A$2:$A$6092,[1]PlanCuentas!Q$2:Q$6092)</f>
        <v>0</v>
      </c>
      <c r="P205" s="12">
        <f>LOOKUP(404012000,[1]PlanCuentas!$A$2:$A$6092,[1]PlanCuentas!Q$2:Q$6092)</f>
        <v>0</v>
      </c>
      <c r="Q205" s="13">
        <f t="shared" si="10"/>
        <v>0</v>
      </c>
    </row>
    <row r="206" spans="1:17" x14ac:dyDescent="0.2">
      <c r="A206" s="10">
        <v>16</v>
      </c>
      <c r="B206" s="11" t="str">
        <f>[1]Aseguradoras!B17</f>
        <v>El Sol Del Paraguay Compañía de Seguros y Reaseguros S.A.</v>
      </c>
      <c r="C206" s="12">
        <f>LOOKUP(404010100,[1]PlanCuentas!$A$2:$A$6092,[1]PlanCuentas!R$2:R$6092)</f>
        <v>0</v>
      </c>
      <c r="D206" s="12">
        <f>LOOKUP(404010200,[1]PlanCuentas!$A$2:$A$6092,[1]PlanCuentas!R$2:R$6092)</f>
        <v>0</v>
      </c>
      <c r="E206" s="12">
        <f>LOOKUP(404010300,[1]PlanCuentas!$A$2:$A$6092,[1]PlanCuentas!R$2:R$6092)</f>
        <v>0</v>
      </c>
      <c r="F206" s="12">
        <f>LOOKUP(404010400,[1]PlanCuentas!$A$2:$A$6092,[1]PlanCuentas!R$2:R$6092)</f>
        <v>0</v>
      </c>
      <c r="G206" s="12">
        <f>LOOKUP(404010500,[1]PlanCuentas!$A$2:$A$6092,[1]PlanCuentas!R$2:R$6092)</f>
        <v>0</v>
      </c>
      <c r="H206" s="12">
        <f>LOOKUP(404010600,[1]PlanCuentas!$A$2:$A$6092,[1]PlanCuentas!R$2:R$6092)</f>
        <v>0</v>
      </c>
      <c r="I206" s="12">
        <f>LOOKUP(404010700,[1]PlanCuentas!$A$2:$A$6092,[1]PlanCuentas!R$2:R$6092)</f>
        <v>0</v>
      </c>
      <c r="J206" s="12">
        <f>LOOKUP(404010800,[1]PlanCuentas!$A$2:$A$6092,[1]PlanCuentas!R$2:R$6092)</f>
        <v>0</v>
      </c>
      <c r="K206" s="12">
        <f>LOOKUP(404010900,[1]PlanCuentas!$A$2:$A$6092,[1]PlanCuentas!R$2:R$6092)</f>
        <v>0</v>
      </c>
      <c r="L206" s="12">
        <f>LOOKUP(404011000,[1]PlanCuentas!$A$2:$A$6092,[1]PlanCuentas!R$2:R$6092)</f>
        <v>0</v>
      </c>
      <c r="M206" s="12">
        <f>LOOKUP(404011100,[1]PlanCuentas!$A$2:$A$6092,[1]PlanCuentas!R$2:R$6092)</f>
        <v>0</v>
      </c>
      <c r="N206" s="12">
        <f>LOOKUP(404011200,[1]PlanCuentas!$A$2:$A$6092,[1]PlanCuentas!R$2:R$6092)</f>
        <v>0</v>
      </c>
      <c r="O206" s="12">
        <f>LOOKUP(404011300,[1]PlanCuentas!$A$2:$A$6092,[1]PlanCuentas!R$2:R$6092)</f>
        <v>0</v>
      </c>
      <c r="P206" s="12">
        <f>LOOKUP(404012000,[1]PlanCuentas!$A$2:$A$6092,[1]PlanCuentas!R$2:R$6092)</f>
        <v>0</v>
      </c>
      <c r="Q206" s="13">
        <f t="shared" si="10"/>
        <v>0</v>
      </c>
    </row>
    <row r="207" spans="1:17" x14ac:dyDescent="0.2">
      <c r="A207" s="10">
        <v>17</v>
      </c>
      <c r="B207" s="11" t="str">
        <f>[1]Aseguradoras!B18</f>
        <v>Intercontinental de Seguros y Reaseguros S.A.</v>
      </c>
      <c r="C207" s="12">
        <f>LOOKUP(404010100,[1]PlanCuentas!$A$2:$A$6092,[1]PlanCuentas!S$2:S$6092)</f>
        <v>0</v>
      </c>
      <c r="D207" s="12">
        <f>LOOKUP(404010200,[1]PlanCuentas!$A$2:$A$6092,[1]PlanCuentas!S$2:S$6092)</f>
        <v>0</v>
      </c>
      <c r="E207" s="12">
        <f>LOOKUP(404010300,[1]PlanCuentas!$A$2:$A$6092,[1]PlanCuentas!S$2:S$6092)</f>
        <v>0</v>
      </c>
      <c r="F207" s="12">
        <f>LOOKUP(404010400,[1]PlanCuentas!$A$2:$A$6092,[1]PlanCuentas!S$2:S$6092)</f>
        <v>0</v>
      </c>
      <c r="G207" s="12">
        <f>LOOKUP(404010500,[1]PlanCuentas!$A$2:$A$6092,[1]PlanCuentas!S$2:S$6092)</f>
        <v>0</v>
      </c>
      <c r="H207" s="12">
        <f>LOOKUP(404010600,[1]PlanCuentas!$A$2:$A$6092,[1]PlanCuentas!S$2:S$6092)</f>
        <v>0</v>
      </c>
      <c r="I207" s="12">
        <f>LOOKUP(404010700,[1]PlanCuentas!$A$2:$A$6092,[1]PlanCuentas!S$2:S$6092)</f>
        <v>0</v>
      </c>
      <c r="J207" s="12">
        <f>LOOKUP(404010800,[1]PlanCuentas!$A$2:$A$6092,[1]PlanCuentas!S$2:S$6092)</f>
        <v>0</v>
      </c>
      <c r="K207" s="12">
        <f>LOOKUP(404010900,[1]PlanCuentas!$A$2:$A$6092,[1]PlanCuentas!S$2:S$6092)</f>
        <v>0</v>
      </c>
      <c r="L207" s="12">
        <f>LOOKUP(404011000,[1]PlanCuentas!$A$2:$A$6092,[1]PlanCuentas!S$2:S$6092)</f>
        <v>0</v>
      </c>
      <c r="M207" s="12">
        <f>LOOKUP(404011100,[1]PlanCuentas!$A$2:$A$6092,[1]PlanCuentas!S$2:S$6092)</f>
        <v>0</v>
      </c>
      <c r="N207" s="12">
        <f>LOOKUP(404011200,[1]PlanCuentas!$A$2:$A$6092,[1]PlanCuentas!S$2:S$6092)</f>
        <v>0</v>
      </c>
      <c r="O207" s="12">
        <f>LOOKUP(404011300,[1]PlanCuentas!$A$2:$A$6092,[1]PlanCuentas!S$2:S$6092)</f>
        <v>0</v>
      </c>
      <c r="P207" s="12">
        <f>LOOKUP(404012000,[1]PlanCuentas!$A$2:$A$6092,[1]PlanCuentas!S$2:S$6092)</f>
        <v>0</v>
      </c>
      <c r="Q207" s="13">
        <f t="shared" si="10"/>
        <v>0</v>
      </c>
    </row>
    <row r="208" spans="1:17" x14ac:dyDescent="0.2">
      <c r="A208" s="10">
        <v>18</v>
      </c>
      <c r="B208" s="11" t="str">
        <f>[1]Aseguradoras!B19</f>
        <v>Seguridad S.A Compañía de Seguros</v>
      </c>
      <c r="C208" s="12">
        <f>LOOKUP(404010100,[1]PlanCuentas!$A$2:$A$6092,[1]PlanCuentas!T$2:T$6092)</f>
        <v>0</v>
      </c>
      <c r="D208" s="12">
        <f>LOOKUP(404010200,[1]PlanCuentas!$A$2:$A$6092,[1]PlanCuentas!T$2:T$6092)</f>
        <v>0</v>
      </c>
      <c r="E208" s="12">
        <f>LOOKUP(404010300,[1]PlanCuentas!$A$2:$A$6092,[1]PlanCuentas!T$2:T$6092)</f>
        <v>0</v>
      </c>
      <c r="F208" s="12">
        <f>LOOKUP(404010400,[1]PlanCuentas!$A$2:$A$6092,[1]PlanCuentas!T$2:T$6092)</f>
        <v>0</v>
      </c>
      <c r="G208" s="12">
        <f>LOOKUP(404010500,[1]PlanCuentas!$A$2:$A$6092,[1]PlanCuentas!T$2:T$6092)</f>
        <v>0</v>
      </c>
      <c r="H208" s="12">
        <f>LOOKUP(404010600,[1]PlanCuentas!$A$2:$A$6092,[1]PlanCuentas!T$2:T$6092)</f>
        <v>0</v>
      </c>
      <c r="I208" s="12">
        <f>LOOKUP(404010700,[1]PlanCuentas!$A$2:$A$6092,[1]PlanCuentas!T$2:T$6092)</f>
        <v>0</v>
      </c>
      <c r="J208" s="12">
        <f>LOOKUP(404010800,[1]PlanCuentas!$A$2:$A$6092,[1]PlanCuentas!T$2:T$6092)</f>
        <v>0</v>
      </c>
      <c r="K208" s="12">
        <f>LOOKUP(404010900,[1]PlanCuentas!$A$2:$A$6092,[1]PlanCuentas!T$2:T$6092)</f>
        <v>0</v>
      </c>
      <c r="L208" s="12">
        <f>LOOKUP(404011000,[1]PlanCuentas!$A$2:$A$6092,[1]PlanCuentas!T$2:T$6092)</f>
        <v>0</v>
      </c>
      <c r="M208" s="12">
        <f>LOOKUP(404011100,[1]PlanCuentas!$A$2:$A$6092,[1]PlanCuentas!T$2:T$6092)</f>
        <v>0</v>
      </c>
      <c r="N208" s="12">
        <f>LOOKUP(404011200,[1]PlanCuentas!$A$2:$A$6092,[1]PlanCuentas!T$2:T$6092)</f>
        <v>0</v>
      </c>
      <c r="O208" s="12">
        <f>LOOKUP(404011300,[1]PlanCuentas!$A$2:$A$6092,[1]PlanCuentas!T$2:T$6092)</f>
        <v>0</v>
      </c>
      <c r="P208" s="12">
        <f>LOOKUP(404012000,[1]PlanCuentas!$A$2:$A$6092,[1]PlanCuentas!T$2:T$6092)</f>
        <v>0</v>
      </c>
      <c r="Q208" s="13">
        <f t="shared" si="10"/>
        <v>0</v>
      </c>
    </row>
    <row r="209" spans="1:17" x14ac:dyDescent="0.2">
      <c r="A209" s="10">
        <v>19</v>
      </c>
      <c r="B209" s="11" t="str">
        <f>[1]Aseguradoras!B20</f>
        <v>Universo de Seguros y Reaseguros S.A.</v>
      </c>
      <c r="C209" s="12">
        <f>LOOKUP(404010100,[1]PlanCuentas!$A$2:$A$6092,[1]PlanCuentas!U$2:U$6092)</f>
        <v>0</v>
      </c>
      <c r="D209" s="12">
        <f>LOOKUP(404010200,[1]PlanCuentas!$A$2:$A$6092,[1]PlanCuentas!U$2:U$6092)</f>
        <v>0</v>
      </c>
      <c r="E209" s="12">
        <f>LOOKUP(404010300,[1]PlanCuentas!$A$2:$A$6092,[1]PlanCuentas!U$2:U$6092)</f>
        <v>0</v>
      </c>
      <c r="F209" s="12">
        <f>LOOKUP(404010400,[1]PlanCuentas!$A$2:$A$6092,[1]PlanCuentas!U$2:U$6092)</f>
        <v>0</v>
      </c>
      <c r="G209" s="12">
        <f>LOOKUP(404010500,[1]PlanCuentas!$A$2:$A$6092,[1]PlanCuentas!U$2:U$6092)</f>
        <v>0</v>
      </c>
      <c r="H209" s="12">
        <f>LOOKUP(404010600,[1]PlanCuentas!$A$2:$A$6092,[1]PlanCuentas!U$2:U$6092)</f>
        <v>0</v>
      </c>
      <c r="I209" s="12">
        <f>LOOKUP(404010700,[1]PlanCuentas!$A$2:$A$6092,[1]PlanCuentas!U$2:U$6092)</f>
        <v>0</v>
      </c>
      <c r="J209" s="12">
        <f>LOOKUP(404010800,[1]PlanCuentas!$A$2:$A$6092,[1]PlanCuentas!U$2:U$6092)</f>
        <v>0</v>
      </c>
      <c r="K209" s="12">
        <f>LOOKUP(404010900,[1]PlanCuentas!$A$2:$A$6092,[1]PlanCuentas!U$2:U$6092)</f>
        <v>0</v>
      </c>
      <c r="L209" s="12">
        <f>LOOKUP(404011000,[1]PlanCuentas!$A$2:$A$6092,[1]PlanCuentas!U$2:U$6092)</f>
        <v>0</v>
      </c>
      <c r="M209" s="12">
        <f>LOOKUP(404011100,[1]PlanCuentas!$A$2:$A$6092,[1]PlanCuentas!U$2:U$6092)</f>
        <v>0</v>
      </c>
      <c r="N209" s="12">
        <f>LOOKUP(404011200,[1]PlanCuentas!$A$2:$A$6092,[1]PlanCuentas!U$2:U$6092)</f>
        <v>0</v>
      </c>
      <c r="O209" s="12">
        <f>LOOKUP(404011300,[1]PlanCuentas!$A$2:$A$6092,[1]PlanCuentas!U$2:U$6092)</f>
        <v>0</v>
      </c>
      <c r="P209" s="12">
        <f>LOOKUP(404012000,[1]PlanCuentas!$A$2:$A$6092,[1]PlanCuentas!U$2:U$6092)</f>
        <v>0</v>
      </c>
      <c r="Q209" s="13">
        <f t="shared" si="10"/>
        <v>0</v>
      </c>
    </row>
    <row r="210" spans="1:17" x14ac:dyDescent="0.2">
      <c r="A210" s="10">
        <v>20</v>
      </c>
      <c r="B210" s="11" t="str">
        <f>[1]Aseguradoras!B21</f>
        <v>Aseguradora Yacyreta S.A de Seguros y Reaseguros</v>
      </c>
      <c r="C210" s="12">
        <f>LOOKUP(404010100,[1]PlanCuentas!$A$2:$A$6092,[1]PlanCuentas!V$2:V$6092)</f>
        <v>0</v>
      </c>
      <c r="D210" s="12">
        <f>LOOKUP(404010200,[1]PlanCuentas!$A$2:$A$6092,[1]PlanCuentas!V$2:V$6092)</f>
        <v>0</v>
      </c>
      <c r="E210" s="12">
        <f>LOOKUP(404010300,[1]PlanCuentas!$A$2:$A$6092,[1]PlanCuentas!V$2:V$6092)</f>
        <v>0</v>
      </c>
      <c r="F210" s="12">
        <f>LOOKUP(404010400,[1]PlanCuentas!$A$2:$A$6092,[1]PlanCuentas!V$2:V$6092)</f>
        <v>0</v>
      </c>
      <c r="G210" s="12">
        <f>LOOKUP(404010500,[1]PlanCuentas!$A$2:$A$6092,[1]PlanCuentas!V$2:V$6092)</f>
        <v>0</v>
      </c>
      <c r="H210" s="12">
        <f>LOOKUP(404010600,[1]PlanCuentas!$A$2:$A$6092,[1]PlanCuentas!V$2:V$6092)</f>
        <v>0</v>
      </c>
      <c r="I210" s="12">
        <f>LOOKUP(404010700,[1]PlanCuentas!$A$2:$A$6092,[1]PlanCuentas!V$2:V$6092)</f>
        <v>0</v>
      </c>
      <c r="J210" s="12">
        <f>LOOKUP(404010800,[1]PlanCuentas!$A$2:$A$6092,[1]PlanCuentas!V$2:V$6092)</f>
        <v>0</v>
      </c>
      <c r="K210" s="12">
        <f>LOOKUP(404010900,[1]PlanCuentas!$A$2:$A$6092,[1]PlanCuentas!V$2:V$6092)</f>
        <v>0</v>
      </c>
      <c r="L210" s="12">
        <f>LOOKUP(404011000,[1]PlanCuentas!$A$2:$A$6092,[1]PlanCuentas!V$2:V$6092)</f>
        <v>0</v>
      </c>
      <c r="M210" s="12">
        <f>LOOKUP(404011100,[1]PlanCuentas!$A$2:$A$6092,[1]PlanCuentas!V$2:V$6092)</f>
        <v>0</v>
      </c>
      <c r="N210" s="12">
        <f>LOOKUP(404011200,[1]PlanCuentas!$A$2:$A$6092,[1]PlanCuentas!V$2:V$6092)</f>
        <v>0</v>
      </c>
      <c r="O210" s="12">
        <f>LOOKUP(404011300,[1]PlanCuentas!$A$2:$A$6092,[1]PlanCuentas!V$2:V$6092)</f>
        <v>0</v>
      </c>
      <c r="P210" s="12">
        <f>LOOKUP(404012000,[1]PlanCuentas!$A$2:$A$6092,[1]PlanCuentas!V$2:V$6092)</f>
        <v>0</v>
      </c>
      <c r="Q210" s="13">
        <f t="shared" si="10"/>
        <v>0</v>
      </c>
    </row>
    <row r="211" spans="1:17" x14ac:dyDescent="0.2">
      <c r="A211" s="10">
        <v>21</v>
      </c>
      <c r="B211" s="11" t="str">
        <f>[1]Aseguradoras!B22</f>
        <v>La Agricola S.A de Seguros y Reaseguros</v>
      </c>
      <c r="C211" s="12">
        <f>LOOKUP(404010100,[1]PlanCuentas!$A$2:$A$6092,[1]PlanCuentas!W$2:W$6092)</f>
        <v>0</v>
      </c>
      <c r="D211" s="12">
        <f>LOOKUP(404010200,[1]PlanCuentas!$A$2:$A$6092,[1]PlanCuentas!W$2:W$6092)</f>
        <v>0</v>
      </c>
      <c r="E211" s="12">
        <f>LOOKUP(404010300,[1]PlanCuentas!$A$2:$A$6092,[1]PlanCuentas!W$2:W$6092)</f>
        <v>0</v>
      </c>
      <c r="F211" s="12">
        <f>LOOKUP(404010400,[1]PlanCuentas!$A$2:$A$6092,[1]PlanCuentas!W$2:W$6092)</f>
        <v>0</v>
      </c>
      <c r="G211" s="12">
        <f>LOOKUP(404010500,[1]PlanCuentas!$A$2:$A$6092,[1]PlanCuentas!W$2:W$6092)</f>
        <v>0</v>
      </c>
      <c r="H211" s="12">
        <f>LOOKUP(404010600,[1]PlanCuentas!$A$2:$A$6092,[1]PlanCuentas!W$2:W$6092)</f>
        <v>0</v>
      </c>
      <c r="I211" s="12">
        <f>LOOKUP(404010700,[1]PlanCuentas!$A$2:$A$6092,[1]PlanCuentas!W$2:W$6092)</f>
        <v>0</v>
      </c>
      <c r="J211" s="12">
        <f>LOOKUP(404010800,[1]PlanCuentas!$A$2:$A$6092,[1]PlanCuentas!W$2:W$6092)</f>
        <v>0</v>
      </c>
      <c r="K211" s="12">
        <f>LOOKUP(404010900,[1]PlanCuentas!$A$2:$A$6092,[1]PlanCuentas!W$2:W$6092)</f>
        <v>0</v>
      </c>
      <c r="L211" s="12">
        <f>LOOKUP(404011000,[1]PlanCuentas!$A$2:$A$6092,[1]PlanCuentas!W$2:W$6092)</f>
        <v>0</v>
      </c>
      <c r="M211" s="12">
        <f>LOOKUP(404011100,[1]PlanCuentas!$A$2:$A$6092,[1]PlanCuentas!W$2:W$6092)</f>
        <v>0</v>
      </c>
      <c r="N211" s="12">
        <f>LOOKUP(404011200,[1]PlanCuentas!$A$2:$A$6092,[1]PlanCuentas!W$2:W$6092)</f>
        <v>0</v>
      </c>
      <c r="O211" s="12">
        <f>LOOKUP(404011300,[1]PlanCuentas!$A$2:$A$6092,[1]PlanCuentas!W$2:W$6092)</f>
        <v>0</v>
      </c>
      <c r="P211" s="12">
        <f>LOOKUP(404012000,[1]PlanCuentas!$A$2:$A$6092,[1]PlanCuentas!W$2:W$6092)</f>
        <v>0</v>
      </c>
      <c r="Q211" s="13">
        <f t="shared" si="10"/>
        <v>0</v>
      </c>
    </row>
    <row r="212" spans="1:17" x14ac:dyDescent="0.2">
      <c r="A212" s="10">
        <v>22</v>
      </c>
      <c r="B212" s="11" t="str">
        <f>[1]Aseguradoras!B23</f>
        <v>Grupo General de Seguros y Reaseguros S.A.</v>
      </c>
      <c r="C212" s="12">
        <f>LOOKUP(404010100,[1]PlanCuentas!$A$2:$A$6092,[1]PlanCuentas!X$2:X$6092)</f>
        <v>0</v>
      </c>
      <c r="D212" s="12">
        <f>LOOKUP(404010200,[1]PlanCuentas!$A$2:$A$6092,[1]PlanCuentas!X$2:X$6092)</f>
        <v>0</v>
      </c>
      <c r="E212" s="12">
        <f>LOOKUP(404010300,[1]PlanCuentas!$A$2:$A$6092,[1]PlanCuentas!X$2:X$6092)</f>
        <v>0</v>
      </c>
      <c r="F212" s="12">
        <f>LOOKUP(404010400,[1]PlanCuentas!$A$2:$A$6092,[1]PlanCuentas!X$2:X$6092)</f>
        <v>0</v>
      </c>
      <c r="G212" s="12">
        <f>LOOKUP(404010500,[1]PlanCuentas!$A$2:$A$6092,[1]PlanCuentas!X$2:X$6092)</f>
        <v>0</v>
      </c>
      <c r="H212" s="12">
        <f>LOOKUP(404010600,[1]PlanCuentas!$A$2:$A$6092,[1]PlanCuentas!X$2:X$6092)</f>
        <v>0</v>
      </c>
      <c r="I212" s="12">
        <f>LOOKUP(404010700,[1]PlanCuentas!$A$2:$A$6092,[1]PlanCuentas!X$2:X$6092)</f>
        <v>0</v>
      </c>
      <c r="J212" s="12">
        <f>LOOKUP(404010800,[1]PlanCuentas!$A$2:$A$6092,[1]PlanCuentas!X$2:X$6092)</f>
        <v>0</v>
      </c>
      <c r="K212" s="12">
        <f>LOOKUP(404010900,[1]PlanCuentas!$A$2:$A$6092,[1]PlanCuentas!X$2:X$6092)</f>
        <v>0</v>
      </c>
      <c r="L212" s="12">
        <f>LOOKUP(404011000,[1]PlanCuentas!$A$2:$A$6092,[1]PlanCuentas!X$2:X$6092)</f>
        <v>0</v>
      </c>
      <c r="M212" s="12">
        <f>LOOKUP(404011100,[1]PlanCuentas!$A$2:$A$6092,[1]PlanCuentas!X$2:X$6092)</f>
        <v>0</v>
      </c>
      <c r="N212" s="12">
        <f>LOOKUP(404011200,[1]PlanCuentas!$A$2:$A$6092,[1]PlanCuentas!X$2:X$6092)</f>
        <v>0</v>
      </c>
      <c r="O212" s="12">
        <f>LOOKUP(404011300,[1]PlanCuentas!$A$2:$A$6092,[1]PlanCuentas!X$2:X$6092)</f>
        <v>0</v>
      </c>
      <c r="P212" s="12">
        <f>LOOKUP(404012000,[1]PlanCuentas!$A$2:$A$6092,[1]PlanCuentas!X$2:X$6092)</f>
        <v>0</v>
      </c>
      <c r="Q212" s="13">
        <f t="shared" si="10"/>
        <v>0</v>
      </c>
    </row>
    <row r="213" spans="1:17" x14ac:dyDescent="0.2">
      <c r="A213" s="10">
        <v>23</v>
      </c>
      <c r="B213" s="11" t="str">
        <f>[1]Aseguradoras!B24</f>
        <v>Alfa S.A de Seguros y Reaseguros</v>
      </c>
      <c r="C213" s="12">
        <f>LOOKUP(404010100,[1]PlanCuentas!$A$2:$A$6092,[1]PlanCuentas!Y$2:Y$6092)</f>
        <v>0</v>
      </c>
      <c r="D213" s="12">
        <f>LOOKUP(404010200,[1]PlanCuentas!$A$2:$A$6092,[1]PlanCuentas!Y$2:Y$6092)</f>
        <v>0</v>
      </c>
      <c r="E213" s="12">
        <f>LOOKUP(404010300,[1]PlanCuentas!$A$2:$A$6092,[1]PlanCuentas!Y$2:Y$6092)</f>
        <v>0</v>
      </c>
      <c r="F213" s="12">
        <f>LOOKUP(404010400,[1]PlanCuentas!$A$2:$A$6092,[1]PlanCuentas!Y$2:Y$6092)</f>
        <v>0</v>
      </c>
      <c r="G213" s="12">
        <f>LOOKUP(404010500,[1]PlanCuentas!$A$2:$A$6092,[1]PlanCuentas!Y$2:Y$6092)</f>
        <v>0</v>
      </c>
      <c r="H213" s="12">
        <f>LOOKUP(404010600,[1]PlanCuentas!$A$2:$A$6092,[1]PlanCuentas!Y$2:Y$6092)</f>
        <v>0</v>
      </c>
      <c r="I213" s="12">
        <f>LOOKUP(404010700,[1]PlanCuentas!$A$2:$A$6092,[1]PlanCuentas!Y$2:Y$6092)</f>
        <v>0</v>
      </c>
      <c r="J213" s="12">
        <f>LOOKUP(404010800,[1]PlanCuentas!$A$2:$A$6092,[1]PlanCuentas!Y$2:Y$6092)</f>
        <v>0</v>
      </c>
      <c r="K213" s="12">
        <f>LOOKUP(404010900,[1]PlanCuentas!$A$2:$A$6092,[1]PlanCuentas!Y$2:Y$6092)</f>
        <v>0</v>
      </c>
      <c r="L213" s="12">
        <f>LOOKUP(404011000,[1]PlanCuentas!$A$2:$A$6092,[1]PlanCuentas!Y$2:Y$6092)</f>
        <v>0</v>
      </c>
      <c r="M213" s="12">
        <f>LOOKUP(404011100,[1]PlanCuentas!$A$2:$A$6092,[1]PlanCuentas!Y$2:Y$6092)</f>
        <v>0</v>
      </c>
      <c r="N213" s="12">
        <f>LOOKUP(404011200,[1]PlanCuentas!$A$2:$A$6092,[1]PlanCuentas!Y$2:Y$6092)</f>
        <v>0</v>
      </c>
      <c r="O213" s="12">
        <f>LOOKUP(404011300,[1]PlanCuentas!$A$2:$A$6092,[1]PlanCuentas!Y$2:Y$6092)</f>
        <v>0</v>
      </c>
      <c r="P213" s="12">
        <f>LOOKUP(404012000,[1]PlanCuentas!$A$2:$A$6092,[1]PlanCuentas!Y$2:Y$6092)</f>
        <v>0</v>
      </c>
      <c r="Q213" s="13">
        <f t="shared" si="10"/>
        <v>0</v>
      </c>
    </row>
    <row r="214" spans="1:17" x14ac:dyDescent="0.2">
      <c r="A214" s="10">
        <v>24</v>
      </c>
      <c r="B214" s="11" t="str">
        <f>[1]Aseguradoras!B25</f>
        <v>Cenit de Seguros S.A.</v>
      </c>
      <c r="C214" s="12">
        <f>LOOKUP(404010100,[1]PlanCuentas!$A$2:$A$6092,[1]PlanCuentas!Z$2:Z$6092)</f>
        <v>0</v>
      </c>
      <c r="D214" s="12">
        <f>LOOKUP(404010200,[1]PlanCuentas!$A$2:$A$6092,[1]PlanCuentas!Z$2:Z$6092)</f>
        <v>0</v>
      </c>
      <c r="E214" s="12">
        <f>LOOKUP(404010300,[1]PlanCuentas!$A$2:$A$6092,[1]PlanCuentas!Z$2:Z$6092)</f>
        <v>0</v>
      </c>
      <c r="F214" s="12">
        <f>LOOKUP(404010400,[1]PlanCuentas!$A$2:$A$6092,[1]PlanCuentas!Z$2:Z$6092)</f>
        <v>0</v>
      </c>
      <c r="G214" s="12">
        <f>LOOKUP(404010500,[1]PlanCuentas!$A$2:$A$6092,[1]PlanCuentas!Z$2:Z$6092)</f>
        <v>0</v>
      </c>
      <c r="H214" s="12">
        <f>LOOKUP(404010600,[1]PlanCuentas!$A$2:$A$6092,[1]PlanCuentas!Z$2:Z$6092)</f>
        <v>0</v>
      </c>
      <c r="I214" s="12">
        <f>LOOKUP(404010700,[1]PlanCuentas!$A$2:$A$6092,[1]PlanCuentas!Z$2:Z$6092)</f>
        <v>0</v>
      </c>
      <c r="J214" s="12">
        <f>LOOKUP(404010800,[1]PlanCuentas!$A$2:$A$6092,[1]PlanCuentas!Z$2:Z$6092)</f>
        <v>0</v>
      </c>
      <c r="K214" s="12">
        <f>LOOKUP(404010900,[1]PlanCuentas!$A$2:$A$6092,[1]PlanCuentas!Z$2:Z$6092)</f>
        <v>0</v>
      </c>
      <c r="L214" s="12">
        <f>LOOKUP(404011000,[1]PlanCuentas!$A$2:$A$6092,[1]PlanCuentas!Z$2:Z$6092)</f>
        <v>0</v>
      </c>
      <c r="M214" s="12">
        <f>LOOKUP(404011100,[1]PlanCuentas!$A$2:$A$6092,[1]PlanCuentas!Z$2:Z$6092)</f>
        <v>0</v>
      </c>
      <c r="N214" s="12">
        <f>LOOKUP(404011200,[1]PlanCuentas!$A$2:$A$6092,[1]PlanCuentas!Z$2:Z$6092)</f>
        <v>0</v>
      </c>
      <c r="O214" s="12">
        <f>LOOKUP(404011300,[1]PlanCuentas!$A$2:$A$6092,[1]PlanCuentas!Z$2:Z$6092)</f>
        <v>0</v>
      </c>
      <c r="P214" s="12">
        <f>LOOKUP(404012000,[1]PlanCuentas!$A$2:$A$6092,[1]PlanCuentas!Z$2:Z$6092)</f>
        <v>0</v>
      </c>
      <c r="Q214" s="13">
        <f t="shared" si="10"/>
        <v>0</v>
      </c>
    </row>
    <row r="215" spans="1:17" x14ac:dyDescent="0.2">
      <c r="A215" s="10">
        <v>25</v>
      </c>
      <c r="B215" s="11" t="str">
        <f>[1]Aseguradoras!B26</f>
        <v>La Meridional Paraguaya S.A de Seguros</v>
      </c>
      <c r="C215" s="12">
        <f>LOOKUP(404010100,[1]PlanCuentas!$A$2:$A$6092,[1]PlanCuentas!AA$2:AA$6092)</f>
        <v>-7335266</v>
      </c>
      <c r="D215" s="12">
        <f>LOOKUP(404010200,[1]PlanCuentas!$A$2:$A$6092,[1]PlanCuentas!AA$2:AA$6092)</f>
        <v>-2180506</v>
      </c>
      <c r="E215" s="12">
        <f>LOOKUP(404010300,[1]PlanCuentas!$A$2:$A$6092,[1]PlanCuentas!AA$2:AA$6092)</f>
        <v>-482589</v>
      </c>
      <c r="F215" s="12">
        <f>LOOKUP(404010400,[1]PlanCuentas!$A$2:$A$6092,[1]PlanCuentas!AA$2:AA$6092)</f>
        <v>12790890</v>
      </c>
      <c r="G215" s="12">
        <f>LOOKUP(404010500,[1]PlanCuentas!$A$2:$A$6092,[1]PlanCuentas!AA$2:AA$6092)</f>
        <v>0</v>
      </c>
      <c r="H215" s="12">
        <f>LOOKUP(404010600,[1]PlanCuentas!$A$2:$A$6092,[1]PlanCuentas!AA$2:AA$6092)</f>
        <v>-888172</v>
      </c>
      <c r="I215" s="12">
        <f>LOOKUP(404010700,[1]PlanCuentas!$A$2:$A$6092,[1]PlanCuentas!AA$2:AA$6092)</f>
        <v>13</v>
      </c>
      <c r="J215" s="12">
        <f>LOOKUP(404010800,[1]PlanCuentas!$A$2:$A$6092,[1]PlanCuentas!AA$2:AA$6092)</f>
        <v>0</v>
      </c>
      <c r="K215" s="12">
        <f>LOOKUP(404010900,[1]PlanCuentas!$A$2:$A$6092,[1]PlanCuentas!AA$2:AA$6092)</f>
        <v>42217</v>
      </c>
      <c r="L215" s="12">
        <f>LOOKUP(404011000,[1]PlanCuentas!$A$2:$A$6092,[1]PlanCuentas!AA$2:AA$6092)</f>
        <v>-163144</v>
      </c>
      <c r="M215" s="12">
        <f>LOOKUP(404011100,[1]PlanCuentas!$A$2:$A$6092,[1]PlanCuentas!AA$2:AA$6092)</f>
        <v>0</v>
      </c>
      <c r="N215" s="12">
        <f>LOOKUP(404011200,[1]PlanCuentas!$A$2:$A$6092,[1]PlanCuentas!AA$2:AA$6092)</f>
        <v>4</v>
      </c>
      <c r="O215" s="12">
        <f>LOOKUP(404011300,[1]PlanCuentas!$A$2:$A$6092,[1]PlanCuentas!AA$2:AA$6092)</f>
        <v>-1830571</v>
      </c>
      <c r="P215" s="12">
        <f>LOOKUP(404012000,[1]PlanCuentas!$A$2:$A$6092,[1]PlanCuentas!AA$2:AA$6092)</f>
        <v>47124</v>
      </c>
      <c r="Q215" s="13">
        <f t="shared" si="10"/>
        <v>0</v>
      </c>
    </row>
    <row r="216" spans="1:17" x14ac:dyDescent="0.2">
      <c r="A216" s="10">
        <v>26</v>
      </c>
      <c r="B216" s="11" t="str">
        <f>[1]Aseguradoras!B27</f>
        <v>Aseguradora Del Este S.A de Seguros y Reaseguros</v>
      </c>
      <c r="C216" s="12">
        <f>LOOKUP(404010100,[1]PlanCuentas!$A$2:$A$6092,[1]PlanCuentas!AB$2:AB$6092)</f>
        <v>0</v>
      </c>
      <c r="D216" s="12">
        <f>LOOKUP(404010200,[1]PlanCuentas!$A$2:$A$6092,[1]PlanCuentas!AB$2:AB$6092)</f>
        <v>0</v>
      </c>
      <c r="E216" s="12">
        <f>LOOKUP(404010300,[1]PlanCuentas!$A$2:$A$6092,[1]PlanCuentas!AB$2:AB$6092)</f>
        <v>0</v>
      </c>
      <c r="F216" s="12">
        <f>LOOKUP(404010400,[1]PlanCuentas!$A$2:$A$6092,[1]PlanCuentas!AB$2:AB$6092)</f>
        <v>0</v>
      </c>
      <c r="G216" s="12">
        <f>LOOKUP(404010500,[1]PlanCuentas!$A$2:$A$6092,[1]PlanCuentas!AB$2:AB$6092)</f>
        <v>0</v>
      </c>
      <c r="H216" s="12">
        <f>LOOKUP(404010600,[1]PlanCuentas!$A$2:$A$6092,[1]PlanCuentas!AB$2:AB$6092)</f>
        <v>0</v>
      </c>
      <c r="I216" s="12">
        <f>LOOKUP(404010700,[1]PlanCuentas!$A$2:$A$6092,[1]PlanCuentas!AB$2:AB$6092)</f>
        <v>0</v>
      </c>
      <c r="J216" s="12">
        <f>LOOKUP(404010800,[1]PlanCuentas!$A$2:$A$6092,[1]PlanCuentas!AB$2:AB$6092)</f>
        <v>0</v>
      </c>
      <c r="K216" s="12">
        <f>LOOKUP(404010900,[1]PlanCuentas!$A$2:$A$6092,[1]PlanCuentas!AB$2:AB$6092)</f>
        <v>0</v>
      </c>
      <c r="L216" s="12">
        <f>LOOKUP(404011000,[1]PlanCuentas!$A$2:$A$6092,[1]PlanCuentas!AB$2:AB$6092)</f>
        <v>0</v>
      </c>
      <c r="M216" s="12">
        <f>LOOKUP(404011100,[1]PlanCuentas!$A$2:$A$6092,[1]PlanCuentas!AB$2:AB$6092)</f>
        <v>0</v>
      </c>
      <c r="N216" s="12">
        <f>LOOKUP(404011200,[1]PlanCuentas!$A$2:$A$6092,[1]PlanCuentas!AB$2:AB$6092)</f>
        <v>0</v>
      </c>
      <c r="O216" s="12">
        <f>LOOKUP(404011300,[1]PlanCuentas!$A$2:$A$6092,[1]PlanCuentas!AB$2:AB$6092)</f>
        <v>0</v>
      </c>
      <c r="P216" s="12">
        <f>LOOKUP(404012000,[1]PlanCuentas!$A$2:$A$6092,[1]PlanCuentas!AB$2:AB$6092)</f>
        <v>0</v>
      </c>
      <c r="Q216" s="13">
        <f t="shared" si="10"/>
        <v>0</v>
      </c>
    </row>
    <row r="217" spans="1:17" x14ac:dyDescent="0.2">
      <c r="A217" s="10">
        <v>27</v>
      </c>
      <c r="B217" s="11" t="str">
        <f>[1]Aseguradoras!B28</f>
        <v>Imperio S.A de Seguros y Reaseguros</v>
      </c>
      <c r="C217" s="12">
        <f>LOOKUP(404010100,[1]PlanCuentas!$A$2:$A$6092,[1]PlanCuentas!AC$2:AC$6092)</f>
        <v>0</v>
      </c>
      <c r="D217" s="12">
        <f>LOOKUP(404010200,[1]PlanCuentas!$A$2:$A$6092,[1]PlanCuentas!AC$2:AC$6092)</f>
        <v>0</v>
      </c>
      <c r="E217" s="12">
        <f>LOOKUP(404010300,[1]PlanCuentas!$A$2:$A$6092,[1]PlanCuentas!AC$2:AC$6092)</f>
        <v>0</v>
      </c>
      <c r="F217" s="12">
        <f>LOOKUP(404010400,[1]PlanCuentas!$A$2:$A$6092,[1]PlanCuentas!AC$2:AC$6092)</f>
        <v>0</v>
      </c>
      <c r="G217" s="12">
        <f>LOOKUP(404010500,[1]PlanCuentas!$A$2:$A$6092,[1]PlanCuentas!AC$2:AC$6092)</f>
        <v>0</v>
      </c>
      <c r="H217" s="12">
        <f>LOOKUP(404010600,[1]PlanCuentas!$A$2:$A$6092,[1]PlanCuentas!AC$2:AC$6092)</f>
        <v>0</v>
      </c>
      <c r="I217" s="12">
        <f>LOOKUP(404010700,[1]PlanCuentas!$A$2:$A$6092,[1]PlanCuentas!AC$2:AC$6092)</f>
        <v>0</v>
      </c>
      <c r="J217" s="12">
        <f>LOOKUP(404010800,[1]PlanCuentas!$A$2:$A$6092,[1]PlanCuentas!AC$2:AC$6092)</f>
        <v>0</v>
      </c>
      <c r="K217" s="12">
        <f>LOOKUP(404010900,[1]PlanCuentas!$A$2:$A$6092,[1]PlanCuentas!AC$2:AC$6092)</f>
        <v>0</v>
      </c>
      <c r="L217" s="12">
        <f>LOOKUP(404011000,[1]PlanCuentas!$A$2:$A$6092,[1]PlanCuentas!AC$2:AC$6092)</f>
        <v>0</v>
      </c>
      <c r="M217" s="12">
        <f>LOOKUP(404011100,[1]PlanCuentas!$A$2:$A$6092,[1]PlanCuentas!AC$2:AC$6092)</f>
        <v>0</v>
      </c>
      <c r="N217" s="12">
        <f>LOOKUP(404011200,[1]PlanCuentas!$A$2:$A$6092,[1]PlanCuentas!AC$2:AC$6092)</f>
        <v>0</v>
      </c>
      <c r="O217" s="12">
        <f>LOOKUP(404011300,[1]PlanCuentas!$A$2:$A$6092,[1]PlanCuentas!AC$2:AC$6092)</f>
        <v>0</v>
      </c>
      <c r="P217" s="12">
        <f>LOOKUP(404012000,[1]PlanCuentas!$A$2:$A$6092,[1]PlanCuentas!AC$2:AC$6092)</f>
        <v>0</v>
      </c>
      <c r="Q217" s="13">
        <f t="shared" si="10"/>
        <v>0</v>
      </c>
    </row>
    <row r="218" spans="1:17" x14ac:dyDescent="0.2">
      <c r="A218" s="10">
        <v>28</v>
      </c>
      <c r="B218" s="11" t="str">
        <f>[1]Aseguradoras!B29</f>
        <v>Regional S.A de Seguros y Reaseguros</v>
      </c>
      <c r="C218" s="12">
        <f>LOOKUP(404010100,[1]PlanCuentas!$A$2:$A$6092,[1]PlanCuentas!AD$2:AD$6092)</f>
        <v>0</v>
      </c>
      <c r="D218" s="12">
        <f>LOOKUP(404010200,[1]PlanCuentas!$A$2:$A$6092,[1]PlanCuentas!AD$2:AD$6092)</f>
        <v>0</v>
      </c>
      <c r="E218" s="12">
        <f>LOOKUP(404010300,[1]PlanCuentas!$A$2:$A$6092,[1]PlanCuentas!AD$2:AD$6092)</f>
        <v>0</v>
      </c>
      <c r="F218" s="12">
        <f>LOOKUP(404010400,[1]PlanCuentas!$A$2:$A$6092,[1]PlanCuentas!AD$2:AD$6092)</f>
        <v>0</v>
      </c>
      <c r="G218" s="12">
        <f>LOOKUP(404010500,[1]PlanCuentas!$A$2:$A$6092,[1]PlanCuentas!AD$2:AD$6092)</f>
        <v>0</v>
      </c>
      <c r="H218" s="12">
        <f>LOOKUP(404010600,[1]PlanCuentas!$A$2:$A$6092,[1]PlanCuentas!AD$2:AD$6092)</f>
        <v>0</v>
      </c>
      <c r="I218" s="12">
        <f>LOOKUP(404010700,[1]PlanCuentas!$A$2:$A$6092,[1]PlanCuentas!AD$2:AD$6092)</f>
        <v>0</v>
      </c>
      <c r="J218" s="12">
        <f>LOOKUP(404010800,[1]PlanCuentas!$A$2:$A$6092,[1]PlanCuentas!AD$2:AD$6092)</f>
        <v>0</v>
      </c>
      <c r="K218" s="12">
        <f>LOOKUP(404010900,[1]PlanCuentas!$A$2:$A$6092,[1]PlanCuentas!AD$2:AD$6092)</f>
        <v>0</v>
      </c>
      <c r="L218" s="12">
        <f>LOOKUP(404011000,[1]PlanCuentas!$A$2:$A$6092,[1]PlanCuentas!AD$2:AD$6092)</f>
        <v>0</v>
      </c>
      <c r="M218" s="12">
        <f>LOOKUP(404011100,[1]PlanCuentas!$A$2:$A$6092,[1]PlanCuentas!AD$2:AD$6092)</f>
        <v>0</v>
      </c>
      <c r="N218" s="12">
        <f>LOOKUP(404011200,[1]PlanCuentas!$A$2:$A$6092,[1]PlanCuentas!AD$2:AD$6092)</f>
        <v>0</v>
      </c>
      <c r="O218" s="12">
        <f>LOOKUP(404011300,[1]PlanCuentas!$A$2:$A$6092,[1]PlanCuentas!AD$2:AD$6092)</f>
        <v>0</v>
      </c>
      <c r="P218" s="12">
        <f>LOOKUP(404012000,[1]PlanCuentas!$A$2:$A$6092,[1]PlanCuentas!AD$2:AD$6092)</f>
        <v>0</v>
      </c>
      <c r="Q218" s="13">
        <f t="shared" si="10"/>
        <v>0</v>
      </c>
    </row>
    <row r="219" spans="1:17" x14ac:dyDescent="0.2">
      <c r="A219" s="10">
        <v>29</v>
      </c>
      <c r="B219" s="11" t="str">
        <f>[1]Aseguradoras!B30</f>
        <v>Mapfre Paraguay Compañía de Seguros S.A.</v>
      </c>
      <c r="C219" s="12">
        <f>LOOKUP(404010100,[1]PlanCuentas!$A$2:$A$6092,[1]PlanCuentas!AE$2:AE$6092)</f>
        <v>0</v>
      </c>
      <c r="D219" s="12">
        <f>LOOKUP(404010200,[1]PlanCuentas!$A$2:$A$6092,[1]PlanCuentas!AE$2:AE$6092)</f>
        <v>0</v>
      </c>
      <c r="E219" s="12">
        <f>LOOKUP(404010300,[1]PlanCuentas!$A$2:$A$6092,[1]PlanCuentas!AE$2:AE$6092)</f>
        <v>0</v>
      </c>
      <c r="F219" s="12">
        <f>LOOKUP(404010400,[1]PlanCuentas!$A$2:$A$6092,[1]PlanCuentas!AE$2:AE$6092)</f>
        <v>0</v>
      </c>
      <c r="G219" s="12">
        <f>LOOKUP(404010500,[1]PlanCuentas!$A$2:$A$6092,[1]PlanCuentas!AE$2:AE$6092)</f>
        <v>0</v>
      </c>
      <c r="H219" s="12">
        <f>LOOKUP(404010600,[1]PlanCuentas!$A$2:$A$6092,[1]PlanCuentas!AE$2:AE$6092)</f>
        <v>0</v>
      </c>
      <c r="I219" s="12">
        <f>LOOKUP(404010700,[1]PlanCuentas!$A$2:$A$6092,[1]PlanCuentas!AE$2:AE$6092)</f>
        <v>0</v>
      </c>
      <c r="J219" s="12">
        <f>LOOKUP(404010800,[1]PlanCuentas!$A$2:$A$6092,[1]PlanCuentas!AE$2:AE$6092)</f>
        <v>0</v>
      </c>
      <c r="K219" s="12">
        <f>LOOKUP(404010900,[1]PlanCuentas!$A$2:$A$6092,[1]PlanCuentas!AE$2:AE$6092)</f>
        <v>0</v>
      </c>
      <c r="L219" s="12">
        <f>LOOKUP(404011000,[1]PlanCuentas!$A$2:$A$6092,[1]PlanCuentas!AE$2:AE$6092)</f>
        <v>0</v>
      </c>
      <c r="M219" s="12">
        <f>LOOKUP(404011100,[1]PlanCuentas!$A$2:$A$6092,[1]PlanCuentas!AE$2:AE$6092)</f>
        <v>0</v>
      </c>
      <c r="N219" s="12">
        <f>LOOKUP(404011200,[1]PlanCuentas!$A$2:$A$6092,[1]PlanCuentas!AE$2:AE$6092)</f>
        <v>0</v>
      </c>
      <c r="O219" s="12">
        <f>LOOKUP(404011300,[1]PlanCuentas!$A$2:$A$6092,[1]PlanCuentas!AE$2:AE$6092)</f>
        <v>0</v>
      </c>
      <c r="P219" s="12">
        <f>LOOKUP(404012000,[1]PlanCuentas!$A$2:$A$6092,[1]PlanCuentas!AE$2:AE$6092)</f>
        <v>0</v>
      </c>
      <c r="Q219" s="13">
        <f t="shared" si="10"/>
        <v>0</v>
      </c>
    </row>
    <row r="220" spans="1:17" x14ac:dyDescent="0.2">
      <c r="A220" s="10">
        <v>30</v>
      </c>
      <c r="B220" s="11" t="str">
        <f>[1]Aseguradoras!B31</f>
        <v>Aseguradora Tajy Propiedad Cooperativa S.A. de Seguros</v>
      </c>
      <c r="C220" s="12">
        <f>LOOKUP(404010100,[1]PlanCuentas!$A$2:$A$6092,[1]PlanCuentas!AF$2:AF$6092)</f>
        <v>0</v>
      </c>
      <c r="D220" s="12">
        <f>LOOKUP(404010200,[1]PlanCuentas!$A$2:$A$6092,[1]PlanCuentas!AF$2:AF$6092)</f>
        <v>0</v>
      </c>
      <c r="E220" s="12">
        <f>LOOKUP(404010300,[1]PlanCuentas!$A$2:$A$6092,[1]PlanCuentas!AF$2:AF$6092)</f>
        <v>0</v>
      </c>
      <c r="F220" s="12">
        <f>LOOKUP(404010400,[1]PlanCuentas!$A$2:$A$6092,[1]PlanCuentas!AF$2:AF$6092)</f>
        <v>0</v>
      </c>
      <c r="G220" s="12">
        <f>LOOKUP(404010500,[1]PlanCuentas!$A$2:$A$6092,[1]PlanCuentas!AF$2:AF$6092)</f>
        <v>0</v>
      </c>
      <c r="H220" s="12">
        <f>LOOKUP(404010600,[1]PlanCuentas!$A$2:$A$6092,[1]PlanCuentas!AF$2:AF$6092)</f>
        <v>0</v>
      </c>
      <c r="I220" s="12">
        <f>LOOKUP(404010700,[1]PlanCuentas!$A$2:$A$6092,[1]PlanCuentas!AF$2:AF$6092)</f>
        <v>0</v>
      </c>
      <c r="J220" s="12">
        <f>LOOKUP(404010800,[1]PlanCuentas!$A$2:$A$6092,[1]PlanCuentas!AF$2:AF$6092)</f>
        <v>0</v>
      </c>
      <c r="K220" s="12">
        <f>LOOKUP(404010900,[1]PlanCuentas!$A$2:$A$6092,[1]PlanCuentas!AF$2:AF$6092)</f>
        <v>0</v>
      </c>
      <c r="L220" s="12">
        <f>LOOKUP(404011000,[1]PlanCuentas!$A$2:$A$6092,[1]PlanCuentas!AF$2:AF$6092)</f>
        <v>0</v>
      </c>
      <c r="M220" s="12">
        <f>LOOKUP(404011100,[1]PlanCuentas!$A$2:$A$6092,[1]PlanCuentas!AF$2:AF$6092)</f>
        <v>0</v>
      </c>
      <c r="N220" s="12">
        <f>LOOKUP(404011200,[1]PlanCuentas!$A$2:$A$6092,[1]PlanCuentas!AF$2:AF$6092)</f>
        <v>0</v>
      </c>
      <c r="O220" s="12">
        <f>LOOKUP(404011300,[1]PlanCuentas!$A$2:$A$6092,[1]PlanCuentas!AF$2:AF$6092)</f>
        <v>0</v>
      </c>
      <c r="P220" s="12">
        <f>LOOKUP(404012000,[1]PlanCuentas!$A$2:$A$6092,[1]PlanCuentas!AF$2:AF$6092)</f>
        <v>0</v>
      </c>
      <c r="Q220" s="13">
        <f t="shared" si="10"/>
        <v>0</v>
      </c>
    </row>
    <row r="221" spans="1:17" x14ac:dyDescent="0.2">
      <c r="A221" s="10">
        <v>31</v>
      </c>
      <c r="B221" s="11" t="str">
        <f>[1]Aseguradoras!B32</f>
        <v>Aseguradora del Sur S.A. Seguros Generales - ASUR</v>
      </c>
      <c r="C221" s="12">
        <f>LOOKUP(404010100,[1]PlanCuentas!$A$2:$A$6092,[1]PlanCuentas!AG$2:AG$6092)</f>
        <v>0</v>
      </c>
      <c r="D221" s="12">
        <f>LOOKUP(404010200,[1]PlanCuentas!$A$2:$A$6092,[1]PlanCuentas!AG$2:AG$6092)</f>
        <v>0</v>
      </c>
      <c r="E221" s="12">
        <f>LOOKUP(404010300,[1]PlanCuentas!$A$2:$A$6092,[1]PlanCuentas!AG$2:AG$6092)</f>
        <v>0</v>
      </c>
      <c r="F221" s="12">
        <f>LOOKUP(404010400,[1]PlanCuentas!$A$2:$A$6092,[1]PlanCuentas!AG$2:AG$6092)</f>
        <v>0</v>
      </c>
      <c r="G221" s="12">
        <f>LOOKUP(404010500,[1]PlanCuentas!$A$2:$A$6092,[1]PlanCuentas!AG$2:AG$6092)</f>
        <v>0</v>
      </c>
      <c r="H221" s="12">
        <f>LOOKUP(404010600,[1]PlanCuentas!$A$2:$A$6092,[1]PlanCuentas!AG$2:AG$6092)</f>
        <v>0</v>
      </c>
      <c r="I221" s="12">
        <f>LOOKUP(404010700,[1]PlanCuentas!$A$2:$A$6092,[1]PlanCuentas!AG$2:AG$6092)</f>
        <v>0</v>
      </c>
      <c r="J221" s="12">
        <f>LOOKUP(404010800,[1]PlanCuentas!$A$2:$A$6092,[1]PlanCuentas!AG$2:AG$6092)</f>
        <v>0</v>
      </c>
      <c r="K221" s="12">
        <f>LOOKUP(404010900,[1]PlanCuentas!$A$2:$A$6092,[1]PlanCuentas!AG$2:AG$6092)</f>
        <v>0</v>
      </c>
      <c r="L221" s="12">
        <f>LOOKUP(404011000,[1]PlanCuentas!$A$2:$A$6092,[1]PlanCuentas!AG$2:AG$6092)</f>
        <v>0</v>
      </c>
      <c r="M221" s="12">
        <f>LOOKUP(404011100,[1]PlanCuentas!$A$2:$A$6092,[1]PlanCuentas!AG$2:AG$6092)</f>
        <v>0</v>
      </c>
      <c r="N221" s="12">
        <f>LOOKUP(404011200,[1]PlanCuentas!$A$2:$A$6092,[1]PlanCuentas!AG$2:AG$6092)</f>
        <v>0</v>
      </c>
      <c r="O221" s="12">
        <f>LOOKUP(404011300,[1]PlanCuentas!$A$2:$A$6092,[1]PlanCuentas!AG$2:AG$6092)</f>
        <v>0</v>
      </c>
      <c r="P221" s="12">
        <f>LOOKUP(404012000,[1]PlanCuentas!$A$2:$A$6092,[1]PlanCuentas!AG$2:AG$6092)</f>
        <v>0</v>
      </c>
      <c r="Q221" s="13">
        <f t="shared" si="10"/>
        <v>0</v>
      </c>
    </row>
    <row r="222" spans="1:17" x14ac:dyDescent="0.2">
      <c r="A222" s="10">
        <v>32</v>
      </c>
      <c r="B222" s="11" t="str">
        <f>[1]Aseguradoras!B33</f>
        <v>Panal Compañía De Seguros Generales S.A.</v>
      </c>
      <c r="C222" s="12">
        <f>LOOKUP(404010100,[1]PlanCuentas!$A$2:$A$6092,[1]PlanCuentas!AH$2:AH$6092)</f>
        <v>0</v>
      </c>
      <c r="D222" s="12">
        <f>LOOKUP(404010200,[1]PlanCuentas!$A$2:$A$6092,[1]PlanCuentas!AH$2:AH$6092)</f>
        <v>0</v>
      </c>
      <c r="E222" s="12">
        <f>LOOKUP(404010300,[1]PlanCuentas!$A$2:$A$6092,[1]PlanCuentas!AH$2:AH$6092)</f>
        <v>0</v>
      </c>
      <c r="F222" s="12">
        <f>LOOKUP(404010400,[1]PlanCuentas!$A$2:$A$6092,[1]PlanCuentas!AH$2:AH$6092)</f>
        <v>0</v>
      </c>
      <c r="G222" s="12">
        <f>LOOKUP(404010500,[1]PlanCuentas!$A$2:$A$6092,[1]PlanCuentas!AH$2:AH$6092)</f>
        <v>0</v>
      </c>
      <c r="H222" s="12">
        <f>LOOKUP(404010600,[1]PlanCuentas!$A$2:$A$6092,[1]PlanCuentas!AH$2:AH$6092)</f>
        <v>0</v>
      </c>
      <c r="I222" s="12">
        <f>LOOKUP(404010700,[1]PlanCuentas!$A$2:$A$6092,[1]PlanCuentas!AH$2:AH$6092)</f>
        <v>0</v>
      </c>
      <c r="J222" s="12">
        <f>LOOKUP(404010800,[1]PlanCuentas!$A$2:$A$6092,[1]PlanCuentas!AH$2:AH$6092)</f>
        <v>0</v>
      </c>
      <c r="K222" s="12">
        <f>LOOKUP(404010900,[1]PlanCuentas!$A$2:$A$6092,[1]PlanCuentas!AH$2:AH$6092)</f>
        <v>0</v>
      </c>
      <c r="L222" s="12">
        <f>LOOKUP(404011000,[1]PlanCuentas!$A$2:$A$6092,[1]PlanCuentas!AH$2:AH$6092)</f>
        <v>0</v>
      </c>
      <c r="M222" s="12">
        <f>LOOKUP(404011100,[1]PlanCuentas!$A$2:$A$6092,[1]PlanCuentas!AH$2:AH$6092)</f>
        <v>0</v>
      </c>
      <c r="N222" s="12">
        <f>LOOKUP(404011200,[1]PlanCuentas!$A$2:$A$6092,[1]PlanCuentas!AH$2:AH$6092)</f>
        <v>0</v>
      </c>
      <c r="O222" s="12">
        <f>LOOKUP(404011300,[1]PlanCuentas!$A$2:$A$6092,[1]PlanCuentas!AH$2:AH$6092)</f>
        <v>0</v>
      </c>
      <c r="P222" s="12">
        <f>LOOKUP(404012000,[1]PlanCuentas!$A$2:$A$6092,[1]PlanCuentas!AH$2:AH$6092)</f>
        <v>0</v>
      </c>
      <c r="Q222" s="13">
        <f t="shared" si="10"/>
        <v>0</v>
      </c>
    </row>
    <row r="223" spans="1:17" x14ac:dyDescent="0.2">
      <c r="A223" s="10">
        <v>33</v>
      </c>
      <c r="B223" s="11" t="str">
        <f>[1]Aseguradoras!B34</f>
        <v>Sancor Seguros del Paraguay S.A.</v>
      </c>
      <c r="C223" s="12">
        <f>LOOKUP(404010100,[1]PlanCuentas!$A$2:$A$6092,[1]PlanCuentas!AI$2:AI$6092)</f>
        <v>0</v>
      </c>
      <c r="D223" s="12">
        <f>LOOKUP(404010200,[1]PlanCuentas!$A$2:$A$6092,[1]PlanCuentas!AI$2:AI$6092)</f>
        <v>0</v>
      </c>
      <c r="E223" s="12">
        <f>LOOKUP(404010300,[1]PlanCuentas!$A$2:$A$6092,[1]PlanCuentas!AI$2:AI$6092)</f>
        <v>0</v>
      </c>
      <c r="F223" s="12">
        <f>LOOKUP(404010400,[1]PlanCuentas!$A$2:$A$6092,[1]PlanCuentas!AI$2:AI$6092)</f>
        <v>0</v>
      </c>
      <c r="G223" s="12">
        <f>LOOKUP(404010500,[1]PlanCuentas!$A$2:$A$6092,[1]PlanCuentas!AI$2:AI$6092)</f>
        <v>0</v>
      </c>
      <c r="H223" s="12">
        <f>LOOKUP(404010600,[1]PlanCuentas!$A$2:$A$6092,[1]PlanCuentas!AI$2:AI$6092)</f>
        <v>0</v>
      </c>
      <c r="I223" s="12">
        <f>LOOKUP(404010700,[1]PlanCuentas!$A$2:$A$6092,[1]PlanCuentas!AI$2:AI$6092)</f>
        <v>0</v>
      </c>
      <c r="J223" s="12">
        <f>LOOKUP(404010800,[1]PlanCuentas!$A$2:$A$6092,[1]PlanCuentas!AI$2:AI$6092)</f>
        <v>0</v>
      </c>
      <c r="K223" s="12">
        <f>LOOKUP(404010900,[1]PlanCuentas!$A$2:$A$6092,[1]PlanCuentas!AI$2:AI$6092)</f>
        <v>0</v>
      </c>
      <c r="L223" s="12">
        <f>LOOKUP(404011000,[1]PlanCuentas!$A$2:$A$6092,[1]PlanCuentas!AI$2:AI$6092)</f>
        <v>0</v>
      </c>
      <c r="M223" s="12">
        <f>LOOKUP(404011100,[1]PlanCuentas!$A$2:$A$6092,[1]PlanCuentas!AI$2:AI$6092)</f>
        <v>0</v>
      </c>
      <c r="N223" s="12">
        <f>LOOKUP(404011200,[1]PlanCuentas!$A$2:$A$6092,[1]PlanCuentas!AI$2:AI$6092)</f>
        <v>0</v>
      </c>
      <c r="O223" s="12">
        <f>LOOKUP(404011300,[1]PlanCuentas!$A$2:$A$6092,[1]PlanCuentas!AI$2:AI$6092)</f>
        <v>0</v>
      </c>
      <c r="P223" s="12">
        <f>LOOKUP(404012000,[1]PlanCuentas!$A$2:$A$6092,[1]PlanCuentas!AI$2:AI$6092)</f>
        <v>0</v>
      </c>
      <c r="Q223" s="13">
        <f>SUM(C223:P223)</f>
        <v>0</v>
      </c>
    </row>
    <row r="224" spans="1:17" x14ac:dyDescent="0.2">
      <c r="A224" s="14"/>
      <c r="B224" s="15" t="s">
        <v>18</v>
      </c>
      <c r="C224" s="16">
        <f t="shared" ref="C224:Q224" si="11">SUBTOTAL(109,C191:C223)</f>
        <v>-7335266</v>
      </c>
      <c r="D224" s="16">
        <f t="shared" si="11"/>
        <v>-2180506</v>
      </c>
      <c r="E224" s="17">
        <f t="shared" si="11"/>
        <v>-482589</v>
      </c>
      <c r="F224" s="17">
        <f t="shared" si="11"/>
        <v>12790890</v>
      </c>
      <c r="G224" s="17">
        <f t="shared" si="11"/>
        <v>0</v>
      </c>
      <c r="H224" s="17">
        <f t="shared" si="11"/>
        <v>-888172</v>
      </c>
      <c r="I224" s="17">
        <f t="shared" si="11"/>
        <v>13</v>
      </c>
      <c r="J224" s="17">
        <f t="shared" si="11"/>
        <v>0</v>
      </c>
      <c r="K224" s="17">
        <f t="shared" si="11"/>
        <v>42217</v>
      </c>
      <c r="L224" s="17">
        <f t="shared" si="11"/>
        <v>-163144</v>
      </c>
      <c r="M224" s="17">
        <f t="shared" si="11"/>
        <v>0</v>
      </c>
      <c r="N224" s="17">
        <f t="shared" si="11"/>
        <v>4</v>
      </c>
      <c r="O224" s="17">
        <f t="shared" si="11"/>
        <v>-1830571</v>
      </c>
      <c r="P224" s="17">
        <f t="shared" si="11"/>
        <v>47124</v>
      </c>
      <c r="Q224" s="17">
        <f t="shared" si="11"/>
        <v>0</v>
      </c>
    </row>
    <row r="226" spans="1:4" x14ac:dyDescent="0.2">
      <c r="D226" s="5"/>
    </row>
    <row r="227" spans="1:4" ht="28.35" customHeight="1" x14ac:dyDescent="0.2">
      <c r="A227" s="20" t="s">
        <v>25</v>
      </c>
      <c r="B227" s="51" t="s">
        <v>27</v>
      </c>
      <c r="C227" s="52"/>
      <c r="D227" s="2"/>
    </row>
    <row r="228" spans="1:4" x14ac:dyDescent="0.2">
      <c r="A228" s="7" t="s">
        <v>2</v>
      </c>
      <c r="B228" s="8" t="s">
        <v>3</v>
      </c>
      <c r="C228" s="8" t="s">
        <v>17</v>
      </c>
      <c r="D228" s="21" t="s">
        <v>18</v>
      </c>
    </row>
    <row r="229" spans="1:4" x14ac:dyDescent="0.2">
      <c r="A229" s="22">
        <v>1</v>
      </c>
      <c r="B229" s="11" t="str">
        <f>[1]Aseguradoras!B2</f>
        <v>El Comercio Paraguayo S.A. de Seguros</v>
      </c>
      <c r="C229" s="12">
        <f>LOOKUP(404020100,[1]PlanCuentas!$A$2:$A$6092,[1]PlanCuentas!C$2:C$6092)</f>
        <v>0</v>
      </c>
      <c r="D229" s="23">
        <f>SUM(C229)</f>
        <v>0</v>
      </c>
    </row>
    <row r="230" spans="1:4" x14ac:dyDescent="0.2">
      <c r="A230" s="22">
        <v>2</v>
      </c>
      <c r="B230" s="11" t="str">
        <f>[1]Aseguradoras!B3</f>
        <v>La Rural S.A de Seguros</v>
      </c>
      <c r="C230" s="12">
        <f>LOOKUP(404020100,[1]PlanCuentas!$A$2:$A$6092,[1]PlanCuentas!D$2:D$6092)</f>
        <v>0</v>
      </c>
      <c r="D230" s="23">
        <f t="shared" ref="D230:D260" si="12">SUM(C230)</f>
        <v>0</v>
      </c>
    </row>
    <row r="231" spans="1:4" x14ac:dyDescent="0.2">
      <c r="A231" s="22">
        <v>3</v>
      </c>
      <c r="B231" s="11" t="str">
        <f>[1]Aseguradoras!B4</f>
        <v>La Paraguaya S.A de Seguros</v>
      </c>
      <c r="C231" s="12">
        <f>LOOKUP(404020100,[1]PlanCuentas!$A$2:$A$6092,[1]PlanCuentas!E$2:E$6092)</f>
        <v>0</v>
      </c>
      <c r="D231" s="23">
        <f t="shared" si="12"/>
        <v>0</v>
      </c>
    </row>
    <row r="232" spans="1:4" x14ac:dyDescent="0.2">
      <c r="A232" s="22">
        <v>4</v>
      </c>
      <c r="B232" s="11" t="str">
        <f>[1]Aseguradoras!B5</f>
        <v>Seguros Generales S. A (SEGESA)</v>
      </c>
      <c r="C232" s="12">
        <f>LOOKUP(404020100,[1]PlanCuentas!$A$2:$A$6092,[1]PlanCuentas!F$2:F$6092)</f>
        <v>0</v>
      </c>
      <c r="D232" s="23">
        <f t="shared" si="12"/>
        <v>0</v>
      </c>
    </row>
    <row r="233" spans="1:4" x14ac:dyDescent="0.2">
      <c r="A233" s="22">
        <v>5</v>
      </c>
      <c r="B233" s="11" t="str">
        <f>[1]Aseguradoras!B6</f>
        <v>Rumbos S.A de Seguros</v>
      </c>
      <c r="C233" s="12">
        <f>LOOKUP(404020100,[1]PlanCuentas!$A$2:$A$6092,[1]PlanCuentas!G$2:G$6092)</f>
        <v>0</v>
      </c>
      <c r="D233" s="23">
        <f t="shared" si="12"/>
        <v>0</v>
      </c>
    </row>
    <row r="234" spans="1:4" x14ac:dyDescent="0.2">
      <c r="A234" s="22">
        <v>6</v>
      </c>
      <c r="B234" s="11" t="str">
        <f>[1]Aseguradoras!B7</f>
        <v>La Consolidada S.A de Seguros</v>
      </c>
      <c r="C234" s="12">
        <f>LOOKUP(404020100,[1]PlanCuentas!$A$2:$A$6092,[1]PlanCuentas!H$2:H$6092)</f>
        <v>0</v>
      </c>
      <c r="D234" s="23">
        <f t="shared" si="12"/>
        <v>0</v>
      </c>
    </row>
    <row r="235" spans="1:4" x14ac:dyDescent="0.2">
      <c r="A235" s="22">
        <v>7</v>
      </c>
      <c r="B235" s="11" t="str">
        <f>[1]Aseguradoras!B8</f>
        <v>El Productor S.A de Seguros y Reaseguros</v>
      </c>
      <c r="C235" s="12">
        <f>LOOKUP(404020100,[1]PlanCuentas!$A$2:$A$6092,[1]PlanCuentas!I$2:I$6092)</f>
        <v>0</v>
      </c>
      <c r="D235" s="23">
        <f t="shared" si="12"/>
        <v>0</v>
      </c>
    </row>
    <row r="236" spans="1:4" x14ac:dyDescent="0.2">
      <c r="A236" s="22">
        <v>8</v>
      </c>
      <c r="B236" s="11" t="str">
        <f>[1]Aseguradoras!B9</f>
        <v>Atalaya S.A de Seguros Generales</v>
      </c>
      <c r="C236" s="12">
        <f>LOOKUP(404020100,[1]PlanCuentas!$A$2:$A$6092,[1]PlanCuentas!J$2:J$6092)</f>
        <v>0</v>
      </c>
      <c r="D236" s="23">
        <f t="shared" si="12"/>
        <v>0</v>
      </c>
    </row>
    <row r="237" spans="1:4" x14ac:dyDescent="0.2">
      <c r="A237" s="22">
        <v>9</v>
      </c>
      <c r="B237" s="11" t="str">
        <f>[1]Aseguradoras!B10</f>
        <v>La Independencia de Seguros S.A.</v>
      </c>
      <c r="C237" s="12">
        <f>LOOKUP(404020100,[1]PlanCuentas!$A$2:$A$6092,[1]PlanCuentas!K$2:K$6092)</f>
        <v>0</v>
      </c>
      <c r="D237" s="23">
        <f t="shared" si="12"/>
        <v>0</v>
      </c>
    </row>
    <row r="238" spans="1:4" x14ac:dyDescent="0.2">
      <c r="A238" s="22">
        <v>10</v>
      </c>
      <c r="B238" s="11" t="str">
        <f>[1]Aseguradoras!B11</f>
        <v>Patria S.A de Seguros y Reaseguros</v>
      </c>
      <c r="C238" s="12">
        <f>LOOKUP(404020100,[1]PlanCuentas!$A$2:$A$6092,[1]PlanCuentas!L$2:L$6092)</f>
        <v>0</v>
      </c>
      <c r="D238" s="23">
        <f t="shared" si="12"/>
        <v>0</v>
      </c>
    </row>
    <row r="239" spans="1:4" x14ac:dyDescent="0.2">
      <c r="A239" s="22">
        <v>11</v>
      </c>
      <c r="B239" s="11" t="str">
        <f>[1]Aseguradoras!B12</f>
        <v>Garantía S.A de Seguros y Reaseguros</v>
      </c>
      <c r="C239" s="12">
        <f>LOOKUP(404020100,[1]PlanCuentas!$A$2:$A$6092,[1]PlanCuentas!M$2:M$6092)</f>
        <v>0</v>
      </c>
      <c r="D239" s="23">
        <f t="shared" si="12"/>
        <v>0</v>
      </c>
    </row>
    <row r="240" spans="1:4" x14ac:dyDescent="0.2">
      <c r="A240" s="22">
        <v>12</v>
      </c>
      <c r="B240" s="11" t="str">
        <f>[1]Aseguradoras!B13</f>
        <v>Aseguradora Paraguaya S.A.</v>
      </c>
      <c r="C240" s="12">
        <f>LOOKUP(404020100,[1]PlanCuentas!$A$2:$A$6092,[1]PlanCuentas!N$2:N$6092)</f>
        <v>0</v>
      </c>
      <c r="D240" s="23">
        <f t="shared" si="12"/>
        <v>0</v>
      </c>
    </row>
    <row r="241" spans="1:19" x14ac:dyDescent="0.2">
      <c r="A241" s="22">
        <v>13</v>
      </c>
      <c r="B241" s="11" t="str">
        <f>[1]Aseguradoras!B14</f>
        <v>Fénix S.A de Seguros y Reaseguros</v>
      </c>
      <c r="C241" s="12">
        <f>LOOKUP(404020100,[1]PlanCuentas!$A$2:$A$6092,[1]PlanCuentas!O$2:O$6092)</f>
        <v>0</v>
      </c>
      <c r="D241" s="23">
        <f t="shared" si="12"/>
        <v>0</v>
      </c>
    </row>
    <row r="242" spans="1:19" x14ac:dyDescent="0.2">
      <c r="A242" s="22">
        <v>14</v>
      </c>
      <c r="B242" s="11" t="str">
        <f>[1]Aseguradoras!B15</f>
        <v>Central S.A de Seguros</v>
      </c>
      <c r="C242" s="12">
        <f>LOOKUP(404020100,[1]PlanCuentas!$A$2:$A$6092,[1]PlanCuentas!P$2:P$6092)</f>
        <v>0</v>
      </c>
      <c r="D242" s="23">
        <f t="shared" si="12"/>
        <v>0</v>
      </c>
    </row>
    <row r="243" spans="1:19" x14ac:dyDescent="0.2">
      <c r="A243" s="22">
        <v>15</v>
      </c>
      <c r="B243" s="11" t="str">
        <f>[1]Aseguradoras!B16</f>
        <v>Seguros Chaco S.A de Seguros y Reaseguros</v>
      </c>
      <c r="C243" s="12">
        <f>LOOKUP(404020100,[1]PlanCuentas!$A$2:$A$6092,[1]PlanCuentas!Q$2:Q$6092)</f>
        <v>0</v>
      </c>
      <c r="D243" s="23">
        <f t="shared" si="12"/>
        <v>0</v>
      </c>
    </row>
    <row r="244" spans="1:19" x14ac:dyDescent="0.2">
      <c r="A244" s="22">
        <v>16</v>
      </c>
      <c r="B244" s="11" t="str">
        <f>[1]Aseguradoras!B17</f>
        <v>El Sol Del Paraguay Compañía de Seguros y Reaseguros S.A.</v>
      </c>
      <c r="C244" s="12">
        <f>LOOKUP(404020100,[1]PlanCuentas!$A$2:$A$6092,[1]PlanCuentas!R$2:R$6092)</f>
        <v>0</v>
      </c>
      <c r="D244" s="23">
        <f t="shared" si="12"/>
        <v>0</v>
      </c>
    </row>
    <row r="245" spans="1:19" x14ac:dyDescent="0.2">
      <c r="A245" s="22">
        <v>17</v>
      </c>
      <c r="B245" s="11" t="str">
        <f>[1]Aseguradoras!B18</f>
        <v>Intercontinental de Seguros y Reaseguros S.A.</v>
      </c>
      <c r="C245" s="12">
        <f>LOOKUP(404020100,[1]PlanCuentas!$A$2:$A$6092,[1]PlanCuentas!S$2:S$6092)</f>
        <v>0</v>
      </c>
      <c r="D245" s="23">
        <f t="shared" si="12"/>
        <v>0</v>
      </c>
    </row>
    <row r="246" spans="1:19" x14ac:dyDescent="0.2">
      <c r="A246" s="22">
        <v>18</v>
      </c>
      <c r="B246" s="11" t="str">
        <f>[1]Aseguradoras!B19</f>
        <v>Seguridad S.A Compañía de Seguros</v>
      </c>
      <c r="C246" s="12">
        <f>LOOKUP(404020100,[1]PlanCuentas!$A$2:$A$6092,[1]PlanCuentas!T$2:T$6092)</f>
        <v>493540963</v>
      </c>
      <c r="D246" s="23">
        <f t="shared" si="12"/>
        <v>493540963</v>
      </c>
    </row>
    <row r="247" spans="1:19" x14ac:dyDescent="0.2">
      <c r="A247" s="22">
        <v>19</v>
      </c>
      <c r="B247" s="11" t="str">
        <f>[1]Aseguradoras!B20</f>
        <v>Universo de Seguros y Reaseguros S.A.</v>
      </c>
      <c r="C247" s="12">
        <f>LOOKUP(404020100,[1]PlanCuentas!$A$2:$A$6092,[1]PlanCuentas!U$2:U$6092)</f>
        <v>0</v>
      </c>
      <c r="D247" s="23">
        <f t="shared" si="12"/>
        <v>0</v>
      </c>
    </row>
    <row r="248" spans="1:19" x14ac:dyDescent="0.2">
      <c r="A248" s="22">
        <v>20</v>
      </c>
      <c r="B248" s="11" t="str">
        <f>[1]Aseguradoras!B21</f>
        <v>Aseguradora Yacyreta S.A de Seguros y Reaseguros</v>
      </c>
      <c r="C248" s="12">
        <f>LOOKUP(404020100,[1]PlanCuentas!$A$2:$A$6092,[1]PlanCuentas!V$2:V$6092)</f>
        <v>0</v>
      </c>
      <c r="D248" s="23">
        <f t="shared" si="12"/>
        <v>0</v>
      </c>
    </row>
    <row r="249" spans="1:19" x14ac:dyDescent="0.2">
      <c r="A249" s="22">
        <v>21</v>
      </c>
      <c r="B249" s="11" t="str">
        <f>[1]Aseguradoras!B22</f>
        <v>La Agricola S.A de Seguros y Reaseguros</v>
      </c>
      <c r="C249" s="12">
        <f>LOOKUP(404020100,[1]PlanCuentas!$A$2:$A$6092,[1]PlanCuentas!W$2:W$6092)</f>
        <v>0</v>
      </c>
      <c r="D249" s="23">
        <f t="shared" si="12"/>
        <v>0</v>
      </c>
    </row>
    <row r="250" spans="1:19" x14ac:dyDescent="0.2">
      <c r="A250" s="22">
        <v>22</v>
      </c>
      <c r="B250" s="11" t="str">
        <f>[1]Aseguradoras!B23</f>
        <v>Grupo General de Seguros y Reaseguros S.A.</v>
      </c>
      <c r="C250" s="12">
        <f>LOOKUP(404020100,[1]PlanCuentas!$A$2:$A$6092,[1]PlanCuentas!X$2:X$6092)</f>
        <v>0</v>
      </c>
      <c r="D250" s="23">
        <f t="shared" si="12"/>
        <v>0</v>
      </c>
    </row>
    <row r="251" spans="1:19" x14ac:dyDescent="0.2">
      <c r="A251" s="22">
        <v>23</v>
      </c>
      <c r="B251" s="11" t="str">
        <f>[1]Aseguradoras!B24</f>
        <v>Alfa S.A de Seguros y Reaseguros</v>
      </c>
      <c r="C251" s="12">
        <f>LOOKUP(404020100,[1]PlanCuentas!$A$2:$A$6092,[1]PlanCuentas!Y$2:Y$6092)</f>
        <v>0</v>
      </c>
      <c r="D251" s="23">
        <f t="shared" si="12"/>
        <v>0</v>
      </c>
    </row>
    <row r="252" spans="1:19" x14ac:dyDescent="0.2">
      <c r="A252" s="22">
        <v>24</v>
      </c>
      <c r="B252" s="11" t="str">
        <f>[1]Aseguradoras!B25</f>
        <v>Cenit de Seguros S.A.</v>
      </c>
      <c r="C252" s="12">
        <f>LOOKUP(404020100,[1]PlanCuentas!$A$2:$A$6092,[1]PlanCuentas!Z$2:Z$6092)</f>
        <v>0</v>
      </c>
      <c r="D252" s="23">
        <f t="shared" si="12"/>
        <v>0</v>
      </c>
    </row>
    <row r="253" spans="1:19" x14ac:dyDescent="0.2">
      <c r="A253" s="22">
        <v>25</v>
      </c>
      <c r="B253" s="11" t="str">
        <f>[1]Aseguradoras!B26</f>
        <v>La Meridional Paraguaya S.A de Seguros</v>
      </c>
      <c r="C253" s="12">
        <f>LOOKUP(404020100,[1]PlanCuentas!$A$2:$A$6092,[1]PlanCuentas!AA$2:AA$6092)</f>
        <v>0</v>
      </c>
      <c r="D253" s="23">
        <f t="shared" si="12"/>
        <v>0</v>
      </c>
    </row>
    <row r="254" spans="1:19" x14ac:dyDescent="0.2">
      <c r="A254" s="22">
        <v>26</v>
      </c>
      <c r="B254" s="11" t="str">
        <f>[1]Aseguradoras!B27</f>
        <v>Aseguradora Del Este S.A de Seguros y Reaseguros</v>
      </c>
      <c r="C254" s="12">
        <f>LOOKUP(404020100,[1]PlanCuentas!$A$2:$A$6092,[1]PlanCuentas!AB$2:AB$6092)</f>
        <v>0</v>
      </c>
      <c r="D254" s="23">
        <f t="shared" si="12"/>
        <v>0</v>
      </c>
    </row>
    <row r="255" spans="1:19" x14ac:dyDescent="0.2">
      <c r="A255" s="22">
        <v>27</v>
      </c>
      <c r="B255" s="11" t="str">
        <f>[1]Aseguradoras!B28</f>
        <v>Imperio S.A de Seguros y Reaseguros</v>
      </c>
      <c r="C255" s="12">
        <f>LOOKUP(404020100,[1]PlanCuentas!$A$2:$A$6092,[1]PlanCuentas!AC$2:AC$6092)</f>
        <v>0</v>
      </c>
      <c r="D255" s="23">
        <f t="shared" si="12"/>
        <v>0</v>
      </c>
    </row>
    <row r="256" spans="1:19" x14ac:dyDescent="0.2">
      <c r="A256" s="22">
        <v>28</v>
      </c>
      <c r="B256" s="11" t="str">
        <f>[1]Aseguradoras!B29</f>
        <v>Regional S.A de Seguros y Reaseguros</v>
      </c>
      <c r="C256" s="12">
        <f>LOOKUP(404020100,[1]PlanCuentas!$A$2:$A$6092,[1]PlanCuentas!AD$2:AD$6092)</f>
        <v>0</v>
      </c>
      <c r="D256" s="23">
        <f t="shared" si="12"/>
        <v>0</v>
      </c>
      <c r="R256" s="5"/>
      <c r="S256" s="5"/>
    </row>
    <row r="257" spans="1:19" x14ac:dyDescent="0.2">
      <c r="A257" s="22">
        <v>29</v>
      </c>
      <c r="B257" s="11" t="str">
        <f>[1]Aseguradoras!B30</f>
        <v>Mapfre Paraguay Compañía de Seguros S.A.</v>
      </c>
      <c r="C257" s="12">
        <f>LOOKUP(404020100,[1]PlanCuentas!$A$2:$A$6092,[1]PlanCuentas!AE$2:AE$6092)</f>
        <v>0</v>
      </c>
      <c r="D257" s="23">
        <f t="shared" si="12"/>
        <v>0</v>
      </c>
      <c r="R257" s="5"/>
      <c r="S257" s="5"/>
    </row>
    <row r="258" spans="1:19" x14ac:dyDescent="0.2">
      <c r="A258" s="22">
        <v>30</v>
      </c>
      <c r="B258" s="11" t="str">
        <f>[1]Aseguradoras!B31</f>
        <v>Aseguradora Tajy Propiedad Cooperativa S.A. de Seguros</v>
      </c>
      <c r="C258" s="12">
        <f>LOOKUP(404020100,[1]PlanCuentas!$A$2:$A$6092,[1]PlanCuentas!AF$2:AF$6092)</f>
        <v>0</v>
      </c>
      <c r="D258" s="23">
        <f t="shared" si="12"/>
        <v>0</v>
      </c>
      <c r="R258" s="5"/>
      <c r="S258" s="5"/>
    </row>
    <row r="259" spans="1:19" x14ac:dyDescent="0.2">
      <c r="A259" s="22">
        <v>31</v>
      </c>
      <c r="B259" s="11" t="str">
        <f>[1]Aseguradoras!B32</f>
        <v>Aseguradora del Sur S.A. Seguros Generales - ASUR</v>
      </c>
      <c r="C259" s="12">
        <f>LOOKUP(404020100,[1]PlanCuentas!$A$2:$A$6092,[1]PlanCuentas!AG$2:AG$6092)</f>
        <v>0</v>
      </c>
      <c r="D259" s="23">
        <f t="shared" si="12"/>
        <v>0</v>
      </c>
      <c r="R259" s="5"/>
      <c r="S259" s="5"/>
    </row>
    <row r="260" spans="1:19" x14ac:dyDescent="0.2">
      <c r="A260" s="22">
        <v>32</v>
      </c>
      <c r="B260" s="11" t="str">
        <f>[1]Aseguradoras!B33</f>
        <v>Panal Compañía De Seguros Generales S.A.</v>
      </c>
      <c r="C260" s="12">
        <f>LOOKUP(404020100,[1]PlanCuentas!$A$2:$A$6092,[1]PlanCuentas!AH$2:AH$6092)</f>
        <v>0</v>
      </c>
      <c r="D260" s="23">
        <f t="shared" si="12"/>
        <v>0</v>
      </c>
      <c r="R260" s="5"/>
      <c r="S260" s="5"/>
    </row>
    <row r="261" spans="1:19" x14ac:dyDescent="0.2">
      <c r="A261" s="22">
        <v>33</v>
      </c>
      <c r="B261" s="11" t="str">
        <f>[1]Aseguradoras!B34</f>
        <v>Sancor Seguros del Paraguay S.A.</v>
      </c>
      <c r="C261" s="12">
        <f>LOOKUP(404020100,[1]PlanCuentas!$A$2:$A$6092,[1]PlanCuentas!AI$2:AI$6092)</f>
        <v>0</v>
      </c>
      <c r="D261" s="23">
        <f>SUM(C261)</f>
        <v>0</v>
      </c>
      <c r="R261" s="5"/>
      <c r="S261" s="5"/>
    </row>
    <row r="262" spans="1:19" x14ac:dyDescent="0.2">
      <c r="A262" s="24"/>
      <c r="B262" s="15" t="s">
        <v>18</v>
      </c>
      <c r="C262" s="25"/>
      <c r="D262" s="26">
        <f>SUBTOTAL(109,D229:D261)</f>
        <v>493540963</v>
      </c>
    </row>
    <row r="263" spans="1:19" x14ac:dyDescent="0.2">
      <c r="D263" s="5"/>
    </row>
    <row r="264" spans="1:19" ht="28.35" customHeight="1" x14ac:dyDescent="0.2">
      <c r="A264" s="20" t="s">
        <v>25</v>
      </c>
      <c r="B264" s="49" t="s">
        <v>28</v>
      </c>
      <c r="C264" s="50"/>
      <c r="D264" s="2"/>
    </row>
    <row r="265" spans="1:19" x14ac:dyDescent="0.2">
      <c r="A265" s="7" t="s">
        <v>2</v>
      </c>
      <c r="B265" s="8" t="s">
        <v>3</v>
      </c>
      <c r="C265" s="8" t="s">
        <v>17</v>
      </c>
      <c r="D265" s="21" t="s">
        <v>18</v>
      </c>
    </row>
    <row r="266" spans="1:19" x14ac:dyDescent="0.2">
      <c r="A266" s="22">
        <v>1</v>
      </c>
      <c r="B266" s="11" t="str">
        <f>[1]Aseguradoras!B2</f>
        <v>El Comercio Paraguayo S.A. de Seguros</v>
      </c>
      <c r="C266" s="12">
        <f>LOOKUP(404030100,[1]PlanCuentas!$A$2:$A$6092,[1]PlanCuentas!C$2:C$6092)</f>
        <v>0</v>
      </c>
      <c r="D266" s="23">
        <f>SUM(C266)</f>
        <v>0</v>
      </c>
    </row>
    <row r="267" spans="1:19" x14ac:dyDescent="0.2">
      <c r="A267" s="22">
        <v>2</v>
      </c>
      <c r="B267" s="11" t="str">
        <f>[1]Aseguradoras!B3</f>
        <v>La Rural S.A de Seguros</v>
      </c>
      <c r="C267" s="12">
        <f>LOOKUP(404030100,[1]PlanCuentas!$A$2:$A$6092,[1]PlanCuentas!D$2:D$6092)</f>
        <v>0</v>
      </c>
      <c r="D267" s="23">
        <f t="shared" ref="D267:D297" si="13">SUM(C267)</f>
        <v>0</v>
      </c>
    </row>
    <row r="268" spans="1:19" x14ac:dyDescent="0.2">
      <c r="A268" s="22">
        <v>3</v>
      </c>
      <c r="B268" s="11" t="str">
        <f>[1]Aseguradoras!B4</f>
        <v>La Paraguaya S.A de Seguros</v>
      </c>
      <c r="C268" s="12">
        <f>LOOKUP(404030100,[1]PlanCuentas!$A$2:$A$6092,[1]PlanCuentas!E$2:E$6092)</f>
        <v>0</v>
      </c>
      <c r="D268" s="23">
        <f t="shared" si="13"/>
        <v>0</v>
      </c>
    </row>
    <row r="269" spans="1:19" x14ac:dyDescent="0.2">
      <c r="A269" s="22">
        <v>4</v>
      </c>
      <c r="B269" s="11" t="str">
        <f>[1]Aseguradoras!B5</f>
        <v>Seguros Generales S. A (SEGESA)</v>
      </c>
      <c r="C269" s="12">
        <f>LOOKUP(404030100,[1]PlanCuentas!$A$2:$A$6092,[1]PlanCuentas!F$2:F$6092)</f>
        <v>0</v>
      </c>
      <c r="D269" s="23">
        <f t="shared" si="13"/>
        <v>0</v>
      </c>
    </row>
    <row r="270" spans="1:19" x14ac:dyDescent="0.2">
      <c r="A270" s="22">
        <v>5</v>
      </c>
      <c r="B270" s="11" t="str">
        <f>[1]Aseguradoras!B6</f>
        <v>Rumbos S.A de Seguros</v>
      </c>
      <c r="C270" s="12">
        <f>LOOKUP(404030100,[1]PlanCuentas!$A$2:$A$6092,[1]PlanCuentas!G$2:G$6092)</f>
        <v>0</v>
      </c>
      <c r="D270" s="23">
        <f t="shared" si="13"/>
        <v>0</v>
      </c>
    </row>
    <row r="271" spans="1:19" x14ac:dyDescent="0.2">
      <c r="A271" s="22">
        <v>6</v>
      </c>
      <c r="B271" s="11" t="str">
        <f>[1]Aseguradoras!B7</f>
        <v>La Consolidada S.A de Seguros</v>
      </c>
      <c r="C271" s="12">
        <f>LOOKUP(404030100,[1]PlanCuentas!$A$2:$A$6092,[1]PlanCuentas!H$2:H$6092)</f>
        <v>0</v>
      </c>
      <c r="D271" s="23">
        <f t="shared" si="13"/>
        <v>0</v>
      </c>
    </row>
    <row r="272" spans="1:19" x14ac:dyDescent="0.2">
      <c r="A272" s="22">
        <v>7</v>
      </c>
      <c r="B272" s="11" t="str">
        <f>[1]Aseguradoras!B8</f>
        <v>El Productor S.A de Seguros y Reaseguros</v>
      </c>
      <c r="C272" s="12">
        <f>LOOKUP(404030100,[1]PlanCuentas!$A$2:$A$6092,[1]PlanCuentas!I$2:I$6092)</f>
        <v>0</v>
      </c>
      <c r="D272" s="23">
        <f t="shared" si="13"/>
        <v>0</v>
      </c>
    </row>
    <row r="273" spans="1:4" x14ac:dyDescent="0.2">
      <c r="A273" s="22">
        <v>8</v>
      </c>
      <c r="B273" s="11" t="str">
        <f>[1]Aseguradoras!B9</f>
        <v>Atalaya S.A de Seguros Generales</v>
      </c>
      <c r="C273" s="12">
        <f>LOOKUP(404030100,[1]PlanCuentas!$A$2:$A$6092,[1]PlanCuentas!J$2:J$6092)</f>
        <v>0</v>
      </c>
      <c r="D273" s="23">
        <f t="shared" si="13"/>
        <v>0</v>
      </c>
    </row>
    <row r="274" spans="1:4" x14ac:dyDescent="0.2">
      <c r="A274" s="22">
        <v>9</v>
      </c>
      <c r="B274" s="11" t="str">
        <f>[1]Aseguradoras!B10</f>
        <v>La Independencia de Seguros S.A.</v>
      </c>
      <c r="C274" s="12">
        <f>LOOKUP(404030100,[1]PlanCuentas!$A$2:$A$6092,[1]PlanCuentas!K$2:K$6092)</f>
        <v>0</v>
      </c>
      <c r="D274" s="23">
        <f t="shared" si="13"/>
        <v>0</v>
      </c>
    </row>
    <row r="275" spans="1:4" x14ac:dyDescent="0.2">
      <c r="A275" s="22">
        <v>10</v>
      </c>
      <c r="B275" s="11" t="str">
        <f>[1]Aseguradoras!B11</f>
        <v>Patria S.A de Seguros y Reaseguros</v>
      </c>
      <c r="C275" s="12">
        <f>LOOKUP(404030100,[1]PlanCuentas!$A$2:$A$6092,[1]PlanCuentas!L$2:L$6092)</f>
        <v>0</v>
      </c>
      <c r="D275" s="23">
        <f t="shared" si="13"/>
        <v>0</v>
      </c>
    </row>
    <row r="276" spans="1:4" x14ac:dyDescent="0.2">
      <c r="A276" s="22">
        <v>11</v>
      </c>
      <c r="B276" s="11" t="str">
        <f>[1]Aseguradoras!B12</f>
        <v>Garantía S.A de Seguros y Reaseguros</v>
      </c>
      <c r="C276" s="12">
        <f>LOOKUP(404030100,[1]PlanCuentas!$A$2:$A$6092,[1]PlanCuentas!M$2:M$6092)</f>
        <v>0</v>
      </c>
      <c r="D276" s="23">
        <f t="shared" si="13"/>
        <v>0</v>
      </c>
    </row>
    <row r="277" spans="1:4" x14ac:dyDescent="0.2">
      <c r="A277" s="22">
        <v>12</v>
      </c>
      <c r="B277" s="11" t="str">
        <f>[1]Aseguradoras!B13</f>
        <v>Aseguradora Paraguaya S.A.</v>
      </c>
      <c r="C277" s="12">
        <f>LOOKUP(404030100,[1]PlanCuentas!$A$2:$A$6092,[1]PlanCuentas!N$2:N$6092)</f>
        <v>0</v>
      </c>
      <c r="D277" s="23">
        <f t="shared" si="13"/>
        <v>0</v>
      </c>
    </row>
    <row r="278" spans="1:4" x14ac:dyDescent="0.2">
      <c r="A278" s="22">
        <v>13</v>
      </c>
      <c r="B278" s="11" t="str">
        <f>[1]Aseguradoras!B14</f>
        <v>Fénix S.A de Seguros y Reaseguros</v>
      </c>
      <c r="C278" s="12">
        <f>LOOKUP(404030100,[1]PlanCuentas!$A$2:$A$6092,[1]PlanCuentas!O$2:O$6092)</f>
        <v>0</v>
      </c>
      <c r="D278" s="23">
        <f t="shared" si="13"/>
        <v>0</v>
      </c>
    </row>
    <row r="279" spans="1:4" x14ac:dyDescent="0.2">
      <c r="A279" s="22">
        <v>14</v>
      </c>
      <c r="B279" s="11" t="str">
        <f>[1]Aseguradoras!B15</f>
        <v>Central S.A de Seguros</v>
      </c>
      <c r="C279" s="12">
        <f>LOOKUP(404030100,[1]PlanCuentas!$A$2:$A$6092,[1]PlanCuentas!P$2:P$6092)</f>
        <v>0</v>
      </c>
      <c r="D279" s="23">
        <f t="shared" si="13"/>
        <v>0</v>
      </c>
    </row>
    <row r="280" spans="1:4" x14ac:dyDescent="0.2">
      <c r="A280" s="22">
        <v>15</v>
      </c>
      <c r="B280" s="11" t="str">
        <f>[1]Aseguradoras!B16</f>
        <v>Seguros Chaco S.A de Seguros y Reaseguros</v>
      </c>
      <c r="C280" s="12">
        <f>LOOKUP(404030100,[1]PlanCuentas!$A$2:$A$6092,[1]PlanCuentas!Q$2:Q$6092)</f>
        <v>0</v>
      </c>
      <c r="D280" s="23">
        <f t="shared" si="13"/>
        <v>0</v>
      </c>
    </row>
    <row r="281" spans="1:4" x14ac:dyDescent="0.2">
      <c r="A281" s="22">
        <v>16</v>
      </c>
      <c r="B281" s="11" t="str">
        <f>[1]Aseguradoras!B17</f>
        <v>El Sol Del Paraguay Compañía de Seguros y Reaseguros S.A.</v>
      </c>
      <c r="C281" s="12">
        <f>LOOKUP(404030100,[1]PlanCuentas!$A$2:$A$6092,[1]PlanCuentas!R$2:R$6092)</f>
        <v>0</v>
      </c>
      <c r="D281" s="23">
        <f t="shared" si="13"/>
        <v>0</v>
      </c>
    </row>
    <row r="282" spans="1:4" x14ac:dyDescent="0.2">
      <c r="A282" s="22">
        <v>17</v>
      </c>
      <c r="B282" s="11" t="str">
        <f>[1]Aseguradoras!B18</f>
        <v>Intercontinental de Seguros y Reaseguros S.A.</v>
      </c>
      <c r="C282" s="12">
        <f>LOOKUP(404030100,[1]PlanCuentas!$A$2:$A$6092,[1]PlanCuentas!S$2:S$6092)</f>
        <v>0</v>
      </c>
      <c r="D282" s="23">
        <f t="shared" si="13"/>
        <v>0</v>
      </c>
    </row>
    <row r="283" spans="1:4" x14ac:dyDescent="0.2">
      <c r="A283" s="22">
        <v>18</v>
      </c>
      <c r="B283" s="11" t="str">
        <f>[1]Aseguradoras!B19</f>
        <v>Seguridad S.A Compañía de Seguros</v>
      </c>
      <c r="C283" s="12">
        <f>LOOKUP(404030100,[1]PlanCuentas!$A$2:$A$6092,[1]PlanCuentas!T$2:T$6092)</f>
        <v>0</v>
      </c>
      <c r="D283" s="23">
        <f t="shared" si="13"/>
        <v>0</v>
      </c>
    </row>
    <row r="284" spans="1:4" x14ac:dyDescent="0.2">
      <c r="A284" s="22">
        <v>19</v>
      </c>
      <c r="B284" s="11" t="str">
        <f>[1]Aseguradoras!B20</f>
        <v>Universo de Seguros y Reaseguros S.A.</v>
      </c>
      <c r="C284" s="12">
        <f>LOOKUP(404030100,[1]PlanCuentas!$A$2:$A$6092,[1]PlanCuentas!U$2:U$6092)</f>
        <v>0</v>
      </c>
      <c r="D284" s="23">
        <f t="shared" si="13"/>
        <v>0</v>
      </c>
    </row>
    <row r="285" spans="1:4" x14ac:dyDescent="0.2">
      <c r="A285" s="22">
        <v>20</v>
      </c>
      <c r="B285" s="11" t="str">
        <f>[1]Aseguradoras!B21</f>
        <v>Aseguradora Yacyreta S.A de Seguros y Reaseguros</v>
      </c>
      <c r="C285" s="12">
        <f>LOOKUP(404030100,[1]PlanCuentas!$A$2:$A$6092,[1]PlanCuentas!V$2:V$6092)</f>
        <v>0</v>
      </c>
      <c r="D285" s="23">
        <f t="shared" si="13"/>
        <v>0</v>
      </c>
    </row>
    <row r="286" spans="1:4" x14ac:dyDescent="0.2">
      <c r="A286" s="22">
        <v>21</v>
      </c>
      <c r="B286" s="11" t="str">
        <f>[1]Aseguradoras!B22</f>
        <v>La Agricola S.A de Seguros y Reaseguros</v>
      </c>
      <c r="C286" s="12">
        <f>LOOKUP(404030100,[1]PlanCuentas!$A$2:$A$6092,[1]PlanCuentas!W$2:W$6092)</f>
        <v>0</v>
      </c>
      <c r="D286" s="23">
        <f t="shared" si="13"/>
        <v>0</v>
      </c>
    </row>
    <row r="287" spans="1:4" x14ac:dyDescent="0.2">
      <c r="A287" s="22">
        <v>22</v>
      </c>
      <c r="B287" s="11" t="str">
        <f>[1]Aseguradoras!B23</f>
        <v>Grupo General de Seguros y Reaseguros S.A.</v>
      </c>
      <c r="C287" s="12">
        <f>LOOKUP(404030100,[1]PlanCuentas!$A$2:$A$6092,[1]PlanCuentas!X$2:X$6092)</f>
        <v>0</v>
      </c>
      <c r="D287" s="23">
        <f t="shared" si="13"/>
        <v>0</v>
      </c>
    </row>
    <row r="288" spans="1:4" x14ac:dyDescent="0.2">
      <c r="A288" s="22">
        <v>23</v>
      </c>
      <c r="B288" s="11" t="str">
        <f>[1]Aseguradoras!B24</f>
        <v>Alfa S.A de Seguros y Reaseguros</v>
      </c>
      <c r="C288" s="12">
        <f>LOOKUP(404030100,[1]PlanCuentas!$A$2:$A$6092,[1]PlanCuentas!Y$2:Y$6092)</f>
        <v>0</v>
      </c>
      <c r="D288" s="23">
        <f t="shared" si="13"/>
        <v>0</v>
      </c>
    </row>
    <row r="289" spans="1:17" x14ac:dyDescent="0.2">
      <c r="A289" s="22">
        <v>24</v>
      </c>
      <c r="B289" s="11" t="str">
        <f>[1]Aseguradoras!B25</f>
        <v>Cenit de Seguros S.A.</v>
      </c>
      <c r="C289" s="12">
        <f>LOOKUP(404030100,[1]PlanCuentas!$A$2:$A$6092,[1]PlanCuentas!Z$2:Z$6092)</f>
        <v>0</v>
      </c>
      <c r="D289" s="23">
        <f t="shared" si="13"/>
        <v>0</v>
      </c>
    </row>
    <row r="290" spans="1:17" x14ac:dyDescent="0.2">
      <c r="A290" s="22">
        <v>25</v>
      </c>
      <c r="B290" s="11" t="str">
        <f>[1]Aseguradoras!B26</f>
        <v>La Meridional Paraguaya S.A de Seguros</v>
      </c>
      <c r="C290" s="12">
        <f>LOOKUP(404030100,[1]PlanCuentas!$A$2:$A$6092,[1]PlanCuentas!AA$2:AA$6092)</f>
        <v>0</v>
      </c>
      <c r="D290" s="23">
        <f t="shared" si="13"/>
        <v>0</v>
      </c>
    </row>
    <row r="291" spans="1:17" x14ac:dyDescent="0.2">
      <c r="A291" s="22">
        <v>26</v>
      </c>
      <c r="B291" s="11" t="str">
        <f>[1]Aseguradoras!B27</f>
        <v>Aseguradora Del Este S.A de Seguros y Reaseguros</v>
      </c>
      <c r="C291" s="12">
        <f>LOOKUP(404030100,[1]PlanCuentas!$A$2:$A$6092,[1]PlanCuentas!AB$2:AB$6092)</f>
        <v>0</v>
      </c>
      <c r="D291" s="23">
        <f t="shared" si="13"/>
        <v>0</v>
      </c>
    </row>
    <row r="292" spans="1:17" x14ac:dyDescent="0.2">
      <c r="A292" s="22">
        <v>27</v>
      </c>
      <c r="B292" s="11" t="str">
        <f>[1]Aseguradoras!B28</f>
        <v>Imperio S.A de Seguros y Reaseguros</v>
      </c>
      <c r="C292" s="12">
        <f>LOOKUP(404030100,[1]PlanCuentas!$A$2:$A$6092,[1]PlanCuentas!AC$2:AC$6092)</f>
        <v>0</v>
      </c>
      <c r="D292" s="23">
        <f t="shared" si="13"/>
        <v>0</v>
      </c>
    </row>
    <row r="293" spans="1:17" x14ac:dyDescent="0.2">
      <c r="A293" s="22">
        <v>28</v>
      </c>
      <c r="B293" s="11" t="str">
        <f>[1]Aseguradoras!B29</f>
        <v>Regional S.A de Seguros y Reaseguros</v>
      </c>
      <c r="C293" s="12">
        <f>LOOKUP(404030100,[1]PlanCuentas!$A$2:$A$6092,[1]PlanCuentas!AD$2:AD$6092)</f>
        <v>0</v>
      </c>
      <c r="D293" s="23">
        <f t="shared" si="13"/>
        <v>0</v>
      </c>
    </row>
    <row r="294" spans="1:17" x14ac:dyDescent="0.2">
      <c r="A294" s="22">
        <v>29</v>
      </c>
      <c r="B294" s="11" t="str">
        <f>[1]Aseguradoras!B30</f>
        <v>Mapfre Paraguay Compañía de Seguros S.A.</v>
      </c>
      <c r="C294" s="12">
        <f>LOOKUP(404030100,[1]PlanCuentas!$A$2:$A$6092,[1]PlanCuentas!AE$2:AE$6092)</f>
        <v>0</v>
      </c>
      <c r="D294" s="23">
        <f t="shared" si="13"/>
        <v>0</v>
      </c>
    </row>
    <row r="295" spans="1:17" x14ac:dyDescent="0.2">
      <c r="A295" s="22">
        <v>30</v>
      </c>
      <c r="B295" s="11" t="str">
        <f>[1]Aseguradoras!B31</f>
        <v>Aseguradora Tajy Propiedad Cooperativa S.A. de Seguros</v>
      </c>
      <c r="C295" s="12">
        <f>LOOKUP(404030100,[1]PlanCuentas!$A$2:$A$6092,[1]PlanCuentas!AF$2:AF$6092)</f>
        <v>0</v>
      </c>
      <c r="D295" s="23">
        <f t="shared" si="13"/>
        <v>0</v>
      </c>
    </row>
    <row r="296" spans="1:17" x14ac:dyDescent="0.2">
      <c r="A296" s="22">
        <v>31</v>
      </c>
      <c r="B296" s="11" t="str">
        <f>[1]Aseguradoras!B32</f>
        <v>Aseguradora del Sur S.A. Seguros Generales - ASUR</v>
      </c>
      <c r="C296" s="12">
        <f>LOOKUP(404030100,[1]PlanCuentas!$A$2:$A$6092,[1]PlanCuentas!AG$2:AG$6092)</f>
        <v>0</v>
      </c>
      <c r="D296" s="23">
        <f t="shared" si="13"/>
        <v>0</v>
      </c>
    </row>
    <row r="297" spans="1:17" x14ac:dyDescent="0.2">
      <c r="A297" s="22">
        <v>32</v>
      </c>
      <c r="B297" s="11" t="str">
        <f>[1]Aseguradoras!B33</f>
        <v>Panal Compañía De Seguros Generales S.A.</v>
      </c>
      <c r="C297" s="12">
        <f>LOOKUP(404030100,[1]PlanCuentas!$A$2:$A$6092,[1]PlanCuentas!AH$2:AH$6092)</f>
        <v>0</v>
      </c>
      <c r="D297" s="23">
        <f t="shared" si="13"/>
        <v>0</v>
      </c>
    </row>
    <row r="298" spans="1:17" x14ac:dyDescent="0.2">
      <c r="A298" s="22">
        <v>33</v>
      </c>
      <c r="B298" s="11" t="str">
        <f>[1]Aseguradoras!B34</f>
        <v>Sancor Seguros del Paraguay S.A.</v>
      </c>
      <c r="C298" s="12">
        <f>LOOKUP(404030100,[1]PlanCuentas!$A$2:$A$6092,[1]PlanCuentas!AI$2:AI$6092)</f>
        <v>0</v>
      </c>
      <c r="D298" s="23">
        <f>SUM(C298)</f>
        <v>0</v>
      </c>
    </row>
    <row r="299" spans="1:17" x14ac:dyDescent="0.2">
      <c r="A299" s="27" t="s">
        <v>29</v>
      </c>
      <c r="B299" s="28"/>
      <c r="C299" s="29">
        <f>SUBTOTAL(109,C266:C298)</f>
        <v>0</v>
      </c>
      <c r="D299" s="29">
        <f>SUBTOTAL(109,D266:D298)</f>
        <v>0</v>
      </c>
    </row>
    <row r="300" spans="1:17" x14ac:dyDescent="0.2"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</row>
    <row r="301" spans="1:17" ht="28.35" customHeight="1" x14ac:dyDescent="0.2">
      <c r="A301" s="1" t="s">
        <v>30</v>
      </c>
      <c r="B301" s="47" t="s">
        <v>31</v>
      </c>
      <c r="C301" s="47"/>
      <c r="D301" s="2"/>
      <c r="E301" s="30"/>
      <c r="F301" s="4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</row>
    <row r="302" spans="1:17" ht="24" x14ac:dyDescent="0.2">
      <c r="A302" s="7" t="s">
        <v>2</v>
      </c>
      <c r="B302" s="8" t="s">
        <v>3</v>
      </c>
      <c r="C302" s="9" t="s">
        <v>4</v>
      </c>
      <c r="D302" s="9" t="s">
        <v>5</v>
      </c>
      <c r="E302" s="9" t="s">
        <v>6</v>
      </c>
      <c r="F302" s="9" t="s">
        <v>7</v>
      </c>
      <c r="G302" s="9" t="s">
        <v>8</v>
      </c>
      <c r="H302" s="9" t="s">
        <v>9</v>
      </c>
      <c r="I302" s="9" t="s">
        <v>10</v>
      </c>
      <c r="J302" s="9" t="s">
        <v>11</v>
      </c>
      <c r="K302" s="9" t="s">
        <v>12</v>
      </c>
      <c r="L302" s="9" t="s">
        <v>13</v>
      </c>
      <c r="M302" s="9" t="s">
        <v>14</v>
      </c>
      <c r="N302" s="9" t="s">
        <v>15</v>
      </c>
      <c r="O302" s="9" t="s">
        <v>16</v>
      </c>
      <c r="P302" s="9" t="s">
        <v>17</v>
      </c>
      <c r="Q302" s="8" t="s">
        <v>18</v>
      </c>
    </row>
    <row r="303" spans="1:17" x14ac:dyDescent="0.2">
      <c r="A303" s="31">
        <v>1</v>
      </c>
      <c r="B303" s="32" t="str">
        <f>[1]Aseguradoras!B2</f>
        <v>El Comercio Paraguayo S.A. de Seguros</v>
      </c>
      <c r="C303" s="33">
        <f>LOOKUP(405010100,[1]PlanCuentas!$A$2:$A$6092,[1]PlanCuentas!C$2:C$6092)</f>
        <v>0</v>
      </c>
      <c r="D303" s="33">
        <f>LOOKUP(405010200,[1]PlanCuentas!$A$2:$A$6092,[1]PlanCuentas!C$2:C$6092)</f>
        <v>0</v>
      </c>
      <c r="E303" s="33">
        <f>LOOKUP(405010300,[1]PlanCuentas!$A$2:$A$6092,[1]PlanCuentas!C$2:C$6092)</f>
        <v>0</v>
      </c>
      <c r="F303" s="33">
        <f>LOOKUP(405010400,[1]PlanCuentas!$A$2:$A$6092,[1]PlanCuentas!C$2:C$6092)</f>
        <v>0</v>
      </c>
      <c r="G303" s="33">
        <f>LOOKUP(405010500,[1]PlanCuentas!$A$2:$A$6092,[1]PlanCuentas!C$2:C$6092)</f>
        <v>0</v>
      </c>
      <c r="H303" s="33">
        <f>LOOKUP(405010600,[1]PlanCuentas!$A$2:$A$6092,[1]PlanCuentas!C$2:C$6092)</f>
        <v>0</v>
      </c>
      <c r="I303" s="33">
        <f>LOOKUP(405010700,[1]PlanCuentas!$A$2:$A$6092,[1]PlanCuentas!C$2:C$6092)</f>
        <v>0</v>
      </c>
      <c r="J303" s="33">
        <f>LOOKUP(405010800,[1]PlanCuentas!$A$2:$A$6092,[1]PlanCuentas!C$2:C$6092)</f>
        <v>0</v>
      </c>
      <c r="K303" s="33">
        <f>LOOKUP(405010900,[1]PlanCuentas!$A$2:$A$6092,[1]PlanCuentas!C$2:C$6092)</f>
        <v>0</v>
      </c>
      <c r="L303" s="33">
        <f>LOOKUP(405011000,[1]PlanCuentas!$A$2:$A$6092,[1]PlanCuentas!C$2:C$6092)</f>
        <v>0</v>
      </c>
      <c r="M303" s="33">
        <f>LOOKUP(405011100,[1]PlanCuentas!$A$2:$A$6092,[1]PlanCuentas!C$2:C$6092)</f>
        <v>0</v>
      </c>
      <c r="N303" s="33">
        <f>LOOKUP(405011200,[1]PlanCuentas!$A$2:$A$6092,[1]PlanCuentas!C$2:C$6092)</f>
        <v>0</v>
      </c>
      <c r="O303" s="33">
        <f>LOOKUP(405011300,[1]PlanCuentas!$A$2:$A$6092,[1]PlanCuentas!C$2:C$6092)</f>
        <v>0</v>
      </c>
      <c r="P303" s="33">
        <f>LOOKUP(405012000,[1]PlanCuentas!$A$2:$A$6092,[1]PlanCuentas!C$2:C$6092)</f>
        <v>0</v>
      </c>
      <c r="Q303" s="34">
        <f t="shared" ref="Q303:Q334" si="14">SUM(C303:P303)</f>
        <v>0</v>
      </c>
    </row>
    <row r="304" spans="1:17" x14ac:dyDescent="0.2">
      <c r="A304" s="10">
        <v>2</v>
      </c>
      <c r="B304" s="11" t="str">
        <f>[1]Aseguradoras!B3</f>
        <v>La Rural S.A de Seguros</v>
      </c>
      <c r="C304" s="12">
        <f>LOOKUP(405010100,[1]PlanCuentas!$A$2:$A$6092,[1]PlanCuentas!D$2:D$6092)</f>
        <v>0</v>
      </c>
      <c r="D304" s="12">
        <f>LOOKUP(405010200,[1]PlanCuentas!$A$2:$A$6092,[1]PlanCuentas!D$2:D$6092)</f>
        <v>0</v>
      </c>
      <c r="E304" s="12">
        <f>LOOKUP(405010300,[1]PlanCuentas!$A$2:$A$6092,[1]PlanCuentas!D$2:D$6092)</f>
        <v>0</v>
      </c>
      <c r="F304" s="12">
        <f>LOOKUP(405010400,[1]PlanCuentas!$A$2:$A$6092,[1]PlanCuentas!D$2:D$6092)</f>
        <v>0</v>
      </c>
      <c r="G304" s="12">
        <f>LOOKUP(405010500,[1]PlanCuentas!$A$2:$A$6092,[1]PlanCuentas!D$2:D$6092)</f>
        <v>0</v>
      </c>
      <c r="H304" s="12">
        <f>LOOKUP(405010600,[1]PlanCuentas!$A$2:$A$6092,[1]PlanCuentas!D$2:D$6092)</f>
        <v>0</v>
      </c>
      <c r="I304" s="12">
        <f>LOOKUP(405010700,[1]PlanCuentas!$A$2:$A$6092,[1]PlanCuentas!D$2:D$6092)</f>
        <v>0</v>
      </c>
      <c r="J304" s="12">
        <f>LOOKUP(405010800,[1]PlanCuentas!$A$2:$A$6092,[1]PlanCuentas!D$2:D$6092)</f>
        <v>0</v>
      </c>
      <c r="K304" s="12">
        <f>LOOKUP(405010900,[1]PlanCuentas!$A$2:$A$6092,[1]PlanCuentas!D$2:D$6092)</f>
        <v>0</v>
      </c>
      <c r="L304" s="12">
        <f>LOOKUP(405011000,[1]PlanCuentas!$A$2:$A$6092,[1]PlanCuentas!D$2:D$6092)</f>
        <v>0</v>
      </c>
      <c r="M304" s="12">
        <f>LOOKUP(405011100,[1]PlanCuentas!$A$2:$A$6092,[1]PlanCuentas!D$2:D$6092)</f>
        <v>0</v>
      </c>
      <c r="N304" s="12">
        <f>LOOKUP(405011200,[1]PlanCuentas!$A$2:$A$6092,[1]PlanCuentas!D$2:D$6092)</f>
        <v>0</v>
      </c>
      <c r="O304" s="12">
        <f>LOOKUP(405011300,[1]PlanCuentas!$A$2:$A$6092,[1]PlanCuentas!D$2:D$6092)</f>
        <v>0</v>
      </c>
      <c r="P304" s="12">
        <f>LOOKUP(405012000,[1]PlanCuentas!$A$2:$A$6092,[1]PlanCuentas!D$2:D$6092)</f>
        <v>0</v>
      </c>
      <c r="Q304" s="35">
        <f t="shared" si="14"/>
        <v>0</v>
      </c>
    </row>
    <row r="305" spans="1:17" x14ac:dyDescent="0.2">
      <c r="A305" s="10">
        <v>3</v>
      </c>
      <c r="B305" s="11" t="str">
        <f>[1]Aseguradoras!B4</f>
        <v>La Paraguaya S.A de Seguros</v>
      </c>
      <c r="C305" s="12">
        <f>LOOKUP(405010100,[1]PlanCuentas!$A$2:$A$6092,[1]PlanCuentas!E$2:E$6092)</f>
        <v>0</v>
      </c>
      <c r="D305" s="12">
        <f>LOOKUP(405010200,[1]PlanCuentas!$A$2:$A$6092,[1]PlanCuentas!E$2:E$6092)</f>
        <v>0</v>
      </c>
      <c r="E305" s="12">
        <f>LOOKUP(405010300,[1]PlanCuentas!$A$2:$A$6092,[1]PlanCuentas!E$2:E$6092)</f>
        <v>0</v>
      </c>
      <c r="F305" s="12">
        <f>LOOKUP(405010400,[1]PlanCuentas!$A$2:$A$6092,[1]PlanCuentas!E$2:E$6092)</f>
        <v>0</v>
      </c>
      <c r="G305" s="12">
        <f>LOOKUP(405010500,[1]PlanCuentas!$A$2:$A$6092,[1]PlanCuentas!E$2:E$6092)</f>
        <v>0</v>
      </c>
      <c r="H305" s="12">
        <f>LOOKUP(405010600,[1]PlanCuentas!$A$2:$A$6092,[1]PlanCuentas!E$2:E$6092)</f>
        <v>0</v>
      </c>
      <c r="I305" s="12">
        <f>LOOKUP(405010700,[1]PlanCuentas!$A$2:$A$6092,[1]PlanCuentas!E$2:E$6092)</f>
        <v>0</v>
      </c>
      <c r="J305" s="12">
        <f>LOOKUP(405010800,[1]PlanCuentas!$A$2:$A$6092,[1]PlanCuentas!E$2:E$6092)</f>
        <v>0</v>
      </c>
      <c r="K305" s="12">
        <f>LOOKUP(405010900,[1]PlanCuentas!$A$2:$A$6092,[1]PlanCuentas!E$2:E$6092)</f>
        <v>0</v>
      </c>
      <c r="L305" s="12">
        <f>LOOKUP(405011000,[1]PlanCuentas!$A$2:$A$6092,[1]PlanCuentas!E$2:E$6092)</f>
        <v>0</v>
      </c>
      <c r="M305" s="12">
        <f>LOOKUP(405011100,[1]PlanCuentas!$A$2:$A$6092,[1]PlanCuentas!E$2:E$6092)</f>
        <v>0</v>
      </c>
      <c r="N305" s="12">
        <f>LOOKUP(405011200,[1]PlanCuentas!$A$2:$A$6092,[1]PlanCuentas!E$2:E$6092)</f>
        <v>0</v>
      </c>
      <c r="O305" s="12">
        <f>LOOKUP(405011300,[1]PlanCuentas!$A$2:$A$6092,[1]PlanCuentas!E$2:E$6092)</f>
        <v>0</v>
      </c>
      <c r="P305" s="12">
        <f>LOOKUP(405012000,[1]PlanCuentas!$A$2:$A$6092,[1]PlanCuentas!E$2:E$6092)</f>
        <v>0</v>
      </c>
      <c r="Q305" s="35">
        <f t="shared" si="14"/>
        <v>0</v>
      </c>
    </row>
    <row r="306" spans="1:17" x14ac:dyDescent="0.2">
      <c r="A306" s="10">
        <v>4</v>
      </c>
      <c r="B306" s="11" t="str">
        <f>[1]Aseguradoras!B5</f>
        <v>Seguros Generales S. A (SEGESA)</v>
      </c>
      <c r="C306" s="12">
        <f>LOOKUP(405010100,[1]PlanCuentas!$A$2:$A$6092,[1]PlanCuentas!F$2:F$6092)</f>
        <v>0</v>
      </c>
      <c r="D306" s="12">
        <f>LOOKUP(405010200,[1]PlanCuentas!$A$2:$A$6092,[1]PlanCuentas!F$2:F$6092)</f>
        <v>0</v>
      </c>
      <c r="E306" s="12">
        <f>LOOKUP(405010300,[1]PlanCuentas!$A$2:$A$6092,[1]PlanCuentas!F$2:F$6092)</f>
        <v>0</v>
      </c>
      <c r="F306" s="12">
        <f>LOOKUP(405010400,[1]PlanCuentas!$A$2:$A$6092,[1]PlanCuentas!F$2:F$6092)</f>
        <v>0</v>
      </c>
      <c r="G306" s="12">
        <f>LOOKUP(405010500,[1]PlanCuentas!$A$2:$A$6092,[1]PlanCuentas!F$2:F$6092)</f>
        <v>0</v>
      </c>
      <c r="H306" s="12">
        <f>LOOKUP(405010600,[1]PlanCuentas!$A$2:$A$6092,[1]PlanCuentas!F$2:F$6092)</f>
        <v>0</v>
      </c>
      <c r="I306" s="12">
        <f>LOOKUP(405010700,[1]PlanCuentas!$A$2:$A$6092,[1]PlanCuentas!F$2:F$6092)</f>
        <v>0</v>
      </c>
      <c r="J306" s="12">
        <f>LOOKUP(405010800,[1]PlanCuentas!$A$2:$A$6092,[1]PlanCuentas!F$2:F$6092)</f>
        <v>0</v>
      </c>
      <c r="K306" s="12">
        <f>LOOKUP(405010900,[1]PlanCuentas!$A$2:$A$6092,[1]PlanCuentas!F$2:F$6092)</f>
        <v>0</v>
      </c>
      <c r="L306" s="12">
        <f>LOOKUP(405011000,[1]PlanCuentas!$A$2:$A$6092,[1]PlanCuentas!F$2:F$6092)</f>
        <v>0</v>
      </c>
      <c r="M306" s="12">
        <f>LOOKUP(405011100,[1]PlanCuentas!$A$2:$A$6092,[1]PlanCuentas!F$2:F$6092)</f>
        <v>0</v>
      </c>
      <c r="N306" s="12">
        <f>LOOKUP(405011200,[1]PlanCuentas!$A$2:$A$6092,[1]PlanCuentas!F$2:F$6092)</f>
        <v>0</v>
      </c>
      <c r="O306" s="12">
        <f>LOOKUP(405011300,[1]PlanCuentas!$A$2:$A$6092,[1]PlanCuentas!F$2:F$6092)</f>
        <v>0</v>
      </c>
      <c r="P306" s="12">
        <f>LOOKUP(405012000,[1]PlanCuentas!$A$2:$A$6092,[1]PlanCuentas!F$2:F$6092)</f>
        <v>0</v>
      </c>
      <c r="Q306" s="35">
        <f t="shared" si="14"/>
        <v>0</v>
      </c>
    </row>
    <row r="307" spans="1:17" x14ac:dyDescent="0.2">
      <c r="A307" s="10">
        <v>5</v>
      </c>
      <c r="B307" s="11" t="str">
        <f>[1]Aseguradoras!B6</f>
        <v>Rumbos S.A de Seguros</v>
      </c>
      <c r="C307" s="12">
        <f>LOOKUP(405010100,[1]PlanCuentas!$A$2:$A$6092,[1]PlanCuentas!G$2:G$6092)</f>
        <v>0</v>
      </c>
      <c r="D307" s="12">
        <f>LOOKUP(405010200,[1]PlanCuentas!$A$2:$A$6092,[1]PlanCuentas!G$2:G$6092)</f>
        <v>0</v>
      </c>
      <c r="E307" s="12">
        <f>LOOKUP(405010300,[1]PlanCuentas!$A$2:$A$6092,[1]PlanCuentas!G$2:G$6092)</f>
        <v>0</v>
      </c>
      <c r="F307" s="12">
        <f>LOOKUP(405010400,[1]PlanCuentas!$A$2:$A$6092,[1]PlanCuentas!G$2:G$6092)</f>
        <v>0</v>
      </c>
      <c r="G307" s="12">
        <f>LOOKUP(405010500,[1]PlanCuentas!$A$2:$A$6092,[1]PlanCuentas!G$2:G$6092)</f>
        <v>0</v>
      </c>
      <c r="H307" s="12">
        <f>LOOKUP(405010600,[1]PlanCuentas!$A$2:$A$6092,[1]PlanCuentas!G$2:G$6092)</f>
        <v>0</v>
      </c>
      <c r="I307" s="12">
        <f>LOOKUP(405010700,[1]PlanCuentas!$A$2:$A$6092,[1]PlanCuentas!G$2:G$6092)</f>
        <v>0</v>
      </c>
      <c r="J307" s="12">
        <f>LOOKUP(405010800,[1]PlanCuentas!$A$2:$A$6092,[1]PlanCuentas!G$2:G$6092)</f>
        <v>0</v>
      </c>
      <c r="K307" s="12">
        <f>LOOKUP(405010900,[1]PlanCuentas!$A$2:$A$6092,[1]PlanCuentas!G$2:G$6092)</f>
        <v>0</v>
      </c>
      <c r="L307" s="12">
        <f>LOOKUP(405011000,[1]PlanCuentas!$A$2:$A$6092,[1]PlanCuentas!G$2:G$6092)</f>
        <v>0</v>
      </c>
      <c r="M307" s="12">
        <f>LOOKUP(405011100,[1]PlanCuentas!$A$2:$A$6092,[1]PlanCuentas!G$2:G$6092)</f>
        <v>0</v>
      </c>
      <c r="N307" s="12">
        <f>LOOKUP(405011200,[1]PlanCuentas!$A$2:$A$6092,[1]PlanCuentas!G$2:G$6092)</f>
        <v>0</v>
      </c>
      <c r="O307" s="12">
        <f>LOOKUP(405011300,[1]PlanCuentas!$A$2:$A$6092,[1]PlanCuentas!G$2:G$6092)</f>
        <v>0</v>
      </c>
      <c r="P307" s="12">
        <f>LOOKUP(405012000,[1]PlanCuentas!$A$2:$A$6092,[1]PlanCuentas!G$2:G$6092)</f>
        <v>0</v>
      </c>
      <c r="Q307" s="35">
        <f t="shared" si="14"/>
        <v>0</v>
      </c>
    </row>
    <row r="308" spans="1:17" x14ac:dyDescent="0.2">
      <c r="A308" s="10">
        <v>6</v>
      </c>
      <c r="B308" s="11" t="str">
        <f>[1]Aseguradoras!B7</f>
        <v>La Consolidada S.A de Seguros</v>
      </c>
      <c r="C308" s="12">
        <f>LOOKUP(405010100,[1]PlanCuentas!$A$2:$A$6092,[1]PlanCuentas!H$2:H$6092)</f>
        <v>0</v>
      </c>
      <c r="D308" s="12">
        <f>LOOKUP(405010200,[1]PlanCuentas!$A$2:$A$6092,[1]PlanCuentas!H$2:H$6092)</f>
        <v>0</v>
      </c>
      <c r="E308" s="12">
        <f>LOOKUP(405010300,[1]PlanCuentas!$A$2:$A$6092,[1]PlanCuentas!H$2:H$6092)</f>
        <v>0</v>
      </c>
      <c r="F308" s="12">
        <f>LOOKUP(405010400,[1]PlanCuentas!$A$2:$A$6092,[1]PlanCuentas!H$2:H$6092)</f>
        <v>0</v>
      </c>
      <c r="G308" s="12">
        <f>LOOKUP(405010500,[1]PlanCuentas!$A$2:$A$6092,[1]PlanCuentas!H$2:H$6092)</f>
        <v>0</v>
      </c>
      <c r="H308" s="12">
        <f>LOOKUP(405010600,[1]PlanCuentas!$A$2:$A$6092,[1]PlanCuentas!H$2:H$6092)</f>
        <v>0</v>
      </c>
      <c r="I308" s="12">
        <f>LOOKUP(405010700,[1]PlanCuentas!$A$2:$A$6092,[1]PlanCuentas!H$2:H$6092)</f>
        <v>0</v>
      </c>
      <c r="J308" s="12">
        <f>LOOKUP(405010800,[1]PlanCuentas!$A$2:$A$6092,[1]PlanCuentas!H$2:H$6092)</f>
        <v>0</v>
      </c>
      <c r="K308" s="12">
        <f>LOOKUP(405010900,[1]PlanCuentas!$A$2:$A$6092,[1]PlanCuentas!H$2:H$6092)</f>
        <v>0</v>
      </c>
      <c r="L308" s="12">
        <f>LOOKUP(405011000,[1]PlanCuentas!$A$2:$A$6092,[1]PlanCuentas!H$2:H$6092)</f>
        <v>0</v>
      </c>
      <c r="M308" s="12">
        <f>LOOKUP(405011100,[1]PlanCuentas!$A$2:$A$6092,[1]PlanCuentas!H$2:H$6092)</f>
        <v>0</v>
      </c>
      <c r="N308" s="12">
        <f>LOOKUP(405011200,[1]PlanCuentas!$A$2:$A$6092,[1]PlanCuentas!H$2:H$6092)</f>
        <v>0</v>
      </c>
      <c r="O308" s="12">
        <f>LOOKUP(405011300,[1]PlanCuentas!$A$2:$A$6092,[1]PlanCuentas!H$2:H$6092)</f>
        <v>0</v>
      </c>
      <c r="P308" s="12">
        <f>LOOKUP(405012000,[1]PlanCuentas!$A$2:$A$6092,[1]PlanCuentas!H$2:H$6092)</f>
        <v>0</v>
      </c>
      <c r="Q308" s="35">
        <f t="shared" si="14"/>
        <v>0</v>
      </c>
    </row>
    <row r="309" spans="1:17" x14ac:dyDescent="0.2">
      <c r="A309" s="10">
        <v>7</v>
      </c>
      <c r="B309" s="11" t="str">
        <f>[1]Aseguradoras!B8</f>
        <v>El Productor S.A de Seguros y Reaseguros</v>
      </c>
      <c r="C309" s="12">
        <f>LOOKUP(405010100,[1]PlanCuentas!$A$2:$A$6092,[1]PlanCuentas!I$2:I$6092)</f>
        <v>3198120</v>
      </c>
      <c r="D309" s="12">
        <f>LOOKUP(405010200,[1]PlanCuentas!$A$2:$A$6092,[1]PlanCuentas!I$2:I$6092)</f>
        <v>4692065</v>
      </c>
      <c r="E309" s="12">
        <f>LOOKUP(405010300,[1]PlanCuentas!$A$2:$A$6092,[1]PlanCuentas!I$2:I$6092)</f>
        <v>752690</v>
      </c>
      <c r="F309" s="12">
        <f>LOOKUP(405010400,[1]PlanCuentas!$A$2:$A$6092,[1]PlanCuentas!I$2:I$6092)</f>
        <v>29006826</v>
      </c>
      <c r="G309" s="12">
        <f>LOOKUP(405010500,[1]PlanCuentas!$A$2:$A$6092,[1]PlanCuentas!I$2:I$6092)</f>
        <v>3411812</v>
      </c>
      <c r="H309" s="12">
        <f>LOOKUP(405010600,[1]PlanCuentas!$A$2:$A$6092,[1]PlanCuentas!I$2:I$6092)</f>
        <v>2282273</v>
      </c>
      <c r="I309" s="12">
        <f>LOOKUP(405010700,[1]PlanCuentas!$A$2:$A$6092,[1]PlanCuentas!I$2:I$6092)</f>
        <v>1899754</v>
      </c>
      <c r="J309" s="12">
        <f>LOOKUP(405010800,[1]PlanCuentas!$A$2:$A$6092,[1]PlanCuentas!I$2:I$6092)</f>
        <v>0</v>
      </c>
      <c r="K309" s="12">
        <f>LOOKUP(405010900,[1]PlanCuentas!$A$2:$A$6092,[1]PlanCuentas!I$2:I$6092)</f>
        <v>0</v>
      </c>
      <c r="L309" s="12">
        <f>LOOKUP(405011000,[1]PlanCuentas!$A$2:$A$6092,[1]PlanCuentas!I$2:I$6092)</f>
        <v>1938478</v>
      </c>
      <c r="M309" s="12">
        <f>LOOKUP(405011100,[1]PlanCuentas!$A$2:$A$6092,[1]PlanCuentas!I$2:I$6092)</f>
        <v>0</v>
      </c>
      <c r="N309" s="12">
        <f>LOOKUP(405011200,[1]PlanCuentas!$A$2:$A$6092,[1]PlanCuentas!I$2:I$6092)</f>
        <v>1978368</v>
      </c>
      <c r="O309" s="12">
        <f>LOOKUP(405011300,[1]PlanCuentas!$A$2:$A$6092,[1]PlanCuentas!I$2:I$6092)</f>
        <v>3738978</v>
      </c>
      <c r="P309" s="12">
        <f>LOOKUP(405012000,[1]PlanCuentas!$A$2:$A$6092,[1]PlanCuentas!I$2:I$6092)</f>
        <v>0</v>
      </c>
      <c r="Q309" s="35">
        <f t="shared" si="14"/>
        <v>52899364</v>
      </c>
    </row>
    <row r="310" spans="1:17" x14ac:dyDescent="0.2">
      <c r="A310" s="10">
        <v>8</v>
      </c>
      <c r="B310" s="11" t="str">
        <f>[1]Aseguradoras!B9</f>
        <v>Atalaya S.A de Seguros Generales</v>
      </c>
      <c r="C310" s="12">
        <f>LOOKUP(405010100,[1]PlanCuentas!$A$2:$A$6092,[1]PlanCuentas!J$2:J$6092)</f>
        <v>0</v>
      </c>
      <c r="D310" s="12">
        <f>LOOKUP(405010200,[1]PlanCuentas!$A$2:$A$6092,[1]PlanCuentas!J$2:J$6092)</f>
        <v>0</v>
      </c>
      <c r="E310" s="12">
        <f>LOOKUP(405010300,[1]PlanCuentas!$A$2:$A$6092,[1]PlanCuentas!J$2:J$6092)</f>
        <v>0</v>
      </c>
      <c r="F310" s="12">
        <f>LOOKUP(405010400,[1]PlanCuentas!$A$2:$A$6092,[1]PlanCuentas!J$2:J$6092)</f>
        <v>0</v>
      </c>
      <c r="G310" s="12">
        <f>LOOKUP(405010500,[1]PlanCuentas!$A$2:$A$6092,[1]PlanCuentas!J$2:J$6092)</f>
        <v>0</v>
      </c>
      <c r="H310" s="12">
        <f>LOOKUP(405010600,[1]PlanCuentas!$A$2:$A$6092,[1]PlanCuentas!J$2:J$6092)</f>
        <v>0</v>
      </c>
      <c r="I310" s="12">
        <f>LOOKUP(405010700,[1]PlanCuentas!$A$2:$A$6092,[1]PlanCuentas!J$2:J$6092)</f>
        <v>0</v>
      </c>
      <c r="J310" s="12">
        <f>LOOKUP(405010800,[1]PlanCuentas!$A$2:$A$6092,[1]PlanCuentas!J$2:J$6092)</f>
        <v>0</v>
      </c>
      <c r="K310" s="12">
        <f>LOOKUP(405010900,[1]PlanCuentas!$A$2:$A$6092,[1]PlanCuentas!J$2:J$6092)</f>
        <v>0</v>
      </c>
      <c r="L310" s="12">
        <f>LOOKUP(405011000,[1]PlanCuentas!$A$2:$A$6092,[1]PlanCuentas!J$2:J$6092)</f>
        <v>0</v>
      </c>
      <c r="M310" s="12">
        <f>LOOKUP(405011100,[1]PlanCuentas!$A$2:$A$6092,[1]PlanCuentas!J$2:J$6092)</f>
        <v>0</v>
      </c>
      <c r="N310" s="12">
        <f>LOOKUP(405011200,[1]PlanCuentas!$A$2:$A$6092,[1]PlanCuentas!J$2:J$6092)</f>
        <v>0</v>
      </c>
      <c r="O310" s="12">
        <f>LOOKUP(405011300,[1]PlanCuentas!$A$2:$A$6092,[1]PlanCuentas!J$2:J$6092)</f>
        <v>0</v>
      </c>
      <c r="P310" s="12">
        <f>LOOKUP(405012000,[1]PlanCuentas!$A$2:$A$6092,[1]PlanCuentas!J$2:J$6092)</f>
        <v>0</v>
      </c>
      <c r="Q310" s="35">
        <f t="shared" si="14"/>
        <v>0</v>
      </c>
    </row>
    <row r="311" spans="1:17" x14ac:dyDescent="0.2">
      <c r="A311" s="10">
        <v>9</v>
      </c>
      <c r="B311" s="11" t="str">
        <f>[1]Aseguradoras!B10</f>
        <v>La Independencia de Seguros S.A.</v>
      </c>
      <c r="C311" s="12">
        <f>LOOKUP(405010100,[1]PlanCuentas!$A$2:$A$6092,[1]PlanCuentas!K$2:K$6092)</f>
        <v>0</v>
      </c>
      <c r="D311" s="12">
        <f>LOOKUP(405010200,[1]PlanCuentas!$A$2:$A$6092,[1]PlanCuentas!K$2:K$6092)</f>
        <v>0</v>
      </c>
      <c r="E311" s="12">
        <f>LOOKUP(405010300,[1]PlanCuentas!$A$2:$A$6092,[1]PlanCuentas!K$2:K$6092)</f>
        <v>0</v>
      </c>
      <c r="F311" s="12">
        <f>LOOKUP(405010400,[1]PlanCuentas!$A$2:$A$6092,[1]PlanCuentas!K$2:K$6092)</f>
        <v>0</v>
      </c>
      <c r="G311" s="12">
        <f>LOOKUP(405010500,[1]PlanCuentas!$A$2:$A$6092,[1]PlanCuentas!K$2:K$6092)</f>
        <v>0</v>
      </c>
      <c r="H311" s="12">
        <f>LOOKUP(405010600,[1]PlanCuentas!$A$2:$A$6092,[1]PlanCuentas!K$2:K$6092)</f>
        <v>0</v>
      </c>
      <c r="I311" s="12">
        <f>LOOKUP(405010700,[1]PlanCuentas!$A$2:$A$6092,[1]PlanCuentas!K$2:K$6092)</f>
        <v>0</v>
      </c>
      <c r="J311" s="12">
        <f>LOOKUP(405010800,[1]PlanCuentas!$A$2:$A$6092,[1]PlanCuentas!K$2:K$6092)</f>
        <v>0</v>
      </c>
      <c r="K311" s="12">
        <f>LOOKUP(405010900,[1]PlanCuentas!$A$2:$A$6092,[1]PlanCuentas!K$2:K$6092)</f>
        <v>0</v>
      </c>
      <c r="L311" s="12">
        <f>LOOKUP(405011000,[1]PlanCuentas!$A$2:$A$6092,[1]PlanCuentas!K$2:K$6092)</f>
        <v>0</v>
      </c>
      <c r="M311" s="12">
        <f>LOOKUP(405011100,[1]PlanCuentas!$A$2:$A$6092,[1]PlanCuentas!K$2:K$6092)</f>
        <v>0</v>
      </c>
      <c r="N311" s="12">
        <f>LOOKUP(405011200,[1]PlanCuentas!$A$2:$A$6092,[1]PlanCuentas!K$2:K$6092)</f>
        <v>0</v>
      </c>
      <c r="O311" s="12">
        <f>LOOKUP(405011300,[1]PlanCuentas!$A$2:$A$6092,[1]PlanCuentas!K$2:K$6092)</f>
        <v>0</v>
      </c>
      <c r="P311" s="12">
        <f>LOOKUP(405012000,[1]PlanCuentas!$A$2:$A$6092,[1]PlanCuentas!K$2:K$6092)</f>
        <v>0</v>
      </c>
      <c r="Q311" s="35">
        <f t="shared" si="14"/>
        <v>0</v>
      </c>
    </row>
    <row r="312" spans="1:17" x14ac:dyDescent="0.2">
      <c r="A312" s="10">
        <v>10</v>
      </c>
      <c r="B312" s="11" t="str">
        <f>[1]Aseguradoras!B11</f>
        <v>Patria S.A de Seguros y Reaseguros</v>
      </c>
      <c r="C312" s="12">
        <f>LOOKUP(405010100,[1]PlanCuentas!$A$2:$A$6092,[1]PlanCuentas!L$2:L$6092)</f>
        <v>0</v>
      </c>
      <c r="D312" s="12">
        <f>LOOKUP(405010200,[1]PlanCuentas!$A$2:$A$6092,[1]PlanCuentas!L$2:L$6092)</f>
        <v>0</v>
      </c>
      <c r="E312" s="12">
        <f>LOOKUP(405010300,[1]PlanCuentas!$A$2:$A$6092,[1]PlanCuentas!L$2:L$6092)</f>
        <v>0</v>
      </c>
      <c r="F312" s="12">
        <f>LOOKUP(405010400,[1]PlanCuentas!$A$2:$A$6092,[1]PlanCuentas!L$2:L$6092)</f>
        <v>0</v>
      </c>
      <c r="G312" s="12">
        <f>LOOKUP(405010500,[1]PlanCuentas!$A$2:$A$6092,[1]PlanCuentas!L$2:L$6092)</f>
        <v>0</v>
      </c>
      <c r="H312" s="12">
        <f>LOOKUP(405010600,[1]PlanCuentas!$A$2:$A$6092,[1]PlanCuentas!L$2:L$6092)</f>
        <v>0</v>
      </c>
      <c r="I312" s="12">
        <f>LOOKUP(405010700,[1]PlanCuentas!$A$2:$A$6092,[1]PlanCuentas!L$2:L$6092)</f>
        <v>0</v>
      </c>
      <c r="J312" s="12">
        <f>LOOKUP(405010800,[1]PlanCuentas!$A$2:$A$6092,[1]PlanCuentas!L$2:L$6092)</f>
        <v>0</v>
      </c>
      <c r="K312" s="12">
        <f>LOOKUP(405010900,[1]PlanCuentas!$A$2:$A$6092,[1]PlanCuentas!L$2:L$6092)</f>
        <v>0</v>
      </c>
      <c r="L312" s="12">
        <f>LOOKUP(405011000,[1]PlanCuentas!$A$2:$A$6092,[1]PlanCuentas!L$2:L$6092)</f>
        <v>0</v>
      </c>
      <c r="M312" s="12">
        <f>LOOKUP(405011100,[1]PlanCuentas!$A$2:$A$6092,[1]PlanCuentas!L$2:L$6092)</f>
        <v>0</v>
      </c>
      <c r="N312" s="12">
        <f>LOOKUP(405011200,[1]PlanCuentas!$A$2:$A$6092,[1]PlanCuentas!L$2:L$6092)</f>
        <v>0</v>
      </c>
      <c r="O312" s="12">
        <f>LOOKUP(405011300,[1]PlanCuentas!$A$2:$A$6092,[1]PlanCuentas!L$2:L$6092)</f>
        <v>0</v>
      </c>
      <c r="P312" s="12">
        <f>LOOKUP(405012000,[1]PlanCuentas!$A$2:$A$6092,[1]PlanCuentas!L$2:L$6092)</f>
        <v>0</v>
      </c>
      <c r="Q312" s="35">
        <f t="shared" si="14"/>
        <v>0</v>
      </c>
    </row>
    <row r="313" spans="1:17" x14ac:dyDescent="0.2">
      <c r="A313" s="10">
        <v>11</v>
      </c>
      <c r="B313" s="11" t="str">
        <f>[1]Aseguradoras!B12</f>
        <v>Garantía S.A de Seguros y Reaseguros</v>
      </c>
      <c r="C313" s="12">
        <f>LOOKUP(405010100,[1]PlanCuentas!$A$2:$A$6092,[1]PlanCuentas!M$2:M$6092)</f>
        <v>0</v>
      </c>
      <c r="D313" s="12">
        <f>LOOKUP(405010200,[1]PlanCuentas!$A$2:$A$6092,[1]PlanCuentas!M$2:M$6092)</f>
        <v>0</v>
      </c>
      <c r="E313" s="12">
        <f>LOOKUP(405010300,[1]PlanCuentas!$A$2:$A$6092,[1]PlanCuentas!M$2:M$6092)</f>
        <v>0</v>
      </c>
      <c r="F313" s="12">
        <f>LOOKUP(405010400,[1]PlanCuentas!$A$2:$A$6092,[1]PlanCuentas!M$2:M$6092)</f>
        <v>0</v>
      </c>
      <c r="G313" s="12">
        <f>LOOKUP(405010500,[1]PlanCuentas!$A$2:$A$6092,[1]PlanCuentas!M$2:M$6092)</f>
        <v>0</v>
      </c>
      <c r="H313" s="12">
        <f>LOOKUP(405010600,[1]PlanCuentas!$A$2:$A$6092,[1]PlanCuentas!M$2:M$6092)</f>
        <v>0</v>
      </c>
      <c r="I313" s="12">
        <f>LOOKUP(405010700,[1]PlanCuentas!$A$2:$A$6092,[1]PlanCuentas!M$2:M$6092)</f>
        <v>0</v>
      </c>
      <c r="J313" s="12">
        <f>LOOKUP(405010800,[1]PlanCuentas!$A$2:$A$6092,[1]PlanCuentas!M$2:M$6092)</f>
        <v>0</v>
      </c>
      <c r="K313" s="12">
        <f>LOOKUP(405010900,[1]PlanCuentas!$A$2:$A$6092,[1]PlanCuentas!M$2:M$6092)</f>
        <v>0</v>
      </c>
      <c r="L313" s="12">
        <f>LOOKUP(405011000,[1]PlanCuentas!$A$2:$A$6092,[1]PlanCuentas!M$2:M$6092)</f>
        <v>0</v>
      </c>
      <c r="M313" s="12">
        <f>LOOKUP(405011100,[1]PlanCuentas!$A$2:$A$6092,[1]PlanCuentas!M$2:M$6092)</f>
        <v>0</v>
      </c>
      <c r="N313" s="12">
        <f>LOOKUP(405011200,[1]PlanCuentas!$A$2:$A$6092,[1]PlanCuentas!M$2:M$6092)</f>
        <v>0</v>
      </c>
      <c r="O313" s="12">
        <f>LOOKUP(405011300,[1]PlanCuentas!$A$2:$A$6092,[1]PlanCuentas!M$2:M$6092)</f>
        <v>0</v>
      </c>
      <c r="P313" s="12">
        <f>LOOKUP(405012000,[1]PlanCuentas!$A$2:$A$6092,[1]PlanCuentas!M$2:M$6092)</f>
        <v>0</v>
      </c>
      <c r="Q313" s="35">
        <f t="shared" si="14"/>
        <v>0</v>
      </c>
    </row>
    <row r="314" spans="1:17" x14ac:dyDescent="0.2">
      <c r="A314" s="10">
        <v>12</v>
      </c>
      <c r="B314" s="11" t="str">
        <f>[1]Aseguradoras!B13</f>
        <v>Aseguradora Paraguaya S.A.</v>
      </c>
      <c r="C314" s="12">
        <f>LOOKUP(405010100,[1]PlanCuentas!$A$2:$A$6092,[1]PlanCuentas!N$2:N$6092)</f>
        <v>276024601</v>
      </c>
      <c r="D314" s="12">
        <f>LOOKUP(405010200,[1]PlanCuentas!$A$2:$A$6092,[1]PlanCuentas!N$2:N$6092)</f>
        <v>29021545</v>
      </c>
      <c r="E314" s="12">
        <f>LOOKUP(405010300,[1]PlanCuentas!$A$2:$A$6092,[1]PlanCuentas!N$2:N$6092)</f>
        <v>60164370</v>
      </c>
      <c r="F314" s="12">
        <f>LOOKUP(405010400,[1]PlanCuentas!$A$2:$A$6092,[1]PlanCuentas!N$2:N$6092)</f>
        <v>24996147</v>
      </c>
      <c r="G314" s="12">
        <f>LOOKUP(405010500,[1]PlanCuentas!$A$2:$A$6092,[1]PlanCuentas!N$2:N$6092)</f>
        <v>0</v>
      </c>
      <c r="H314" s="12">
        <f>LOOKUP(405010600,[1]PlanCuentas!$A$2:$A$6092,[1]PlanCuentas!N$2:N$6092)</f>
        <v>68977827</v>
      </c>
      <c r="I314" s="12">
        <f>LOOKUP(405010700,[1]PlanCuentas!$A$2:$A$6092,[1]PlanCuentas!N$2:N$6092)</f>
        <v>37584</v>
      </c>
      <c r="J314" s="12">
        <f>LOOKUP(405010800,[1]PlanCuentas!$A$2:$A$6092,[1]PlanCuentas!N$2:N$6092)</f>
        <v>0</v>
      </c>
      <c r="K314" s="12">
        <f>LOOKUP(405010900,[1]PlanCuentas!$A$2:$A$6092,[1]PlanCuentas!N$2:N$6092)</f>
        <v>33692600</v>
      </c>
      <c r="L314" s="12">
        <f>LOOKUP(405011000,[1]PlanCuentas!$A$2:$A$6092,[1]PlanCuentas!N$2:N$6092)</f>
        <v>81960563</v>
      </c>
      <c r="M314" s="12">
        <f>LOOKUP(405011100,[1]PlanCuentas!$A$2:$A$6092,[1]PlanCuentas!N$2:N$6092)</f>
        <v>6125037</v>
      </c>
      <c r="N314" s="12">
        <f>LOOKUP(405011200,[1]PlanCuentas!$A$2:$A$6092,[1]PlanCuentas!N$2:N$6092)</f>
        <v>42247613</v>
      </c>
      <c r="O314" s="12">
        <f>LOOKUP(405011300,[1]PlanCuentas!$A$2:$A$6092,[1]PlanCuentas!N$2:N$6092)</f>
        <v>135507879</v>
      </c>
      <c r="P314" s="12">
        <f>LOOKUP(405012000,[1]PlanCuentas!$A$2:$A$6092,[1]PlanCuentas!N$2:N$6092)</f>
        <v>18355435</v>
      </c>
      <c r="Q314" s="35">
        <f t="shared" si="14"/>
        <v>777111201</v>
      </c>
    </row>
    <row r="315" spans="1:17" x14ac:dyDescent="0.2">
      <c r="A315" s="10">
        <v>13</v>
      </c>
      <c r="B315" s="11" t="str">
        <f>[1]Aseguradoras!B14</f>
        <v>Fénix S.A de Seguros y Reaseguros</v>
      </c>
      <c r="C315" s="12">
        <f>LOOKUP(405010100,[1]PlanCuentas!$A$2:$A$6092,[1]PlanCuentas!O$2:O$6092)</f>
        <v>0</v>
      </c>
      <c r="D315" s="12">
        <f>LOOKUP(405010200,[1]PlanCuentas!$A$2:$A$6092,[1]PlanCuentas!O$2:O$6092)</f>
        <v>0</v>
      </c>
      <c r="E315" s="12">
        <f>LOOKUP(405010300,[1]PlanCuentas!$A$2:$A$6092,[1]PlanCuentas!O$2:O$6092)</f>
        <v>0</v>
      </c>
      <c r="F315" s="12">
        <f>LOOKUP(405010400,[1]PlanCuentas!$A$2:$A$6092,[1]PlanCuentas!O$2:O$6092)</f>
        <v>0</v>
      </c>
      <c r="G315" s="12">
        <f>LOOKUP(405010500,[1]PlanCuentas!$A$2:$A$6092,[1]PlanCuentas!O$2:O$6092)</f>
        <v>0</v>
      </c>
      <c r="H315" s="12">
        <f>LOOKUP(405010600,[1]PlanCuentas!$A$2:$A$6092,[1]PlanCuentas!O$2:O$6092)</f>
        <v>0</v>
      </c>
      <c r="I315" s="12">
        <f>LOOKUP(405010700,[1]PlanCuentas!$A$2:$A$6092,[1]PlanCuentas!O$2:O$6092)</f>
        <v>0</v>
      </c>
      <c r="J315" s="12">
        <f>LOOKUP(405010800,[1]PlanCuentas!$A$2:$A$6092,[1]PlanCuentas!O$2:O$6092)</f>
        <v>0</v>
      </c>
      <c r="K315" s="12">
        <f>LOOKUP(405010900,[1]PlanCuentas!$A$2:$A$6092,[1]PlanCuentas!O$2:O$6092)</f>
        <v>0</v>
      </c>
      <c r="L315" s="12">
        <f>LOOKUP(405011000,[1]PlanCuentas!$A$2:$A$6092,[1]PlanCuentas!O$2:O$6092)</f>
        <v>0</v>
      </c>
      <c r="M315" s="12">
        <f>LOOKUP(405011100,[1]PlanCuentas!$A$2:$A$6092,[1]PlanCuentas!O$2:O$6092)</f>
        <v>0</v>
      </c>
      <c r="N315" s="12">
        <f>LOOKUP(405011200,[1]PlanCuentas!$A$2:$A$6092,[1]PlanCuentas!O$2:O$6092)</f>
        <v>0</v>
      </c>
      <c r="O315" s="12">
        <f>LOOKUP(405011300,[1]PlanCuentas!$A$2:$A$6092,[1]PlanCuentas!O$2:O$6092)</f>
        <v>0</v>
      </c>
      <c r="P315" s="12">
        <f>LOOKUP(405012000,[1]PlanCuentas!$A$2:$A$6092,[1]PlanCuentas!O$2:O$6092)</f>
        <v>0</v>
      </c>
      <c r="Q315" s="35">
        <f t="shared" si="14"/>
        <v>0</v>
      </c>
    </row>
    <row r="316" spans="1:17" x14ac:dyDescent="0.2">
      <c r="A316" s="10">
        <v>14</v>
      </c>
      <c r="B316" s="11" t="str">
        <f>[1]Aseguradoras!B15</f>
        <v>Central S.A de Seguros</v>
      </c>
      <c r="C316" s="12">
        <f>LOOKUP(405010100,[1]PlanCuentas!$A$2:$A$6092,[1]PlanCuentas!P$2:P$6092)</f>
        <v>0</v>
      </c>
      <c r="D316" s="12">
        <f>LOOKUP(405010200,[1]PlanCuentas!$A$2:$A$6092,[1]PlanCuentas!P$2:P$6092)</f>
        <v>0</v>
      </c>
      <c r="E316" s="12">
        <f>LOOKUP(405010300,[1]PlanCuentas!$A$2:$A$6092,[1]PlanCuentas!P$2:P$6092)</f>
        <v>0</v>
      </c>
      <c r="F316" s="12">
        <f>LOOKUP(405010400,[1]PlanCuentas!$A$2:$A$6092,[1]PlanCuentas!P$2:P$6092)</f>
        <v>0</v>
      </c>
      <c r="G316" s="12">
        <f>LOOKUP(405010500,[1]PlanCuentas!$A$2:$A$6092,[1]PlanCuentas!P$2:P$6092)</f>
        <v>0</v>
      </c>
      <c r="H316" s="12">
        <f>LOOKUP(405010600,[1]PlanCuentas!$A$2:$A$6092,[1]PlanCuentas!P$2:P$6092)</f>
        <v>0</v>
      </c>
      <c r="I316" s="12">
        <f>LOOKUP(405010700,[1]PlanCuentas!$A$2:$A$6092,[1]PlanCuentas!P$2:P$6092)</f>
        <v>0</v>
      </c>
      <c r="J316" s="12">
        <f>LOOKUP(405010800,[1]PlanCuentas!$A$2:$A$6092,[1]PlanCuentas!P$2:P$6092)</f>
        <v>0</v>
      </c>
      <c r="K316" s="12">
        <f>LOOKUP(405010900,[1]PlanCuentas!$A$2:$A$6092,[1]PlanCuentas!P$2:P$6092)</f>
        <v>0</v>
      </c>
      <c r="L316" s="12">
        <f>LOOKUP(405011000,[1]PlanCuentas!$A$2:$A$6092,[1]PlanCuentas!P$2:P$6092)</f>
        <v>0</v>
      </c>
      <c r="M316" s="12">
        <f>LOOKUP(405011100,[1]PlanCuentas!$A$2:$A$6092,[1]PlanCuentas!P$2:P$6092)</f>
        <v>0</v>
      </c>
      <c r="N316" s="12">
        <f>LOOKUP(405011200,[1]PlanCuentas!$A$2:$A$6092,[1]PlanCuentas!P$2:P$6092)</f>
        <v>0</v>
      </c>
      <c r="O316" s="12">
        <f>LOOKUP(405011300,[1]PlanCuentas!$A$2:$A$6092,[1]PlanCuentas!P$2:P$6092)</f>
        <v>0</v>
      </c>
      <c r="P316" s="12">
        <f>LOOKUP(405012000,[1]PlanCuentas!$A$2:$A$6092,[1]PlanCuentas!P$2:P$6092)</f>
        <v>0</v>
      </c>
      <c r="Q316" s="35">
        <f t="shared" si="14"/>
        <v>0</v>
      </c>
    </row>
    <row r="317" spans="1:17" x14ac:dyDescent="0.2">
      <c r="A317" s="10">
        <v>15</v>
      </c>
      <c r="B317" s="11" t="str">
        <f>[1]Aseguradoras!B16</f>
        <v>Seguros Chaco S.A de Seguros y Reaseguros</v>
      </c>
      <c r="C317" s="12">
        <f>LOOKUP(405010100,[1]PlanCuentas!$A$2:$A$6092,[1]PlanCuentas!Q$2:Q$6092)</f>
        <v>0</v>
      </c>
      <c r="D317" s="12">
        <f>LOOKUP(405010200,[1]PlanCuentas!$A$2:$A$6092,[1]PlanCuentas!Q$2:Q$6092)</f>
        <v>0</v>
      </c>
      <c r="E317" s="12">
        <f>LOOKUP(405010300,[1]PlanCuentas!$A$2:$A$6092,[1]PlanCuentas!Q$2:Q$6092)</f>
        <v>0</v>
      </c>
      <c r="F317" s="12">
        <f>LOOKUP(405010400,[1]PlanCuentas!$A$2:$A$6092,[1]PlanCuentas!Q$2:Q$6092)</f>
        <v>0</v>
      </c>
      <c r="G317" s="12">
        <f>LOOKUP(405010500,[1]PlanCuentas!$A$2:$A$6092,[1]PlanCuentas!Q$2:Q$6092)</f>
        <v>0</v>
      </c>
      <c r="H317" s="12">
        <f>LOOKUP(405010600,[1]PlanCuentas!$A$2:$A$6092,[1]PlanCuentas!Q$2:Q$6092)</f>
        <v>0</v>
      </c>
      <c r="I317" s="12">
        <f>LOOKUP(405010700,[1]PlanCuentas!$A$2:$A$6092,[1]PlanCuentas!Q$2:Q$6092)</f>
        <v>0</v>
      </c>
      <c r="J317" s="12">
        <f>LOOKUP(405010800,[1]PlanCuentas!$A$2:$A$6092,[1]PlanCuentas!Q$2:Q$6092)</f>
        <v>0</v>
      </c>
      <c r="K317" s="12">
        <f>LOOKUP(405010900,[1]PlanCuentas!$A$2:$A$6092,[1]PlanCuentas!Q$2:Q$6092)</f>
        <v>0</v>
      </c>
      <c r="L317" s="12">
        <f>LOOKUP(405011000,[1]PlanCuentas!$A$2:$A$6092,[1]PlanCuentas!Q$2:Q$6092)</f>
        <v>0</v>
      </c>
      <c r="M317" s="12">
        <f>LOOKUP(405011100,[1]PlanCuentas!$A$2:$A$6092,[1]PlanCuentas!Q$2:Q$6092)</f>
        <v>0</v>
      </c>
      <c r="N317" s="12">
        <f>LOOKUP(405011200,[1]PlanCuentas!$A$2:$A$6092,[1]PlanCuentas!Q$2:Q$6092)</f>
        <v>0</v>
      </c>
      <c r="O317" s="12">
        <f>LOOKUP(405011300,[1]PlanCuentas!$A$2:$A$6092,[1]PlanCuentas!Q$2:Q$6092)</f>
        <v>0</v>
      </c>
      <c r="P317" s="12">
        <f>LOOKUP(405012000,[1]PlanCuentas!$A$2:$A$6092,[1]PlanCuentas!Q$2:Q$6092)</f>
        <v>0</v>
      </c>
      <c r="Q317" s="35">
        <f t="shared" si="14"/>
        <v>0</v>
      </c>
    </row>
    <row r="318" spans="1:17" x14ac:dyDescent="0.2">
      <c r="A318" s="10">
        <v>16</v>
      </c>
      <c r="B318" s="11" t="str">
        <f>[1]Aseguradoras!B17</f>
        <v>El Sol Del Paraguay Compañía de Seguros y Reaseguros S.A.</v>
      </c>
      <c r="C318" s="12">
        <f>LOOKUP(405010100,[1]PlanCuentas!$A$2:$A$6092,[1]PlanCuentas!R$2:R$6092)</f>
        <v>0</v>
      </c>
      <c r="D318" s="12">
        <f>LOOKUP(405010200,[1]PlanCuentas!$A$2:$A$6092,[1]PlanCuentas!R$2:R$6092)</f>
        <v>0</v>
      </c>
      <c r="E318" s="12">
        <f>LOOKUP(405010300,[1]PlanCuentas!$A$2:$A$6092,[1]PlanCuentas!R$2:R$6092)</f>
        <v>0</v>
      </c>
      <c r="F318" s="12">
        <f>LOOKUP(405010400,[1]PlanCuentas!$A$2:$A$6092,[1]PlanCuentas!R$2:R$6092)</f>
        <v>0</v>
      </c>
      <c r="G318" s="12">
        <f>LOOKUP(405010500,[1]PlanCuentas!$A$2:$A$6092,[1]PlanCuentas!R$2:R$6092)</f>
        <v>0</v>
      </c>
      <c r="H318" s="12">
        <f>LOOKUP(405010600,[1]PlanCuentas!$A$2:$A$6092,[1]PlanCuentas!R$2:R$6092)</f>
        <v>0</v>
      </c>
      <c r="I318" s="12">
        <f>LOOKUP(405010700,[1]PlanCuentas!$A$2:$A$6092,[1]PlanCuentas!R$2:R$6092)</f>
        <v>0</v>
      </c>
      <c r="J318" s="12">
        <f>LOOKUP(405010800,[1]PlanCuentas!$A$2:$A$6092,[1]PlanCuentas!R$2:R$6092)</f>
        <v>0</v>
      </c>
      <c r="K318" s="12">
        <f>LOOKUP(405010900,[1]PlanCuentas!$A$2:$A$6092,[1]PlanCuentas!R$2:R$6092)</f>
        <v>0</v>
      </c>
      <c r="L318" s="12">
        <f>LOOKUP(405011000,[1]PlanCuentas!$A$2:$A$6092,[1]PlanCuentas!R$2:R$6092)</f>
        <v>0</v>
      </c>
      <c r="M318" s="12">
        <f>LOOKUP(405011100,[1]PlanCuentas!$A$2:$A$6092,[1]PlanCuentas!R$2:R$6092)</f>
        <v>0</v>
      </c>
      <c r="N318" s="12">
        <f>LOOKUP(405011200,[1]PlanCuentas!$A$2:$A$6092,[1]PlanCuentas!R$2:R$6092)</f>
        <v>0</v>
      </c>
      <c r="O318" s="12">
        <f>LOOKUP(405011300,[1]PlanCuentas!$A$2:$A$6092,[1]PlanCuentas!R$2:R$6092)</f>
        <v>0</v>
      </c>
      <c r="P318" s="12">
        <f>LOOKUP(405012000,[1]PlanCuentas!$A$2:$A$6092,[1]PlanCuentas!R$2:R$6092)</f>
        <v>0</v>
      </c>
      <c r="Q318" s="35">
        <f t="shared" si="14"/>
        <v>0</v>
      </c>
    </row>
    <row r="319" spans="1:17" x14ac:dyDescent="0.2">
      <c r="A319" s="10">
        <v>17</v>
      </c>
      <c r="B319" s="11" t="str">
        <f>[1]Aseguradoras!B18</f>
        <v>Intercontinental de Seguros y Reaseguros S.A.</v>
      </c>
      <c r="C319" s="12">
        <f>LOOKUP(405010100,[1]PlanCuentas!$A$2:$A$6092,[1]PlanCuentas!S$2:S$6092)</f>
        <v>0</v>
      </c>
      <c r="D319" s="12">
        <f>LOOKUP(405010200,[1]PlanCuentas!$A$2:$A$6092,[1]PlanCuentas!S$2:S$6092)</f>
        <v>0</v>
      </c>
      <c r="E319" s="12">
        <f>LOOKUP(405010300,[1]PlanCuentas!$A$2:$A$6092,[1]PlanCuentas!S$2:S$6092)</f>
        <v>0</v>
      </c>
      <c r="F319" s="12">
        <f>LOOKUP(405010400,[1]PlanCuentas!$A$2:$A$6092,[1]PlanCuentas!S$2:S$6092)</f>
        <v>0</v>
      </c>
      <c r="G319" s="12">
        <f>LOOKUP(405010500,[1]PlanCuentas!$A$2:$A$6092,[1]PlanCuentas!S$2:S$6092)</f>
        <v>0</v>
      </c>
      <c r="H319" s="12">
        <f>LOOKUP(405010600,[1]PlanCuentas!$A$2:$A$6092,[1]PlanCuentas!S$2:S$6092)</f>
        <v>0</v>
      </c>
      <c r="I319" s="12">
        <f>LOOKUP(405010700,[1]PlanCuentas!$A$2:$A$6092,[1]PlanCuentas!S$2:S$6092)</f>
        <v>0</v>
      </c>
      <c r="J319" s="12">
        <f>LOOKUP(405010800,[1]PlanCuentas!$A$2:$A$6092,[1]PlanCuentas!S$2:S$6092)</f>
        <v>0</v>
      </c>
      <c r="K319" s="12">
        <f>LOOKUP(405010900,[1]PlanCuentas!$A$2:$A$6092,[1]PlanCuentas!S$2:S$6092)</f>
        <v>0</v>
      </c>
      <c r="L319" s="12">
        <f>LOOKUP(405011000,[1]PlanCuentas!$A$2:$A$6092,[1]PlanCuentas!S$2:S$6092)</f>
        <v>0</v>
      </c>
      <c r="M319" s="12">
        <f>LOOKUP(405011100,[1]PlanCuentas!$A$2:$A$6092,[1]PlanCuentas!S$2:S$6092)</f>
        <v>0</v>
      </c>
      <c r="N319" s="12">
        <f>LOOKUP(405011200,[1]PlanCuentas!$A$2:$A$6092,[1]PlanCuentas!S$2:S$6092)</f>
        <v>0</v>
      </c>
      <c r="O319" s="12">
        <f>LOOKUP(405011300,[1]PlanCuentas!$A$2:$A$6092,[1]PlanCuentas!S$2:S$6092)</f>
        <v>0</v>
      </c>
      <c r="P319" s="12">
        <f>LOOKUP(405012000,[1]PlanCuentas!$A$2:$A$6092,[1]PlanCuentas!S$2:S$6092)</f>
        <v>0</v>
      </c>
      <c r="Q319" s="35">
        <f t="shared" si="14"/>
        <v>0</v>
      </c>
    </row>
    <row r="320" spans="1:17" x14ac:dyDescent="0.2">
      <c r="A320" s="10">
        <v>18</v>
      </c>
      <c r="B320" s="11" t="str">
        <f>[1]Aseguradoras!B19</f>
        <v>Seguridad S.A Compañía de Seguros</v>
      </c>
      <c r="C320" s="12">
        <f>LOOKUP(405010100,[1]PlanCuentas!$A$2:$A$6092,[1]PlanCuentas!T$2:T$6092)</f>
        <v>145116</v>
      </c>
      <c r="D320" s="12">
        <f>LOOKUP(405010200,[1]PlanCuentas!$A$2:$A$6092,[1]PlanCuentas!T$2:T$6092)</f>
        <v>907123</v>
      </c>
      <c r="E320" s="12">
        <f>LOOKUP(405010300,[1]PlanCuentas!$A$2:$A$6092,[1]PlanCuentas!T$2:T$6092)</f>
        <v>72584</v>
      </c>
      <c r="F320" s="12">
        <f>LOOKUP(405010400,[1]PlanCuentas!$A$2:$A$6092,[1]PlanCuentas!T$2:T$6092)</f>
        <v>8397803</v>
      </c>
      <c r="G320" s="12">
        <f>LOOKUP(405010500,[1]PlanCuentas!$A$2:$A$6092,[1]PlanCuentas!T$2:T$6092)</f>
        <v>0</v>
      </c>
      <c r="H320" s="12">
        <f>LOOKUP(405010600,[1]PlanCuentas!$A$2:$A$6092,[1]PlanCuentas!T$2:T$6092)</f>
        <v>37956</v>
      </c>
      <c r="I320" s="12">
        <f>LOOKUP(405010700,[1]PlanCuentas!$A$2:$A$6092,[1]PlanCuentas!T$2:T$6092)</f>
        <v>0</v>
      </c>
      <c r="J320" s="12">
        <f>LOOKUP(405010800,[1]PlanCuentas!$A$2:$A$6092,[1]PlanCuentas!T$2:T$6092)</f>
        <v>0</v>
      </c>
      <c r="K320" s="12">
        <f>LOOKUP(405010900,[1]PlanCuentas!$A$2:$A$6092,[1]PlanCuentas!T$2:T$6092)</f>
        <v>7984</v>
      </c>
      <c r="L320" s="12">
        <f>LOOKUP(405011000,[1]PlanCuentas!$A$2:$A$6092,[1]PlanCuentas!T$2:T$6092)</f>
        <v>0</v>
      </c>
      <c r="M320" s="12">
        <f>LOOKUP(405011100,[1]PlanCuentas!$A$2:$A$6092,[1]PlanCuentas!T$2:T$6092)</f>
        <v>0</v>
      </c>
      <c r="N320" s="12">
        <f>LOOKUP(405011200,[1]PlanCuentas!$A$2:$A$6092,[1]PlanCuentas!T$2:T$6092)</f>
        <v>17576</v>
      </c>
      <c r="O320" s="12">
        <f>LOOKUP(405011300,[1]PlanCuentas!$A$2:$A$6092,[1]PlanCuentas!T$2:T$6092)</f>
        <v>41800</v>
      </c>
      <c r="P320" s="12">
        <f>LOOKUP(405012000,[1]PlanCuentas!$A$2:$A$6092,[1]PlanCuentas!T$2:T$6092)</f>
        <v>6462606</v>
      </c>
      <c r="Q320" s="35">
        <f t="shared" si="14"/>
        <v>16090548</v>
      </c>
    </row>
    <row r="321" spans="1:17" x14ac:dyDescent="0.2">
      <c r="A321" s="10">
        <v>19</v>
      </c>
      <c r="B321" s="11" t="str">
        <f>[1]Aseguradoras!B20</f>
        <v>Universo de Seguros y Reaseguros S.A.</v>
      </c>
      <c r="C321" s="12">
        <f>LOOKUP(405010100,[1]PlanCuentas!$A$2:$A$6092,[1]PlanCuentas!U$2:U$6092)</f>
        <v>0</v>
      </c>
      <c r="D321" s="12">
        <f>LOOKUP(405010200,[1]PlanCuentas!$A$2:$A$6092,[1]PlanCuentas!U$2:U$6092)</f>
        <v>0</v>
      </c>
      <c r="E321" s="12">
        <f>LOOKUP(405010300,[1]PlanCuentas!$A$2:$A$6092,[1]PlanCuentas!U$2:U$6092)</f>
        <v>0</v>
      </c>
      <c r="F321" s="12">
        <f>LOOKUP(405010400,[1]PlanCuentas!$A$2:$A$6092,[1]PlanCuentas!U$2:U$6092)</f>
        <v>0</v>
      </c>
      <c r="G321" s="12">
        <f>LOOKUP(405010500,[1]PlanCuentas!$A$2:$A$6092,[1]PlanCuentas!U$2:U$6092)</f>
        <v>0</v>
      </c>
      <c r="H321" s="12">
        <f>LOOKUP(405010600,[1]PlanCuentas!$A$2:$A$6092,[1]PlanCuentas!U$2:U$6092)</f>
        <v>0</v>
      </c>
      <c r="I321" s="12">
        <f>LOOKUP(405010700,[1]PlanCuentas!$A$2:$A$6092,[1]PlanCuentas!U$2:U$6092)</f>
        <v>0</v>
      </c>
      <c r="J321" s="12">
        <f>LOOKUP(405010800,[1]PlanCuentas!$A$2:$A$6092,[1]PlanCuentas!U$2:U$6092)</f>
        <v>0</v>
      </c>
      <c r="K321" s="12">
        <f>LOOKUP(405010900,[1]PlanCuentas!$A$2:$A$6092,[1]PlanCuentas!U$2:U$6092)</f>
        <v>0</v>
      </c>
      <c r="L321" s="12">
        <f>LOOKUP(405011000,[1]PlanCuentas!$A$2:$A$6092,[1]PlanCuentas!U$2:U$6092)</f>
        <v>0</v>
      </c>
      <c r="M321" s="12">
        <f>LOOKUP(405011100,[1]PlanCuentas!$A$2:$A$6092,[1]PlanCuentas!U$2:U$6092)</f>
        <v>0</v>
      </c>
      <c r="N321" s="12">
        <f>LOOKUP(405011200,[1]PlanCuentas!$A$2:$A$6092,[1]PlanCuentas!U$2:U$6092)</f>
        <v>0</v>
      </c>
      <c r="O321" s="12">
        <f>LOOKUP(405011300,[1]PlanCuentas!$A$2:$A$6092,[1]PlanCuentas!U$2:U$6092)</f>
        <v>0</v>
      </c>
      <c r="P321" s="12">
        <f>LOOKUP(405012000,[1]PlanCuentas!$A$2:$A$6092,[1]PlanCuentas!U$2:U$6092)</f>
        <v>0</v>
      </c>
      <c r="Q321" s="35">
        <f t="shared" si="14"/>
        <v>0</v>
      </c>
    </row>
    <row r="322" spans="1:17" x14ac:dyDescent="0.2">
      <c r="A322" s="10">
        <v>20</v>
      </c>
      <c r="B322" s="11" t="str">
        <f>[1]Aseguradoras!B21</f>
        <v>Aseguradora Yacyreta S.A de Seguros y Reaseguros</v>
      </c>
      <c r="C322" s="12">
        <f>LOOKUP(405010100,[1]PlanCuentas!$A$2:$A$6092,[1]PlanCuentas!V$2:V$6092)</f>
        <v>0</v>
      </c>
      <c r="D322" s="12">
        <f>LOOKUP(405010200,[1]PlanCuentas!$A$2:$A$6092,[1]PlanCuentas!V$2:V$6092)</f>
        <v>0</v>
      </c>
      <c r="E322" s="12">
        <f>LOOKUP(405010300,[1]PlanCuentas!$A$2:$A$6092,[1]PlanCuentas!V$2:V$6092)</f>
        <v>0</v>
      </c>
      <c r="F322" s="12">
        <f>LOOKUP(405010400,[1]PlanCuentas!$A$2:$A$6092,[1]PlanCuentas!V$2:V$6092)</f>
        <v>0</v>
      </c>
      <c r="G322" s="12">
        <f>LOOKUP(405010500,[1]PlanCuentas!$A$2:$A$6092,[1]PlanCuentas!V$2:V$6092)</f>
        <v>0</v>
      </c>
      <c r="H322" s="12">
        <f>LOOKUP(405010600,[1]PlanCuentas!$A$2:$A$6092,[1]PlanCuentas!V$2:V$6092)</f>
        <v>0</v>
      </c>
      <c r="I322" s="12">
        <f>LOOKUP(405010700,[1]PlanCuentas!$A$2:$A$6092,[1]PlanCuentas!V$2:V$6092)</f>
        <v>0</v>
      </c>
      <c r="J322" s="12">
        <f>LOOKUP(405010800,[1]PlanCuentas!$A$2:$A$6092,[1]PlanCuentas!V$2:V$6092)</f>
        <v>0</v>
      </c>
      <c r="K322" s="12">
        <f>LOOKUP(405010900,[1]PlanCuentas!$A$2:$A$6092,[1]PlanCuentas!V$2:V$6092)</f>
        <v>0</v>
      </c>
      <c r="L322" s="12">
        <f>LOOKUP(405011000,[1]PlanCuentas!$A$2:$A$6092,[1]PlanCuentas!V$2:V$6092)</f>
        <v>0</v>
      </c>
      <c r="M322" s="12">
        <f>LOOKUP(405011100,[1]PlanCuentas!$A$2:$A$6092,[1]PlanCuentas!V$2:V$6092)</f>
        <v>0</v>
      </c>
      <c r="N322" s="12">
        <f>LOOKUP(405011200,[1]PlanCuentas!$A$2:$A$6092,[1]PlanCuentas!V$2:V$6092)</f>
        <v>0</v>
      </c>
      <c r="O322" s="12">
        <f>LOOKUP(405011300,[1]PlanCuentas!$A$2:$A$6092,[1]PlanCuentas!V$2:V$6092)</f>
        <v>0</v>
      </c>
      <c r="P322" s="12">
        <f>LOOKUP(405012000,[1]PlanCuentas!$A$2:$A$6092,[1]PlanCuentas!V$2:V$6092)</f>
        <v>0</v>
      </c>
      <c r="Q322" s="35">
        <f t="shared" si="14"/>
        <v>0</v>
      </c>
    </row>
    <row r="323" spans="1:17" x14ac:dyDescent="0.2">
      <c r="A323" s="10">
        <v>21</v>
      </c>
      <c r="B323" s="11" t="str">
        <f>[1]Aseguradoras!B22</f>
        <v>La Agricola S.A de Seguros y Reaseguros</v>
      </c>
      <c r="C323" s="12">
        <f>LOOKUP(405010100,[1]PlanCuentas!$A$2:$A$6092,[1]PlanCuentas!W$2:W$6092)</f>
        <v>0</v>
      </c>
      <c r="D323" s="12">
        <f>LOOKUP(405010200,[1]PlanCuentas!$A$2:$A$6092,[1]PlanCuentas!W$2:W$6092)</f>
        <v>0</v>
      </c>
      <c r="E323" s="12">
        <f>LOOKUP(405010300,[1]PlanCuentas!$A$2:$A$6092,[1]PlanCuentas!W$2:W$6092)</f>
        <v>0</v>
      </c>
      <c r="F323" s="12">
        <f>LOOKUP(405010400,[1]PlanCuentas!$A$2:$A$6092,[1]PlanCuentas!W$2:W$6092)</f>
        <v>0</v>
      </c>
      <c r="G323" s="12">
        <f>LOOKUP(405010500,[1]PlanCuentas!$A$2:$A$6092,[1]PlanCuentas!W$2:W$6092)</f>
        <v>0</v>
      </c>
      <c r="H323" s="12">
        <f>LOOKUP(405010600,[1]PlanCuentas!$A$2:$A$6092,[1]PlanCuentas!W$2:W$6092)</f>
        <v>0</v>
      </c>
      <c r="I323" s="12">
        <f>LOOKUP(405010700,[1]PlanCuentas!$A$2:$A$6092,[1]PlanCuentas!W$2:W$6092)</f>
        <v>0</v>
      </c>
      <c r="J323" s="12">
        <f>LOOKUP(405010800,[1]PlanCuentas!$A$2:$A$6092,[1]PlanCuentas!W$2:W$6092)</f>
        <v>0</v>
      </c>
      <c r="K323" s="12">
        <f>LOOKUP(405010900,[1]PlanCuentas!$A$2:$A$6092,[1]PlanCuentas!W$2:W$6092)</f>
        <v>0</v>
      </c>
      <c r="L323" s="12">
        <f>LOOKUP(405011000,[1]PlanCuentas!$A$2:$A$6092,[1]PlanCuentas!W$2:W$6092)</f>
        <v>0</v>
      </c>
      <c r="M323" s="12">
        <f>LOOKUP(405011100,[1]PlanCuentas!$A$2:$A$6092,[1]PlanCuentas!W$2:W$6092)</f>
        <v>0</v>
      </c>
      <c r="N323" s="12">
        <f>LOOKUP(405011200,[1]PlanCuentas!$A$2:$A$6092,[1]PlanCuentas!W$2:W$6092)</f>
        <v>0</v>
      </c>
      <c r="O323" s="12">
        <f>LOOKUP(405011300,[1]PlanCuentas!$A$2:$A$6092,[1]PlanCuentas!W$2:W$6092)</f>
        <v>0</v>
      </c>
      <c r="P323" s="12">
        <f>LOOKUP(405012000,[1]PlanCuentas!$A$2:$A$6092,[1]PlanCuentas!W$2:W$6092)</f>
        <v>0</v>
      </c>
      <c r="Q323" s="35">
        <f t="shared" si="14"/>
        <v>0</v>
      </c>
    </row>
    <row r="324" spans="1:17" x14ac:dyDescent="0.2">
      <c r="A324" s="10">
        <v>22</v>
      </c>
      <c r="B324" s="11" t="str">
        <f>[1]Aseguradoras!B23</f>
        <v>Grupo General de Seguros y Reaseguros S.A.</v>
      </c>
      <c r="C324" s="12">
        <f>LOOKUP(405010100,[1]PlanCuentas!$A$2:$A$6092,[1]PlanCuentas!X$2:X$6092)</f>
        <v>27132</v>
      </c>
      <c r="D324" s="12">
        <f>LOOKUP(405010200,[1]PlanCuentas!$A$2:$A$6092,[1]PlanCuentas!X$2:X$6092)</f>
        <v>0</v>
      </c>
      <c r="E324" s="12">
        <f>LOOKUP(405010300,[1]PlanCuentas!$A$2:$A$6092,[1]PlanCuentas!X$2:X$6092)</f>
        <v>0</v>
      </c>
      <c r="F324" s="12">
        <f>LOOKUP(405010400,[1]PlanCuentas!$A$2:$A$6092,[1]PlanCuentas!X$2:X$6092)</f>
        <v>1767254</v>
      </c>
      <c r="G324" s="12">
        <f>LOOKUP(405010500,[1]PlanCuentas!$A$2:$A$6092,[1]PlanCuentas!X$2:X$6092)</f>
        <v>0</v>
      </c>
      <c r="H324" s="12">
        <f>LOOKUP(405010600,[1]PlanCuentas!$A$2:$A$6092,[1]PlanCuentas!X$2:X$6092)</f>
        <v>254938</v>
      </c>
      <c r="I324" s="12">
        <f>LOOKUP(405010700,[1]PlanCuentas!$A$2:$A$6092,[1]PlanCuentas!X$2:X$6092)</f>
        <v>0</v>
      </c>
      <c r="J324" s="12">
        <f>LOOKUP(405010800,[1]PlanCuentas!$A$2:$A$6092,[1]PlanCuentas!X$2:X$6092)</f>
        <v>0</v>
      </c>
      <c r="K324" s="12">
        <f>LOOKUP(405010900,[1]PlanCuentas!$A$2:$A$6092,[1]PlanCuentas!X$2:X$6092)</f>
        <v>0</v>
      </c>
      <c r="L324" s="12">
        <f>LOOKUP(405011000,[1]PlanCuentas!$A$2:$A$6092,[1]PlanCuentas!X$2:X$6092)</f>
        <v>0</v>
      </c>
      <c r="M324" s="12">
        <f>LOOKUP(405011100,[1]PlanCuentas!$A$2:$A$6092,[1]PlanCuentas!X$2:X$6092)</f>
        <v>0</v>
      </c>
      <c r="N324" s="12">
        <f>LOOKUP(405011200,[1]PlanCuentas!$A$2:$A$6092,[1]PlanCuentas!X$2:X$6092)</f>
        <v>0</v>
      </c>
      <c r="O324" s="12">
        <f>LOOKUP(405011300,[1]PlanCuentas!$A$2:$A$6092,[1]PlanCuentas!X$2:X$6092)</f>
        <v>4423</v>
      </c>
      <c r="P324" s="12">
        <f>LOOKUP(405012000,[1]PlanCuentas!$A$2:$A$6092,[1]PlanCuentas!X$2:X$6092)</f>
        <v>0</v>
      </c>
      <c r="Q324" s="35">
        <f t="shared" si="14"/>
        <v>2053747</v>
      </c>
    </row>
    <row r="325" spans="1:17" x14ac:dyDescent="0.2">
      <c r="A325" s="10">
        <v>23</v>
      </c>
      <c r="B325" s="11" t="str">
        <f>[1]Aseguradoras!B24</f>
        <v>Alfa S.A de Seguros y Reaseguros</v>
      </c>
      <c r="C325" s="12">
        <f>LOOKUP(405010100,[1]PlanCuentas!$A$2:$A$6092,[1]PlanCuentas!Y$2:Y$6092)</f>
        <v>0</v>
      </c>
      <c r="D325" s="12">
        <f>LOOKUP(405010200,[1]PlanCuentas!$A$2:$A$6092,[1]PlanCuentas!Y$2:Y$6092)</f>
        <v>0</v>
      </c>
      <c r="E325" s="12">
        <f>LOOKUP(405010300,[1]PlanCuentas!$A$2:$A$6092,[1]PlanCuentas!Y$2:Y$6092)</f>
        <v>0</v>
      </c>
      <c r="F325" s="12">
        <f>LOOKUP(405010400,[1]PlanCuentas!$A$2:$A$6092,[1]PlanCuentas!Y$2:Y$6092)</f>
        <v>0</v>
      </c>
      <c r="G325" s="12">
        <f>LOOKUP(405010500,[1]PlanCuentas!$A$2:$A$6092,[1]PlanCuentas!Y$2:Y$6092)</f>
        <v>0</v>
      </c>
      <c r="H325" s="12">
        <f>LOOKUP(405010600,[1]PlanCuentas!$A$2:$A$6092,[1]PlanCuentas!Y$2:Y$6092)</f>
        <v>0</v>
      </c>
      <c r="I325" s="12">
        <f>LOOKUP(405010700,[1]PlanCuentas!$A$2:$A$6092,[1]PlanCuentas!Y$2:Y$6092)</f>
        <v>0</v>
      </c>
      <c r="J325" s="12">
        <f>LOOKUP(405010800,[1]PlanCuentas!$A$2:$A$6092,[1]PlanCuentas!Y$2:Y$6092)</f>
        <v>0</v>
      </c>
      <c r="K325" s="12">
        <f>LOOKUP(405010900,[1]PlanCuentas!$A$2:$A$6092,[1]PlanCuentas!Y$2:Y$6092)</f>
        <v>0</v>
      </c>
      <c r="L325" s="12">
        <f>LOOKUP(405011000,[1]PlanCuentas!$A$2:$A$6092,[1]PlanCuentas!Y$2:Y$6092)</f>
        <v>0</v>
      </c>
      <c r="M325" s="12">
        <f>LOOKUP(405011100,[1]PlanCuentas!$A$2:$A$6092,[1]PlanCuentas!Y$2:Y$6092)</f>
        <v>0</v>
      </c>
      <c r="N325" s="12">
        <f>LOOKUP(405011200,[1]PlanCuentas!$A$2:$A$6092,[1]PlanCuentas!Y$2:Y$6092)</f>
        <v>0</v>
      </c>
      <c r="O325" s="12">
        <f>LOOKUP(405011300,[1]PlanCuentas!$A$2:$A$6092,[1]PlanCuentas!Y$2:Y$6092)</f>
        <v>0</v>
      </c>
      <c r="P325" s="12">
        <f>LOOKUP(405012000,[1]PlanCuentas!$A$2:$A$6092,[1]PlanCuentas!Y$2:Y$6092)</f>
        <v>0</v>
      </c>
      <c r="Q325" s="35">
        <f t="shared" si="14"/>
        <v>0</v>
      </c>
    </row>
    <row r="326" spans="1:17" x14ac:dyDescent="0.2">
      <c r="A326" s="10">
        <v>24</v>
      </c>
      <c r="B326" s="11" t="str">
        <f>[1]Aseguradoras!B25</f>
        <v>Cenit de Seguros S.A.</v>
      </c>
      <c r="C326" s="12">
        <f>LOOKUP(405010100,[1]PlanCuentas!$A$2:$A$6092,[1]PlanCuentas!Z$2:Z$6092)</f>
        <v>0</v>
      </c>
      <c r="D326" s="12">
        <f>LOOKUP(405010200,[1]PlanCuentas!$A$2:$A$6092,[1]PlanCuentas!Z$2:Z$6092)</f>
        <v>0</v>
      </c>
      <c r="E326" s="12">
        <f>LOOKUP(405010300,[1]PlanCuentas!$A$2:$A$6092,[1]PlanCuentas!Z$2:Z$6092)</f>
        <v>0</v>
      </c>
      <c r="F326" s="12">
        <f>LOOKUP(405010400,[1]PlanCuentas!$A$2:$A$6092,[1]PlanCuentas!Z$2:Z$6092)</f>
        <v>0</v>
      </c>
      <c r="G326" s="12">
        <f>LOOKUP(405010500,[1]PlanCuentas!$A$2:$A$6092,[1]PlanCuentas!Z$2:Z$6092)</f>
        <v>0</v>
      </c>
      <c r="H326" s="12">
        <f>LOOKUP(405010600,[1]PlanCuentas!$A$2:$A$6092,[1]PlanCuentas!Z$2:Z$6092)</f>
        <v>0</v>
      </c>
      <c r="I326" s="12">
        <f>LOOKUP(405010700,[1]PlanCuentas!$A$2:$A$6092,[1]PlanCuentas!Z$2:Z$6092)</f>
        <v>0</v>
      </c>
      <c r="J326" s="12">
        <f>LOOKUP(405010800,[1]PlanCuentas!$A$2:$A$6092,[1]PlanCuentas!Z$2:Z$6092)</f>
        <v>0</v>
      </c>
      <c r="K326" s="12">
        <f>LOOKUP(405010900,[1]PlanCuentas!$A$2:$A$6092,[1]PlanCuentas!Z$2:Z$6092)</f>
        <v>0</v>
      </c>
      <c r="L326" s="12">
        <f>LOOKUP(405011000,[1]PlanCuentas!$A$2:$A$6092,[1]PlanCuentas!Z$2:Z$6092)</f>
        <v>0</v>
      </c>
      <c r="M326" s="12">
        <f>LOOKUP(405011100,[1]PlanCuentas!$A$2:$A$6092,[1]PlanCuentas!Z$2:Z$6092)</f>
        <v>0</v>
      </c>
      <c r="N326" s="12">
        <f>LOOKUP(405011200,[1]PlanCuentas!$A$2:$A$6092,[1]PlanCuentas!Z$2:Z$6092)</f>
        <v>0</v>
      </c>
      <c r="O326" s="12">
        <f>LOOKUP(405011300,[1]PlanCuentas!$A$2:$A$6092,[1]PlanCuentas!Z$2:Z$6092)</f>
        <v>0</v>
      </c>
      <c r="P326" s="12">
        <f>LOOKUP(405012000,[1]PlanCuentas!$A$2:$A$6092,[1]PlanCuentas!Z$2:Z$6092)</f>
        <v>0</v>
      </c>
      <c r="Q326" s="35">
        <f t="shared" si="14"/>
        <v>0</v>
      </c>
    </row>
    <row r="327" spans="1:17" x14ac:dyDescent="0.2">
      <c r="A327" s="10">
        <v>25</v>
      </c>
      <c r="B327" s="11" t="str">
        <f>[1]Aseguradoras!B26</f>
        <v>La Meridional Paraguaya S.A de Seguros</v>
      </c>
      <c r="C327" s="12">
        <f>LOOKUP(405010100,[1]PlanCuentas!$A$2:$A$6092,[1]PlanCuentas!AA$2:AA$6092)</f>
        <v>0</v>
      </c>
      <c r="D327" s="12">
        <f>LOOKUP(405010200,[1]PlanCuentas!$A$2:$A$6092,[1]PlanCuentas!AA$2:AA$6092)</f>
        <v>0</v>
      </c>
      <c r="E327" s="12">
        <f>LOOKUP(405010300,[1]PlanCuentas!$A$2:$A$6092,[1]PlanCuentas!AA$2:AA$6092)</f>
        <v>0</v>
      </c>
      <c r="F327" s="12">
        <f>LOOKUP(405010400,[1]PlanCuentas!$A$2:$A$6092,[1]PlanCuentas!AA$2:AA$6092)</f>
        <v>0</v>
      </c>
      <c r="G327" s="12">
        <f>LOOKUP(405010500,[1]PlanCuentas!$A$2:$A$6092,[1]PlanCuentas!AA$2:AA$6092)</f>
        <v>0</v>
      </c>
      <c r="H327" s="12">
        <f>LOOKUP(405010600,[1]PlanCuentas!$A$2:$A$6092,[1]PlanCuentas!AA$2:AA$6092)</f>
        <v>0</v>
      </c>
      <c r="I327" s="12">
        <f>LOOKUP(405010700,[1]PlanCuentas!$A$2:$A$6092,[1]PlanCuentas!AA$2:AA$6092)</f>
        <v>0</v>
      </c>
      <c r="J327" s="12">
        <f>LOOKUP(405010800,[1]PlanCuentas!$A$2:$A$6092,[1]PlanCuentas!AA$2:AA$6092)</f>
        <v>0</v>
      </c>
      <c r="K327" s="12">
        <f>LOOKUP(405010900,[1]PlanCuentas!$A$2:$A$6092,[1]PlanCuentas!AA$2:AA$6092)</f>
        <v>0</v>
      </c>
      <c r="L327" s="12">
        <f>LOOKUP(405011000,[1]PlanCuentas!$A$2:$A$6092,[1]PlanCuentas!AA$2:AA$6092)</f>
        <v>0</v>
      </c>
      <c r="M327" s="12">
        <f>LOOKUP(405011100,[1]PlanCuentas!$A$2:$A$6092,[1]PlanCuentas!AA$2:AA$6092)</f>
        <v>0</v>
      </c>
      <c r="N327" s="12">
        <f>LOOKUP(405011200,[1]PlanCuentas!$A$2:$A$6092,[1]PlanCuentas!AA$2:AA$6092)</f>
        <v>0</v>
      </c>
      <c r="O327" s="12">
        <f>LOOKUP(405011300,[1]PlanCuentas!$A$2:$A$6092,[1]PlanCuentas!AA$2:AA$6092)</f>
        <v>0</v>
      </c>
      <c r="P327" s="12">
        <f>LOOKUP(405012000,[1]PlanCuentas!$A$2:$A$6092,[1]PlanCuentas!AA$2:AA$6092)</f>
        <v>0</v>
      </c>
      <c r="Q327" s="35">
        <f t="shared" si="14"/>
        <v>0</v>
      </c>
    </row>
    <row r="328" spans="1:17" x14ac:dyDescent="0.2">
      <c r="A328" s="10">
        <v>26</v>
      </c>
      <c r="B328" s="11" t="str">
        <f>[1]Aseguradoras!B27</f>
        <v>Aseguradora Del Este S.A de Seguros y Reaseguros</v>
      </c>
      <c r="C328" s="12">
        <f>LOOKUP(405010100,[1]PlanCuentas!$A$2:$A$6092,[1]PlanCuentas!AB$2:AB$6092)</f>
        <v>0</v>
      </c>
      <c r="D328" s="12">
        <f>LOOKUP(405010200,[1]PlanCuentas!$A$2:$A$6092,[1]PlanCuentas!AB$2:AB$6092)</f>
        <v>0</v>
      </c>
      <c r="E328" s="12">
        <f>LOOKUP(405010300,[1]PlanCuentas!$A$2:$A$6092,[1]PlanCuentas!AB$2:AB$6092)</f>
        <v>0</v>
      </c>
      <c r="F328" s="12">
        <f>LOOKUP(405010400,[1]PlanCuentas!$A$2:$A$6092,[1]PlanCuentas!AB$2:AB$6092)</f>
        <v>3391277</v>
      </c>
      <c r="G328" s="12">
        <f>LOOKUP(405010500,[1]PlanCuentas!$A$2:$A$6092,[1]PlanCuentas!AB$2:AB$6092)</f>
        <v>0</v>
      </c>
      <c r="H328" s="12">
        <f>LOOKUP(405010600,[1]PlanCuentas!$A$2:$A$6092,[1]PlanCuentas!AB$2:AB$6092)</f>
        <v>0</v>
      </c>
      <c r="I328" s="12">
        <f>LOOKUP(405010700,[1]PlanCuentas!$A$2:$A$6092,[1]PlanCuentas!AB$2:AB$6092)</f>
        <v>0</v>
      </c>
      <c r="J328" s="12">
        <f>LOOKUP(405010800,[1]PlanCuentas!$A$2:$A$6092,[1]PlanCuentas!AB$2:AB$6092)</f>
        <v>0</v>
      </c>
      <c r="K328" s="12">
        <f>LOOKUP(405010900,[1]PlanCuentas!$A$2:$A$6092,[1]PlanCuentas!AB$2:AB$6092)</f>
        <v>0</v>
      </c>
      <c r="L328" s="12">
        <f>LOOKUP(405011000,[1]PlanCuentas!$A$2:$A$6092,[1]PlanCuentas!AB$2:AB$6092)</f>
        <v>0</v>
      </c>
      <c r="M328" s="12">
        <f>LOOKUP(405011100,[1]PlanCuentas!$A$2:$A$6092,[1]PlanCuentas!AB$2:AB$6092)</f>
        <v>0</v>
      </c>
      <c r="N328" s="12">
        <f>LOOKUP(405011200,[1]PlanCuentas!$A$2:$A$6092,[1]PlanCuentas!AB$2:AB$6092)</f>
        <v>0</v>
      </c>
      <c r="O328" s="12">
        <f>LOOKUP(405011300,[1]PlanCuentas!$A$2:$A$6092,[1]PlanCuentas!AB$2:AB$6092)</f>
        <v>0</v>
      </c>
      <c r="P328" s="12">
        <f>LOOKUP(405012000,[1]PlanCuentas!$A$2:$A$6092,[1]PlanCuentas!AB$2:AB$6092)</f>
        <v>0</v>
      </c>
      <c r="Q328" s="35">
        <f t="shared" si="14"/>
        <v>3391277</v>
      </c>
    </row>
    <row r="329" spans="1:17" x14ac:dyDescent="0.2">
      <c r="A329" s="10">
        <v>27</v>
      </c>
      <c r="B329" s="11" t="str">
        <f>[1]Aseguradoras!B28</f>
        <v>Imperio S.A de Seguros y Reaseguros</v>
      </c>
      <c r="C329" s="12">
        <f>LOOKUP(405010100,[1]PlanCuentas!$A$2:$A$6092,[1]PlanCuentas!AC$2:AC$6092)</f>
        <v>0</v>
      </c>
      <c r="D329" s="12">
        <f>LOOKUP(405010200,[1]PlanCuentas!$A$2:$A$6092,[1]PlanCuentas!AC$2:AC$6092)</f>
        <v>0</v>
      </c>
      <c r="E329" s="12">
        <f>LOOKUP(405010300,[1]PlanCuentas!$A$2:$A$6092,[1]PlanCuentas!AC$2:AC$6092)</f>
        <v>0</v>
      </c>
      <c r="F329" s="12">
        <f>LOOKUP(405010400,[1]PlanCuentas!$A$2:$A$6092,[1]PlanCuentas!AC$2:AC$6092)</f>
        <v>0</v>
      </c>
      <c r="G329" s="12">
        <f>LOOKUP(405010500,[1]PlanCuentas!$A$2:$A$6092,[1]PlanCuentas!AC$2:AC$6092)</f>
        <v>0</v>
      </c>
      <c r="H329" s="12">
        <f>LOOKUP(405010600,[1]PlanCuentas!$A$2:$A$6092,[1]PlanCuentas!AC$2:AC$6092)</f>
        <v>0</v>
      </c>
      <c r="I329" s="12">
        <f>LOOKUP(405010700,[1]PlanCuentas!$A$2:$A$6092,[1]PlanCuentas!AC$2:AC$6092)</f>
        <v>0</v>
      </c>
      <c r="J329" s="12">
        <f>LOOKUP(405010800,[1]PlanCuentas!$A$2:$A$6092,[1]PlanCuentas!AC$2:AC$6092)</f>
        <v>0</v>
      </c>
      <c r="K329" s="12">
        <f>LOOKUP(405010900,[1]PlanCuentas!$A$2:$A$6092,[1]PlanCuentas!AC$2:AC$6092)</f>
        <v>0</v>
      </c>
      <c r="L329" s="12">
        <f>LOOKUP(405011000,[1]PlanCuentas!$A$2:$A$6092,[1]PlanCuentas!AC$2:AC$6092)</f>
        <v>0</v>
      </c>
      <c r="M329" s="12">
        <f>LOOKUP(405011100,[1]PlanCuentas!$A$2:$A$6092,[1]PlanCuentas!AC$2:AC$6092)</f>
        <v>0</v>
      </c>
      <c r="N329" s="12">
        <f>LOOKUP(405011200,[1]PlanCuentas!$A$2:$A$6092,[1]PlanCuentas!AC$2:AC$6092)</f>
        <v>0</v>
      </c>
      <c r="O329" s="12">
        <f>LOOKUP(405011300,[1]PlanCuentas!$A$2:$A$6092,[1]PlanCuentas!AC$2:AC$6092)</f>
        <v>0</v>
      </c>
      <c r="P329" s="12">
        <f>LOOKUP(405012000,[1]PlanCuentas!$A$2:$A$6092,[1]PlanCuentas!AC$2:AC$6092)</f>
        <v>0</v>
      </c>
      <c r="Q329" s="35">
        <f t="shared" si="14"/>
        <v>0</v>
      </c>
    </row>
    <row r="330" spans="1:17" x14ac:dyDescent="0.2">
      <c r="A330" s="10">
        <v>28</v>
      </c>
      <c r="B330" s="11" t="str">
        <f>[1]Aseguradoras!B29</f>
        <v>Regional S.A de Seguros y Reaseguros</v>
      </c>
      <c r="C330" s="12">
        <f>LOOKUP(405010100,[1]PlanCuentas!$A$2:$A$6092,[1]PlanCuentas!AD$2:AD$6092)</f>
        <v>0</v>
      </c>
      <c r="D330" s="12">
        <f>LOOKUP(405010200,[1]PlanCuentas!$A$2:$A$6092,[1]PlanCuentas!AD$2:AD$6092)</f>
        <v>0</v>
      </c>
      <c r="E330" s="12">
        <f>LOOKUP(405010300,[1]PlanCuentas!$A$2:$A$6092,[1]PlanCuentas!AD$2:AD$6092)</f>
        <v>0</v>
      </c>
      <c r="F330" s="12">
        <f>LOOKUP(405010400,[1]PlanCuentas!$A$2:$A$6092,[1]PlanCuentas!AD$2:AD$6092)</f>
        <v>0</v>
      </c>
      <c r="G330" s="12">
        <f>LOOKUP(405010500,[1]PlanCuentas!$A$2:$A$6092,[1]PlanCuentas!AD$2:AD$6092)</f>
        <v>0</v>
      </c>
      <c r="H330" s="12">
        <f>LOOKUP(405010600,[1]PlanCuentas!$A$2:$A$6092,[1]PlanCuentas!AD$2:AD$6092)</f>
        <v>0</v>
      </c>
      <c r="I330" s="12">
        <f>LOOKUP(405010700,[1]PlanCuentas!$A$2:$A$6092,[1]PlanCuentas!AD$2:AD$6092)</f>
        <v>0</v>
      </c>
      <c r="J330" s="12">
        <f>LOOKUP(405010800,[1]PlanCuentas!$A$2:$A$6092,[1]PlanCuentas!AD$2:AD$6092)</f>
        <v>0</v>
      </c>
      <c r="K330" s="12">
        <f>LOOKUP(405010900,[1]PlanCuentas!$A$2:$A$6092,[1]PlanCuentas!AD$2:AD$6092)</f>
        <v>0</v>
      </c>
      <c r="L330" s="12">
        <f>LOOKUP(405011000,[1]PlanCuentas!$A$2:$A$6092,[1]PlanCuentas!AD$2:AD$6092)</f>
        <v>0</v>
      </c>
      <c r="M330" s="12">
        <f>LOOKUP(405011100,[1]PlanCuentas!$A$2:$A$6092,[1]PlanCuentas!AD$2:AD$6092)</f>
        <v>0</v>
      </c>
      <c r="N330" s="12">
        <f>LOOKUP(405011200,[1]PlanCuentas!$A$2:$A$6092,[1]PlanCuentas!AD$2:AD$6092)</f>
        <v>0</v>
      </c>
      <c r="O330" s="12">
        <f>LOOKUP(405011300,[1]PlanCuentas!$A$2:$A$6092,[1]PlanCuentas!AD$2:AD$6092)</f>
        <v>0</v>
      </c>
      <c r="P330" s="12">
        <f>LOOKUP(405012000,[1]PlanCuentas!$A$2:$A$6092,[1]PlanCuentas!AD$2:AD$6092)</f>
        <v>0</v>
      </c>
      <c r="Q330" s="35">
        <f t="shared" si="14"/>
        <v>0</v>
      </c>
    </row>
    <row r="331" spans="1:17" x14ac:dyDescent="0.2">
      <c r="A331" s="10">
        <v>29</v>
      </c>
      <c r="B331" s="11" t="str">
        <f>[1]Aseguradoras!B30</f>
        <v>Mapfre Paraguay Compañía de Seguros S.A.</v>
      </c>
      <c r="C331" s="12">
        <f>LOOKUP(405010100,[1]PlanCuentas!$A$2:$A$6092,[1]PlanCuentas!AE$2:AE$6092)</f>
        <v>0</v>
      </c>
      <c r="D331" s="12">
        <f>LOOKUP(405010200,[1]PlanCuentas!$A$2:$A$6092,[1]PlanCuentas!AE$2:AE$6092)</f>
        <v>0</v>
      </c>
      <c r="E331" s="12">
        <f>LOOKUP(405010300,[1]PlanCuentas!$A$2:$A$6092,[1]PlanCuentas!AE$2:AE$6092)</f>
        <v>0</v>
      </c>
      <c r="F331" s="12">
        <f>LOOKUP(405010400,[1]PlanCuentas!$A$2:$A$6092,[1]PlanCuentas!AE$2:AE$6092)</f>
        <v>0</v>
      </c>
      <c r="G331" s="12">
        <f>LOOKUP(405010500,[1]PlanCuentas!$A$2:$A$6092,[1]PlanCuentas!AE$2:AE$6092)</f>
        <v>0</v>
      </c>
      <c r="H331" s="12">
        <f>LOOKUP(405010600,[1]PlanCuentas!$A$2:$A$6092,[1]PlanCuentas!AE$2:AE$6092)</f>
        <v>0</v>
      </c>
      <c r="I331" s="12">
        <f>LOOKUP(405010700,[1]PlanCuentas!$A$2:$A$6092,[1]PlanCuentas!AE$2:AE$6092)</f>
        <v>0</v>
      </c>
      <c r="J331" s="12">
        <f>LOOKUP(405010800,[1]PlanCuentas!$A$2:$A$6092,[1]PlanCuentas!AE$2:AE$6092)</f>
        <v>0</v>
      </c>
      <c r="K331" s="12">
        <f>LOOKUP(405010900,[1]PlanCuentas!$A$2:$A$6092,[1]PlanCuentas!AE$2:AE$6092)</f>
        <v>0</v>
      </c>
      <c r="L331" s="12">
        <f>LOOKUP(405011000,[1]PlanCuentas!$A$2:$A$6092,[1]PlanCuentas!AE$2:AE$6092)</f>
        <v>0</v>
      </c>
      <c r="M331" s="12">
        <f>LOOKUP(405011100,[1]PlanCuentas!$A$2:$A$6092,[1]PlanCuentas!AE$2:AE$6092)</f>
        <v>0</v>
      </c>
      <c r="N331" s="12">
        <f>LOOKUP(405011200,[1]PlanCuentas!$A$2:$A$6092,[1]PlanCuentas!AE$2:AE$6092)</f>
        <v>0</v>
      </c>
      <c r="O331" s="12">
        <f>LOOKUP(405011300,[1]PlanCuentas!$A$2:$A$6092,[1]PlanCuentas!AE$2:AE$6092)</f>
        <v>0</v>
      </c>
      <c r="P331" s="12">
        <f>LOOKUP(405012000,[1]PlanCuentas!$A$2:$A$6092,[1]PlanCuentas!AE$2:AE$6092)</f>
        <v>0</v>
      </c>
      <c r="Q331" s="35">
        <f t="shared" si="14"/>
        <v>0</v>
      </c>
    </row>
    <row r="332" spans="1:17" x14ac:dyDescent="0.2">
      <c r="A332" s="10">
        <v>30</v>
      </c>
      <c r="B332" s="11" t="str">
        <f>[1]Aseguradoras!B31</f>
        <v>Aseguradora Tajy Propiedad Cooperativa S.A. de Seguros</v>
      </c>
      <c r="C332" s="12">
        <f>LOOKUP(405010100,[1]PlanCuentas!$A$2:$A$6092,[1]PlanCuentas!AF$2:AF$6092)</f>
        <v>0</v>
      </c>
      <c r="D332" s="12">
        <f>LOOKUP(405010200,[1]PlanCuentas!$A$2:$A$6092,[1]PlanCuentas!AF$2:AF$6092)</f>
        <v>0</v>
      </c>
      <c r="E332" s="12">
        <f>LOOKUP(405010300,[1]PlanCuentas!$A$2:$A$6092,[1]PlanCuentas!AF$2:AF$6092)</f>
        <v>0</v>
      </c>
      <c r="F332" s="12">
        <f>LOOKUP(405010400,[1]PlanCuentas!$A$2:$A$6092,[1]PlanCuentas!AF$2:AF$6092)</f>
        <v>0</v>
      </c>
      <c r="G332" s="12">
        <f>LOOKUP(405010500,[1]PlanCuentas!$A$2:$A$6092,[1]PlanCuentas!AF$2:AF$6092)</f>
        <v>0</v>
      </c>
      <c r="H332" s="12">
        <f>LOOKUP(405010600,[1]PlanCuentas!$A$2:$A$6092,[1]PlanCuentas!AF$2:AF$6092)</f>
        <v>0</v>
      </c>
      <c r="I332" s="12">
        <f>LOOKUP(405010700,[1]PlanCuentas!$A$2:$A$6092,[1]PlanCuentas!AF$2:AF$6092)</f>
        <v>0</v>
      </c>
      <c r="J332" s="12">
        <f>LOOKUP(405010800,[1]PlanCuentas!$A$2:$A$6092,[1]PlanCuentas!AF$2:AF$6092)</f>
        <v>0</v>
      </c>
      <c r="K332" s="12">
        <f>LOOKUP(405010900,[1]PlanCuentas!$A$2:$A$6092,[1]PlanCuentas!AF$2:AF$6092)</f>
        <v>0</v>
      </c>
      <c r="L332" s="12">
        <f>LOOKUP(405011000,[1]PlanCuentas!$A$2:$A$6092,[1]PlanCuentas!AF$2:AF$6092)</f>
        <v>0</v>
      </c>
      <c r="M332" s="12">
        <f>LOOKUP(405011100,[1]PlanCuentas!$A$2:$A$6092,[1]PlanCuentas!AF$2:AF$6092)</f>
        <v>0</v>
      </c>
      <c r="N332" s="12">
        <f>LOOKUP(405011200,[1]PlanCuentas!$A$2:$A$6092,[1]PlanCuentas!AF$2:AF$6092)</f>
        <v>0</v>
      </c>
      <c r="O332" s="12">
        <f>LOOKUP(405011300,[1]PlanCuentas!$A$2:$A$6092,[1]PlanCuentas!AF$2:AF$6092)</f>
        <v>0</v>
      </c>
      <c r="P332" s="12">
        <f>LOOKUP(405012000,[1]PlanCuentas!$A$2:$A$6092,[1]PlanCuentas!AF$2:AF$6092)</f>
        <v>0</v>
      </c>
      <c r="Q332" s="35">
        <f t="shared" si="14"/>
        <v>0</v>
      </c>
    </row>
    <row r="333" spans="1:17" x14ac:dyDescent="0.2">
      <c r="A333" s="10">
        <v>31</v>
      </c>
      <c r="B333" s="11" t="str">
        <f>[1]Aseguradoras!B32</f>
        <v>Aseguradora del Sur S.A. Seguros Generales - ASUR</v>
      </c>
      <c r="C333" s="12">
        <f>LOOKUP(405010100,[1]PlanCuentas!$A$2:$A$6092,[1]PlanCuentas!AG$2:AG$6092)</f>
        <v>0</v>
      </c>
      <c r="D333" s="12">
        <f>LOOKUP(405010200,[1]PlanCuentas!$A$2:$A$6092,[1]PlanCuentas!AG$2:AG$6092)</f>
        <v>0</v>
      </c>
      <c r="E333" s="12">
        <f>LOOKUP(405010300,[1]PlanCuentas!$A$2:$A$6092,[1]PlanCuentas!AG$2:AG$6092)</f>
        <v>0</v>
      </c>
      <c r="F333" s="12">
        <f>LOOKUP(405010400,[1]PlanCuentas!$A$2:$A$6092,[1]PlanCuentas!AG$2:AG$6092)</f>
        <v>0</v>
      </c>
      <c r="G333" s="12">
        <f>LOOKUP(405010500,[1]PlanCuentas!$A$2:$A$6092,[1]PlanCuentas!AG$2:AG$6092)</f>
        <v>0</v>
      </c>
      <c r="H333" s="12">
        <f>LOOKUP(405010600,[1]PlanCuentas!$A$2:$A$6092,[1]PlanCuentas!AG$2:AG$6092)</f>
        <v>0</v>
      </c>
      <c r="I333" s="12">
        <f>LOOKUP(405010700,[1]PlanCuentas!$A$2:$A$6092,[1]PlanCuentas!AG$2:AG$6092)</f>
        <v>0</v>
      </c>
      <c r="J333" s="12">
        <f>LOOKUP(405010800,[1]PlanCuentas!$A$2:$A$6092,[1]PlanCuentas!AG$2:AG$6092)</f>
        <v>0</v>
      </c>
      <c r="K333" s="12">
        <f>LOOKUP(405010900,[1]PlanCuentas!$A$2:$A$6092,[1]PlanCuentas!AG$2:AG$6092)</f>
        <v>0</v>
      </c>
      <c r="L333" s="12">
        <f>LOOKUP(405011000,[1]PlanCuentas!$A$2:$A$6092,[1]PlanCuentas!AG$2:AG$6092)</f>
        <v>0</v>
      </c>
      <c r="M333" s="12">
        <f>LOOKUP(405011100,[1]PlanCuentas!$A$2:$A$6092,[1]PlanCuentas!AG$2:AG$6092)</f>
        <v>0</v>
      </c>
      <c r="N333" s="12">
        <f>LOOKUP(405011200,[1]PlanCuentas!$A$2:$A$6092,[1]PlanCuentas!AG$2:AG$6092)</f>
        <v>0</v>
      </c>
      <c r="O333" s="12">
        <f>LOOKUP(405011300,[1]PlanCuentas!$A$2:$A$6092,[1]PlanCuentas!AG$2:AG$6092)</f>
        <v>0</v>
      </c>
      <c r="P333" s="12">
        <f>LOOKUP(405012000,[1]PlanCuentas!$A$2:$A$6092,[1]PlanCuentas!AG$2:AG$6092)</f>
        <v>0</v>
      </c>
      <c r="Q333" s="35">
        <f t="shared" si="14"/>
        <v>0</v>
      </c>
    </row>
    <row r="334" spans="1:17" x14ac:dyDescent="0.2">
      <c r="A334" s="10">
        <v>32</v>
      </c>
      <c r="B334" s="11" t="str">
        <f>[1]Aseguradoras!B33</f>
        <v>Panal Compañía De Seguros Generales S.A.</v>
      </c>
      <c r="C334" s="12">
        <f>LOOKUP(405010100,[1]PlanCuentas!$A$2:$A$6092,[1]PlanCuentas!AH$2:AH$6092)</f>
        <v>58419</v>
      </c>
      <c r="D334" s="12">
        <f>LOOKUP(405010200,[1]PlanCuentas!$A$2:$A$6092,[1]PlanCuentas!AH$2:AH$6092)</f>
        <v>149017</v>
      </c>
      <c r="E334" s="12">
        <f>LOOKUP(405010300,[1]PlanCuentas!$A$2:$A$6092,[1]PlanCuentas!AH$2:AH$6092)</f>
        <v>5648</v>
      </c>
      <c r="F334" s="12">
        <f>LOOKUP(405010400,[1]PlanCuentas!$A$2:$A$6092,[1]PlanCuentas!AH$2:AH$6092)</f>
        <v>4525277</v>
      </c>
      <c r="G334" s="12">
        <f>LOOKUP(405010500,[1]PlanCuentas!$A$2:$A$6092,[1]PlanCuentas!AH$2:AH$6092)</f>
        <v>0</v>
      </c>
      <c r="H334" s="12">
        <f>LOOKUP(405010600,[1]PlanCuentas!$A$2:$A$6092,[1]PlanCuentas!AH$2:AH$6092)</f>
        <v>18353</v>
      </c>
      <c r="I334" s="12">
        <f>LOOKUP(405010700,[1]PlanCuentas!$A$2:$A$6092,[1]PlanCuentas!AH$2:AH$6092)</f>
        <v>0</v>
      </c>
      <c r="J334" s="12">
        <f>LOOKUP(405010800,[1]PlanCuentas!$A$2:$A$6092,[1]PlanCuentas!AH$2:AH$6092)</f>
        <v>0</v>
      </c>
      <c r="K334" s="12">
        <f>LOOKUP(405010900,[1]PlanCuentas!$A$2:$A$6092,[1]PlanCuentas!AH$2:AH$6092)</f>
        <v>0</v>
      </c>
      <c r="L334" s="12">
        <f>LOOKUP(405011000,[1]PlanCuentas!$A$2:$A$6092,[1]PlanCuentas!AH$2:AH$6092)</f>
        <v>0</v>
      </c>
      <c r="M334" s="12">
        <f>LOOKUP(405011100,[1]PlanCuentas!$A$2:$A$6092,[1]PlanCuentas!AH$2:AH$6092)</f>
        <v>0</v>
      </c>
      <c r="N334" s="12">
        <f>LOOKUP(405011200,[1]PlanCuentas!$A$2:$A$6092,[1]PlanCuentas!AH$2:AH$6092)</f>
        <v>0</v>
      </c>
      <c r="O334" s="12">
        <f>LOOKUP(405011300,[1]PlanCuentas!$A$2:$A$6092,[1]PlanCuentas!AH$2:AH$6092)</f>
        <v>0</v>
      </c>
      <c r="P334" s="12">
        <f>LOOKUP(405012000,[1]PlanCuentas!$A$2:$A$6092,[1]PlanCuentas!AH$2:AH$6092)</f>
        <v>279689</v>
      </c>
      <c r="Q334" s="35">
        <f t="shared" si="14"/>
        <v>5036403</v>
      </c>
    </row>
    <row r="335" spans="1:17" x14ac:dyDescent="0.2">
      <c r="A335" s="10">
        <v>33</v>
      </c>
      <c r="B335" s="11" t="str">
        <f>[1]Aseguradoras!B34</f>
        <v>Sancor Seguros del Paraguay S.A.</v>
      </c>
      <c r="C335" s="12">
        <f>LOOKUP(405010100,[1]PlanCuentas!$A$2:$A$6092,[1]PlanCuentas!AI$2:AI$6092)</f>
        <v>0</v>
      </c>
      <c r="D335" s="12">
        <f>LOOKUP(405010200,[1]PlanCuentas!$A$2:$A$6092,[1]PlanCuentas!AI$2:AI$6092)</f>
        <v>0</v>
      </c>
      <c r="E335" s="12">
        <f>LOOKUP(405010300,[1]PlanCuentas!$A$2:$A$6092,[1]PlanCuentas!AI$2:AI$6092)</f>
        <v>3409111</v>
      </c>
      <c r="F335" s="12">
        <f>LOOKUP(405010400,[1]PlanCuentas!$A$2:$A$6092,[1]PlanCuentas!AI$2:AI$6092)</f>
        <v>0</v>
      </c>
      <c r="G335" s="12">
        <f>LOOKUP(405010500,[1]PlanCuentas!$A$2:$A$6092,[1]PlanCuentas!AI$2:AI$6092)</f>
        <v>0</v>
      </c>
      <c r="H335" s="12">
        <f>LOOKUP(405010600,[1]PlanCuentas!$A$2:$A$6092,[1]PlanCuentas!AI$2:AI$6092)</f>
        <v>0</v>
      </c>
      <c r="I335" s="12">
        <f>LOOKUP(405010700,[1]PlanCuentas!$A$2:$A$6092,[1]PlanCuentas!AI$2:AI$6092)</f>
        <v>0</v>
      </c>
      <c r="J335" s="12">
        <f>LOOKUP(405010800,[1]PlanCuentas!$A$2:$A$6092,[1]PlanCuentas!AI$2:AI$6092)</f>
        <v>23629233</v>
      </c>
      <c r="K335" s="12">
        <f>LOOKUP(405010900,[1]PlanCuentas!$A$2:$A$6092,[1]PlanCuentas!AI$2:AI$6092)</f>
        <v>319997</v>
      </c>
      <c r="L335" s="12">
        <f>LOOKUP(405011000,[1]PlanCuentas!$A$2:$A$6092,[1]PlanCuentas!AI$2:AI$6092)</f>
        <v>0</v>
      </c>
      <c r="M335" s="12">
        <f>LOOKUP(405011100,[1]PlanCuentas!$A$2:$A$6092,[1]PlanCuentas!AI$2:AI$6092)</f>
        <v>0</v>
      </c>
      <c r="N335" s="12">
        <f>LOOKUP(405011200,[1]PlanCuentas!$A$2:$A$6092,[1]PlanCuentas!AI$2:AI$6092)</f>
        <v>0</v>
      </c>
      <c r="O335" s="12">
        <f>LOOKUP(405011300,[1]PlanCuentas!$A$2:$A$6092,[1]PlanCuentas!AI$2:AI$6092)</f>
        <v>0</v>
      </c>
      <c r="P335" s="12">
        <f>LOOKUP(405012000,[1]PlanCuentas!$A$2:$A$6092,[1]PlanCuentas!AI$2:AI$6092)</f>
        <v>592302</v>
      </c>
      <c r="Q335" s="35">
        <f>SUM(C335:P335)</f>
        <v>27950643</v>
      </c>
    </row>
    <row r="336" spans="1:17" x14ac:dyDescent="0.2">
      <c r="A336" s="14"/>
      <c r="B336" s="15" t="s">
        <v>18</v>
      </c>
      <c r="C336" s="16">
        <f t="shared" ref="C336:Q336" si="15">SUBTOTAL(109,C303:C335)</f>
        <v>279453388</v>
      </c>
      <c r="D336" s="16">
        <f t="shared" si="15"/>
        <v>34769750</v>
      </c>
      <c r="E336" s="16">
        <f t="shared" si="15"/>
        <v>64404403</v>
      </c>
      <c r="F336" s="17">
        <f t="shared" si="15"/>
        <v>72084584</v>
      </c>
      <c r="G336" s="17">
        <f t="shared" si="15"/>
        <v>3411812</v>
      </c>
      <c r="H336" s="17">
        <f t="shared" si="15"/>
        <v>71571347</v>
      </c>
      <c r="I336" s="17">
        <f t="shared" si="15"/>
        <v>1937338</v>
      </c>
      <c r="J336" s="17">
        <f t="shared" si="15"/>
        <v>23629233</v>
      </c>
      <c r="K336" s="17">
        <f t="shared" si="15"/>
        <v>34020581</v>
      </c>
      <c r="L336" s="17">
        <f t="shared" si="15"/>
        <v>83899041</v>
      </c>
      <c r="M336" s="17">
        <f t="shared" si="15"/>
        <v>6125037</v>
      </c>
      <c r="N336" s="17">
        <f t="shared" si="15"/>
        <v>44243557</v>
      </c>
      <c r="O336" s="17">
        <f t="shared" si="15"/>
        <v>139293080</v>
      </c>
      <c r="P336" s="17">
        <f t="shared" si="15"/>
        <v>25690032</v>
      </c>
      <c r="Q336" s="17">
        <f t="shared" si="15"/>
        <v>884533183</v>
      </c>
    </row>
    <row r="337" spans="1:17" x14ac:dyDescent="0.2"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</row>
    <row r="338" spans="1:17" ht="28.35" customHeight="1" x14ac:dyDescent="0.2">
      <c r="A338" s="1" t="s">
        <v>30</v>
      </c>
      <c r="B338" s="47" t="s">
        <v>32</v>
      </c>
      <c r="C338" s="47"/>
      <c r="D338" s="2"/>
      <c r="E338" s="30"/>
      <c r="F338" s="4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</row>
    <row r="339" spans="1:17" ht="24" x14ac:dyDescent="0.2">
      <c r="A339" s="7" t="s">
        <v>2</v>
      </c>
      <c r="B339" s="8" t="s">
        <v>3</v>
      </c>
      <c r="C339" s="9" t="s">
        <v>4</v>
      </c>
      <c r="D339" s="9" t="s">
        <v>5</v>
      </c>
      <c r="E339" s="9" t="s">
        <v>6</v>
      </c>
      <c r="F339" s="9" t="s">
        <v>7</v>
      </c>
      <c r="G339" s="9" t="s">
        <v>8</v>
      </c>
      <c r="H339" s="9" t="s">
        <v>9</v>
      </c>
      <c r="I339" s="9" t="s">
        <v>10</v>
      </c>
      <c r="J339" s="9" t="s">
        <v>11</v>
      </c>
      <c r="K339" s="9" t="s">
        <v>12</v>
      </c>
      <c r="L339" s="9" t="s">
        <v>13</v>
      </c>
      <c r="M339" s="9" t="s">
        <v>14</v>
      </c>
      <c r="N339" s="9" t="s">
        <v>15</v>
      </c>
      <c r="O339" s="9" t="s">
        <v>16</v>
      </c>
      <c r="P339" s="9" t="s">
        <v>17</v>
      </c>
      <c r="Q339" s="8" t="s">
        <v>18</v>
      </c>
    </row>
    <row r="340" spans="1:17" x14ac:dyDescent="0.2">
      <c r="A340" s="10">
        <v>1</v>
      </c>
      <c r="B340" s="11" t="str">
        <f>[1]Aseguradoras!B2</f>
        <v>El Comercio Paraguayo S.A. de Seguros</v>
      </c>
      <c r="C340" s="12">
        <f>LOOKUP(405020100,[1]PlanCuentas!$A$2:$A$6092,[1]PlanCuentas!C$2:C$6092)</f>
        <v>97886960</v>
      </c>
      <c r="D340" s="12">
        <f>LOOKUP(405020200,[1]PlanCuentas!$A$2:$A$6092,[1]PlanCuentas!C$2:C$6092)</f>
        <v>25851819</v>
      </c>
      <c r="E340" s="12">
        <f>LOOKUP(405020300,[1]PlanCuentas!$A$2:$A$6092,[1]PlanCuentas!C$2:C$6092)</f>
        <v>7682503</v>
      </c>
      <c r="F340" s="12">
        <f>LOOKUP(405020400,[1]PlanCuentas!$A$2:$A$6092,[1]PlanCuentas!C$2:C$6092)</f>
        <v>1595447601</v>
      </c>
      <c r="G340" s="12">
        <f>LOOKUP(405020500,[1]PlanCuentas!$A$2:$A$6092,[1]PlanCuentas!C$2:C$6092)</f>
        <v>0</v>
      </c>
      <c r="H340" s="12">
        <f>LOOKUP(405020600,[1]PlanCuentas!$A$2:$A$6092,[1]PlanCuentas!C$2:C$6092)</f>
        <v>14630422</v>
      </c>
      <c r="I340" s="12">
        <f>LOOKUP(405020700,[1]PlanCuentas!$A$2:$A$6092,[1]PlanCuentas!C$2:C$6092)</f>
        <v>994419</v>
      </c>
      <c r="J340" s="12">
        <f>LOOKUP(405020800,[1]PlanCuentas!$A$2:$A$6092,[1]PlanCuentas!C$2:C$6092)</f>
        <v>0</v>
      </c>
      <c r="K340" s="12">
        <f>LOOKUP(405020900,[1]PlanCuentas!$A$2:$A$6092,[1]PlanCuentas!C$2:C$6092)</f>
        <v>11054164</v>
      </c>
      <c r="L340" s="12">
        <f>LOOKUP(405021000,[1]PlanCuentas!$A$2:$A$6092,[1]PlanCuentas!C$2:C$6092)</f>
        <v>137877605</v>
      </c>
      <c r="M340" s="12">
        <f>LOOKUP(405021100,[1]PlanCuentas!$A$2:$A$6092,[1]PlanCuentas!C$2:C$6092)</f>
        <v>4887358</v>
      </c>
      <c r="N340" s="12">
        <f>LOOKUP(405021200,[1]PlanCuentas!$A$2:$A$6092,[1]PlanCuentas!C$2:C$6092)</f>
        <v>50539793</v>
      </c>
      <c r="O340" s="12">
        <f>LOOKUP(405021300,[1]PlanCuentas!$A$2:$A$6092,[1]PlanCuentas!C$2:C$6092)</f>
        <v>39312947</v>
      </c>
      <c r="P340" s="12">
        <f>LOOKUP(405022000,[1]PlanCuentas!$A$2:$A$6092,[1]PlanCuentas!C$2:C$6092)</f>
        <v>0</v>
      </c>
      <c r="Q340" s="13">
        <f t="shared" ref="Q340:Q371" si="16">SUM(C340:P340)</f>
        <v>1986165591</v>
      </c>
    </row>
    <row r="341" spans="1:17" x14ac:dyDescent="0.2">
      <c r="A341" s="10">
        <v>2</v>
      </c>
      <c r="B341" s="11" t="str">
        <f>[1]Aseguradoras!B3</f>
        <v>La Rural S.A de Seguros</v>
      </c>
      <c r="C341" s="12">
        <f>LOOKUP(405020100,[1]PlanCuentas!$A$2:$A$6092,[1]PlanCuentas!D$2:D$6092)</f>
        <v>0</v>
      </c>
      <c r="D341" s="12">
        <f>LOOKUP(405020200,[1]PlanCuentas!$A$2:$A$6092,[1]PlanCuentas!D$2:D$6092)</f>
        <v>0</v>
      </c>
      <c r="E341" s="12">
        <f>LOOKUP(405020300,[1]PlanCuentas!$A$2:$A$6092,[1]PlanCuentas!D$2:D$6092)</f>
        <v>0</v>
      </c>
      <c r="F341" s="12">
        <f>LOOKUP(405020400,[1]PlanCuentas!$A$2:$A$6092,[1]PlanCuentas!D$2:D$6092)</f>
        <v>414913</v>
      </c>
      <c r="G341" s="12">
        <f>LOOKUP(405020500,[1]PlanCuentas!$A$2:$A$6092,[1]PlanCuentas!D$2:D$6092)</f>
        <v>0</v>
      </c>
      <c r="H341" s="12">
        <f>LOOKUP(405020600,[1]PlanCuentas!$A$2:$A$6092,[1]PlanCuentas!D$2:D$6092)</f>
        <v>0</v>
      </c>
      <c r="I341" s="12">
        <f>LOOKUP(405020700,[1]PlanCuentas!$A$2:$A$6092,[1]PlanCuentas!D$2:D$6092)</f>
        <v>0</v>
      </c>
      <c r="J341" s="12">
        <f>LOOKUP(405020800,[1]PlanCuentas!$A$2:$A$6092,[1]PlanCuentas!D$2:D$6092)</f>
        <v>0</v>
      </c>
      <c r="K341" s="12">
        <f>LOOKUP(405020900,[1]PlanCuentas!$A$2:$A$6092,[1]PlanCuentas!D$2:D$6092)</f>
        <v>0</v>
      </c>
      <c r="L341" s="12">
        <f>LOOKUP(405021000,[1]PlanCuentas!$A$2:$A$6092,[1]PlanCuentas!D$2:D$6092)</f>
        <v>0</v>
      </c>
      <c r="M341" s="12">
        <f>LOOKUP(405021100,[1]PlanCuentas!$A$2:$A$6092,[1]PlanCuentas!D$2:D$6092)</f>
        <v>0</v>
      </c>
      <c r="N341" s="12">
        <f>LOOKUP(405021200,[1]PlanCuentas!$A$2:$A$6092,[1]PlanCuentas!D$2:D$6092)</f>
        <v>0</v>
      </c>
      <c r="O341" s="12">
        <f>LOOKUP(405021300,[1]PlanCuentas!$A$2:$A$6092,[1]PlanCuentas!D$2:D$6092)</f>
        <v>0</v>
      </c>
      <c r="P341" s="12">
        <f>LOOKUP(405022000,[1]PlanCuentas!$A$2:$A$6092,[1]PlanCuentas!D$2:D$6092)</f>
        <v>0</v>
      </c>
      <c r="Q341" s="13">
        <f t="shared" si="16"/>
        <v>414913</v>
      </c>
    </row>
    <row r="342" spans="1:17" x14ac:dyDescent="0.2">
      <c r="A342" s="10">
        <v>3</v>
      </c>
      <c r="B342" s="11" t="str">
        <f>[1]Aseguradoras!B4</f>
        <v>La Paraguaya S.A de Seguros</v>
      </c>
      <c r="C342" s="12">
        <f>LOOKUP(405020100,[1]PlanCuentas!$A$2:$A$6092,[1]PlanCuentas!E$2:E$6092)</f>
        <v>15872103</v>
      </c>
      <c r="D342" s="12">
        <f>LOOKUP(405020200,[1]PlanCuentas!$A$2:$A$6092,[1]PlanCuentas!E$2:E$6092)</f>
        <v>1121311</v>
      </c>
      <c r="E342" s="12">
        <f>LOOKUP(405020300,[1]PlanCuentas!$A$2:$A$6092,[1]PlanCuentas!E$2:E$6092)</f>
        <v>2659892</v>
      </c>
      <c r="F342" s="12">
        <f>LOOKUP(405020400,[1]PlanCuentas!$A$2:$A$6092,[1]PlanCuentas!E$2:E$6092)</f>
        <v>45663416</v>
      </c>
      <c r="G342" s="12">
        <f>LOOKUP(405020500,[1]PlanCuentas!$A$2:$A$6092,[1]PlanCuentas!E$2:E$6092)</f>
        <v>0</v>
      </c>
      <c r="H342" s="12">
        <f>LOOKUP(405020600,[1]PlanCuentas!$A$2:$A$6092,[1]PlanCuentas!E$2:E$6092)</f>
        <v>2281132</v>
      </c>
      <c r="I342" s="12">
        <f>LOOKUP(405020700,[1]PlanCuentas!$A$2:$A$6092,[1]PlanCuentas!E$2:E$6092)</f>
        <v>0</v>
      </c>
      <c r="J342" s="12">
        <f>LOOKUP(405020800,[1]PlanCuentas!$A$2:$A$6092,[1]PlanCuentas!E$2:E$6092)</f>
        <v>0</v>
      </c>
      <c r="K342" s="12">
        <f>LOOKUP(405020900,[1]PlanCuentas!$A$2:$A$6092,[1]PlanCuentas!E$2:E$6092)</f>
        <v>201152</v>
      </c>
      <c r="L342" s="12">
        <f>LOOKUP(405021000,[1]PlanCuentas!$A$2:$A$6092,[1]PlanCuentas!E$2:E$6092)</f>
        <v>1020552</v>
      </c>
      <c r="M342" s="12">
        <f>LOOKUP(405021100,[1]PlanCuentas!$A$2:$A$6092,[1]PlanCuentas!E$2:E$6092)</f>
        <v>0</v>
      </c>
      <c r="N342" s="12">
        <f>LOOKUP(405021200,[1]PlanCuentas!$A$2:$A$6092,[1]PlanCuentas!E$2:E$6092)</f>
        <v>414666</v>
      </c>
      <c r="O342" s="12">
        <f>LOOKUP(405021300,[1]PlanCuentas!$A$2:$A$6092,[1]PlanCuentas!E$2:E$6092)</f>
        <v>0</v>
      </c>
      <c r="P342" s="12">
        <f>LOOKUP(405022000,[1]PlanCuentas!$A$2:$A$6092,[1]PlanCuentas!E$2:E$6092)</f>
        <v>0</v>
      </c>
      <c r="Q342" s="13">
        <f t="shared" si="16"/>
        <v>69234224</v>
      </c>
    </row>
    <row r="343" spans="1:17" x14ac:dyDescent="0.2">
      <c r="A343" s="10">
        <v>4</v>
      </c>
      <c r="B343" s="11" t="str">
        <f>[1]Aseguradoras!B5</f>
        <v>Seguros Generales S. A (SEGESA)</v>
      </c>
      <c r="C343" s="12">
        <f>LOOKUP(405020100,[1]PlanCuentas!$A$2:$A$6092,[1]PlanCuentas!F$2:F$6092)</f>
        <v>44202290</v>
      </c>
      <c r="D343" s="12">
        <f>LOOKUP(405020200,[1]PlanCuentas!$A$2:$A$6092,[1]PlanCuentas!F$2:F$6092)</f>
        <v>2603404</v>
      </c>
      <c r="E343" s="12">
        <f>LOOKUP(405020300,[1]PlanCuentas!$A$2:$A$6092,[1]PlanCuentas!F$2:F$6092)</f>
        <v>874275</v>
      </c>
      <c r="F343" s="12">
        <f>LOOKUP(405020400,[1]PlanCuentas!$A$2:$A$6092,[1]PlanCuentas!F$2:F$6092)</f>
        <v>274083768</v>
      </c>
      <c r="G343" s="12">
        <f>LOOKUP(405020500,[1]PlanCuentas!$A$2:$A$6092,[1]PlanCuentas!F$2:F$6092)</f>
        <v>0</v>
      </c>
      <c r="H343" s="12">
        <f>LOOKUP(405020600,[1]PlanCuentas!$A$2:$A$6092,[1]PlanCuentas!F$2:F$6092)</f>
        <v>11005703</v>
      </c>
      <c r="I343" s="12">
        <f>LOOKUP(405020700,[1]PlanCuentas!$A$2:$A$6092,[1]PlanCuentas!F$2:F$6092)</f>
        <v>542292</v>
      </c>
      <c r="J343" s="12">
        <f>LOOKUP(405020800,[1]PlanCuentas!$A$2:$A$6092,[1]PlanCuentas!F$2:F$6092)</f>
        <v>0</v>
      </c>
      <c r="K343" s="12">
        <f>LOOKUP(405020900,[1]PlanCuentas!$A$2:$A$6092,[1]PlanCuentas!F$2:F$6092)</f>
        <v>0</v>
      </c>
      <c r="L343" s="12">
        <f>LOOKUP(405021000,[1]PlanCuentas!$A$2:$A$6092,[1]PlanCuentas!F$2:F$6092)</f>
        <v>1330986</v>
      </c>
      <c r="M343" s="12">
        <f>LOOKUP(405021100,[1]PlanCuentas!$A$2:$A$6092,[1]PlanCuentas!F$2:F$6092)</f>
        <v>0</v>
      </c>
      <c r="N343" s="12">
        <f>LOOKUP(405021200,[1]PlanCuentas!$A$2:$A$6092,[1]PlanCuentas!F$2:F$6092)</f>
        <v>13541622</v>
      </c>
      <c r="O343" s="12">
        <f>LOOKUP(405021300,[1]PlanCuentas!$A$2:$A$6092,[1]PlanCuentas!F$2:F$6092)</f>
        <v>0</v>
      </c>
      <c r="P343" s="12">
        <f>LOOKUP(405022000,[1]PlanCuentas!$A$2:$A$6092,[1]PlanCuentas!F$2:F$6092)</f>
        <v>64367</v>
      </c>
      <c r="Q343" s="13">
        <f t="shared" si="16"/>
        <v>348248707</v>
      </c>
    </row>
    <row r="344" spans="1:17" x14ac:dyDescent="0.2">
      <c r="A344" s="10">
        <v>5</v>
      </c>
      <c r="B344" s="11" t="str">
        <f>[1]Aseguradoras!B6</f>
        <v>Rumbos S.A de Seguros</v>
      </c>
      <c r="C344" s="12">
        <f>LOOKUP(405020100,[1]PlanCuentas!$A$2:$A$6092,[1]PlanCuentas!G$2:G$6092)</f>
        <v>33266295</v>
      </c>
      <c r="D344" s="12">
        <f>LOOKUP(405020200,[1]PlanCuentas!$A$2:$A$6092,[1]PlanCuentas!G$2:G$6092)</f>
        <v>22094150</v>
      </c>
      <c r="E344" s="12">
        <f>LOOKUP(405020300,[1]PlanCuentas!$A$2:$A$6092,[1]PlanCuentas!G$2:G$6092)</f>
        <v>2180113</v>
      </c>
      <c r="F344" s="12">
        <f>LOOKUP(405020400,[1]PlanCuentas!$A$2:$A$6092,[1]PlanCuentas!G$2:G$6092)</f>
        <v>952276983</v>
      </c>
      <c r="G344" s="12">
        <f>LOOKUP(405020500,[1]PlanCuentas!$A$2:$A$6092,[1]PlanCuentas!G$2:G$6092)</f>
        <v>50692207</v>
      </c>
      <c r="H344" s="12">
        <f>LOOKUP(405020600,[1]PlanCuentas!$A$2:$A$6092,[1]PlanCuentas!G$2:G$6092)</f>
        <v>13966937</v>
      </c>
      <c r="I344" s="12">
        <f>LOOKUP(405020700,[1]PlanCuentas!$A$2:$A$6092,[1]PlanCuentas!G$2:G$6092)</f>
        <v>460019</v>
      </c>
      <c r="J344" s="12">
        <f>LOOKUP(405020800,[1]PlanCuentas!$A$2:$A$6092,[1]PlanCuentas!G$2:G$6092)</f>
        <v>0</v>
      </c>
      <c r="K344" s="12">
        <f>LOOKUP(405020900,[1]PlanCuentas!$A$2:$A$6092,[1]PlanCuentas!G$2:G$6092)</f>
        <v>59922</v>
      </c>
      <c r="L344" s="12">
        <f>LOOKUP(405021000,[1]PlanCuentas!$A$2:$A$6092,[1]PlanCuentas!G$2:G$6092)</f>
        <v>2702212</v>
      </c>
      <c r="M344" s="12">
        <f>LOOKUP(405021100,[1]PlanCuentas!$A$2:$A$6092,[1]PlanCuentas!G$2:G$6092)</f>
        <v>333860</v>
      </c>
      <c r="N344" s="12">
        <f>LOOKUP(405021200,[1]PlanCuentas!$A$2:$A$6092,[1]PlanCuentas!G$2:G$6092)</f>
        <v>91000</v>
      </c>
      <c r="O344" s="12">
        <f>LOOKUP(405021300,[1]PlanCuentas!$A$2:$A$6092,[1]PlanCuentas!G$2:G$6092)</f>
        <v>0</v>
      </c>
      <c r="P344" s="12">
        <f>LOOKUP(405022000,[1]PlanCuentas!$A$2:$A$6092,[1]PlanCuentas!G$2:G$6092)</f>
        <v>0</v>
      </c>
      <c r="Q344" s="13">
        <f t="shared" si="16"/>
        <v>1078123698</v>
      </c>
    </row>
    <row r="345" spans="1:17" x14ac:dyDescent="0.2">
      <c r="A345" s="10">
        <v>6</v>
      </c>
      <c r="B345" s="11" t="str">
        <f>[1]Aseguradoras!B7</f>
        <v>La Consolidada S.A de Seguros</v>
      </c>
      <c r="C345" s="12">
        <f>LOOKUP(405020100,[1]PlanCuentas!$A$2:$A$6092,[1]PlanCuentas!H$2:H$6092)</f>
        <v>58666132</v>
      </c>
      <c r="D345" s="12">
        <f>LOOKUP(405020200,[1]PlanCuentas!$A$2:$A$6092,[1]PlanCuentas!H$2:H$6092)</f>
        <v>3053664</v>
      </c>
      <c r="E345" s="12">
        <f>LOOKUP(405020300,[1]PlanCuentas!$A$2:$A$6092,[1]PlanCuentas!H$2:H$6092)</f>
        <v>0</v>
      </c>
      <c r="F345" s="12">
        <f>LOOKUP(405020400,[1]PlanCuentas!$A$2:$A$6092,[1]PlanCuentas!H$2:H$6092)</f>
        <v>2162535381</v>
      </c>
      <c r="G345" s="12">
        <f>LOOKUP(405020500,[1]PlanCuentas!$A$2:$A$6092,[1]PlanCuentas!H$2:H$6092)</f>
        <v>0</v>
      </c>
      <c r="H345" s="12">
        <f>LOOKUP(405020600,[1]PlanCuentas!$A$2:$A$6092,[1]PlanCuentas!H$2:H$6092)</f>
        <v>5047091</v>
      </c>
      <c r="I345" s="12">
        <f>LOOKUP(405020700,[1]PlanCuentas!$A$2:$A$6092,[1]PlanCuentas!H$2:H$6092)</f>
        <v>198787</v>
      </c>
      <c r="J345" s="12">
        <f>LOOKUP(405020800,[1]PlanCuentas!$A$2:$A$6092,[1]PlanCuentas!H$2:H$6092)</f>
        <v>0</v>
      </c>
      <c r="K345" s="12">
        <f>LOOKUP(405020900,[1]PlanCuentas!$A$2:$A$6092,[1]PlanCuentas!H$2:H$6092)</f>
        <v>145090944</v>
      </c>
      <c r="L345" s="12">
        <f>LOOKUP(405021000,[1]PlanCuentas!$A$2:$A$6092,[1]PlanCuentas!H$2:H$6092)</f>
        <v>3376531</v>
      </c>
      <c r="M345" s="12">
        <f>LOOKUP(405021100,[1]PlanCuentas!$A$2:$A$6092,[1]PlanCuentas!H$2:H$6092)</f>
        <v>290162</v>
      </c>
      <c r="N345" s="12">
        <f>LOOKUP(405021200,[1]PlanCuentas!$A$2:$A$6092,[1]PlanCuentas!H$2:H$6092)</f>
        <v>1467699</v>
      </c>
      <c r="O345" s="12">
        <f>LOOKUP(405021300,[1]PlanCuentas!$A$2:$A$6092,[1]PlanCuentas!H$2:H$6092)</f>
        <v>191879588</v>
      </c>
      <c r="P345" s="12">
        <f>LOOKUP(405022000,[1]PlanCuentas!$A$2:$A$6092,[1]PlanCuentas!H$2:H$6092)</f>
        <v>0</v>
      </c>
      <c r="Q345" s="13">
        <f t="shared" si="16"/>
        <v>2571605979</v>
      </c>
    </row>
    <row r="346" spans="1:17" x14ac:dyDescent="0.2">
      <c r="A346" s="10">
        <v>7</v>
      </c>
      <c r="B346" s="11" t="str">
        <f>[1]Aseguradoras!B8</f>
        <v>El Productor S.A de Seguros y Reaseguros</v>
      </c>
      <c r="C346" s="12">
        <f>LOOKUP(405020100,[1]PlanCuentas!$A$2:$A$6092,[1]PlanCuentas!I$2:I$6092)</f>
        <v>20298004</v>
      </c>
      <c r="D346" s="12">
        <f>LOOKUP(405020200,[1]PlanCuentas!$A$2:$A$6092,[1]PlanCuentas!I$2:I$6092)</f>
        <v>3373015</v>
      </c>
      <c r="E346" s="12">
        <f>LOOKUP(405020300,[1]PlanCuentas!$A$2:$A$6092,[1]PlanCuentas!I$2:I$6092)</f>
        <v>133500</v>
      </c>
      <c r="F346" s="12">
        <f>LOOKUP(405020400,[1]PlanCuentas!$A$2:$A$6092,[1]PlanCuentas!I$2:I$6092)</f>
        <v>149233909</v>
      </c>
      <c r="G346" s="12">
        <f>LOOKUP(405020500,[1]PlanCuentas!$A$2:$A$6092,[1]PlanCuentas!I$2:I$6092)</f>
        <v>0</v>
      </c>
      <c r="H346" s="12">
        <f>LOOKUP(405020600,[1]PlanCuentas!$A$2:$A$6092,[1]PlanCuentas!I$2:I$6092)</f>
        <v>5201553</v>
      </c>
      <c r="I346" s="12">
        <f>LOOKUP(405020700,[1]PlanCuentas!$A$2:$A$6092,[1]PlanCuentas!I$2:I$6092)</f>
        <v>101865</v>
      </c>
      <c r="J346" s="12">
        <f>LOOKUP(405020800,[1]PlanCuentas!$A$2:$A$6092,[1]PlanCuentas!I$2:I$6092)</f>
        <v>0</v>
      </c>
      <c r="K346" s="12">
        <f>LOOKUP(405020900,[1]PlanCuentas!$A$2:$A$6092,[1]PlanCuentas!I$2:I$6092)</f>
        <v>47757976</v>
      </c>
      <c r="L346" s="12">
        <f>LOOKUP(405021000,[1]PlanCuentas!$A$2:$A$6092,[1]PlanCuentas!I$2:I$6092)</f>
        <v>3270908</v>
      </c>
      <c r="M346" s="12">
        <f>LOOKUP(405021100,[1]PlanCuentas!$A$2:$A$6092,[1]PlanCuentas!I$2:I$6092)</f>
        <v>0</v>
      </c>
      <c r="N346" s="12">
        <f>LOOKUP(405021200,[1]PlanCuentas!$A$2:$A$6092,[1]PlanCuentas!I$2:I$6092)</f>
        <v>241011</v>
      </c>
      <c r="O346" s="12">
        <f>LOOKUP(405021300,[1]PlanCuentas!$A$2:$A$6092,[1]PlanCuentas!I$2:I$6092)</f>
        <v>0</v>
      </c>
      <c r="P346" s="12">
        <f>LOOKUP(405022000,[1]PlanCuentas!$A$2:$A$6092,[1]PlanCuentas!I$2:I$6092)</f>
        <v>0</v>
      </c>
      <c r="Q346" s="13">
        <f t="shared" si="16"/>
        <v>229611741</v>
      </c>
    </row>
    <row r="347" spans="1:17" x14ac:dyDescent="0.2">
      <c r="A347" s="10">
        <v>8</v>
      </c>
      <c r="B347" s="11" t="str">
        <f>[1]Aseguradoras!B9</f>
        <v>Atalaya S.A de Seguros Generales</v>
      </c>
      <c r="C347" s="12">
        <f>LOOKUP(405020100,[1]PlanCuentas!$A$2:$A$6092,[1]PlanCuentas!J$2:J$6092)</f>
        <v>0</v>
      </c>
      <c r="D347" s="12">
        <f>LOOKUP(405020200,[1]PlanCuentas!$A$2:$A$6092,[1]PlanCuentas!J$2:J$6092)</f>
        <v>0</v>
      </c>
      <c r="E347" s="12">
        <f>LOOKUP(405020300,[1]PlanCuentas!$A$2:$A$6092,[1]PlanCuentas!J$2:J$6092)</f>
        <v>0</v>
      </c>
      <c r="F347" s="12">
        <f>LOOKUP(405020400,[1]PlanCuentas!$A$2:$A$6092,[1]PlanCuentas!J$2:J$6092)</f>
        <v>0</v>
      </c>
      <c r="G347" s="12">
        <f>LOOKUP(405020500,[1]PlanCuentas!$A$2:$A$6092,[1]PlanCuentas!J$2:J$6092)</f>
        <v>0</v>
      </c>
      <c r="H347" s="12">
        <f>LOOKUP(405020600,[1]PlanCuentas!$A$2:$A$6092,[1]PlanCuentas!J$2:J$6092)</f>
        <v>0</v>
      </c>
      <c r="I347" s="12">
        <f>LOOKUP(405020700,[1]PlanCuentas!$A$2:$A$6092,[1]PlanCuentas!J$2:J$6092)</f>
        <v>0</v>
      </c>
      <c r="J347" s="12">
        <f>LOOKUP(405020800,[1]PlanCuentas!$A$2:$A$6092,[1]PlanCuentas!J$2:J$6092)</f>
        <v>0</v>
      </c>
      <c r="K347" s="12">
        <f>LOOKUP(405020900,[1]PlanCuentas!$A$2:$A$6092,[1]PlanCuentas!J$2:J$6092)</f>
        <v>0</v>
      </c>
      <c r="L347" s="12">
        <f>LOOKUP(405021000,[1]PlanCuentas!$A$2:$A$6092,[1]PlanCuentas!J$2:J$6092)</f>
        <v>0</v>
      </c>
      <c r="M347" s="12">
        <f>LOOKUP(405021100,[1]PlanCuentas!$A$2:$A$6092,[1]PlanCuentas!J$2:J$6092)</f>
        <v>0</v>
      </c>
      <c r="N347" s="12">
        <f>LOOKUP(405021200,[1]PlanCuentas!$A$2:$A$6092,[1]PlanCuentas!J$2:J$6092)</f>
        <v>0</v>
      </c>
      <c r="O347" s="12">
        <f>LOOKUP(405021300,[1]PlanCuentas!$A$2:$A$6092,[1]PlanCuentas!J$2:J$6092)</f>
        <v>0</v>
      </c>
      <c r="P347" s="12">
        <f>LOOKUP(405022000,[1]PlanCuentas!$A$2:$A$6092,[1]PlanCuentas!J$2:J$6092)</f>
        <v>0</v>
      </c>
      <c r="Q347" s="13">
        <f t="shared" si="16"/>
        <v>0</v>
      </c>
    </row>
    <row r="348" spans="1:17" x14ac:dyDescent="0.2">
      <c r="A348" s="10">
        <v>9</v>
      </c>
      <c r="B348" s="11" t="str">
        <f>[1]Aseguradoras!B10</f>
        <v>La Independencia de Seguros S.A.</v>
      </c>
      <c r="C348" s="12">
        <f>LOOKUP(405020100,[1]PlanCuentas!$A$2:$A$6092,[1]PlanCuentas!K$2:K$6092)</f>
        <v>0</v>
      </c>
      <c r="D348" s="12">
        <f>LOOKUP(405020200,[1]PlanCuentas!$A$2:$A$6092,[1]PlanCuentas!K$2:K$6092)</f>
        <v>0</v>
      </c>
      <c r="E348" s="12">
        <f>LOOKUP(405020300,[1]PlanCuentas!$A$2:$A$6092,[1]PlanCuentas!K$2:K$6092)</f>
        <v>0</v>
      </c>
      <c r="F348" s="12">
        <f>LOOKUP(405020400,[1]PlanCuentas!$A$2:$A$6092,[1]PlanCuentas!K$2:K$6092)</f>
        <v>0</v>
      </c>
      <c r="G348" s="12">
        <f>LOOKUP(405020500,[1]PlanCuentas!$A$2:$A$6092,[1]PlanCuentas!K$2:K$6092)</f>
        <v>0</v>
      </c>
      <c r="H348" s="12">
        <f>LOOKUP(405020600,[1]PlanCuentas!$A$2:$A$6092,[1]PlanCuentas!K$2:K$6092)</f>
        <v>0</v>
      </c>
      <c r="I348" s="12">
        <f>LOOKUP(405020700,[1]PlanCuentas!$A$2:$A$6092,[1]PlanCuentas!K$2:K$6092)</f>
        <v>0</v>
      </c>
      <c r="J348" s="12">
        <f>LOOKUP(405020800,[1]PlanCuentas!$A$2:$A$6092,[1]PlanCuentas!K$2:K$6092)</f>
        <v>0</v>
      </c>
      <c r="K348" s="12">
        <f>LOOKUP(405020900,[1]PlanCuentas!$A$2:$A$6092,[1]PlanCuentas!K$2:K$6092)</f>
        <v>0</v>
      </c>
      <c r="L348" s="12">
        <f>LOOKUP(405021000,[1]PlanCuentas!$A$2:$A$6092,[1]PlanCuentas!K$2:K$6092)</f>
        <v>0</v>
      </c>
      <c r="M348" s="12">
        <f>LOOKUP(405021100,[1]PlanCuentas!$A$2:$A$6092,[1]PlanCuentas!K$2:K$6092)</f>
        <v>0</v>
      </c>
      <c r="N348" s="12">
        <f>LOOKUP(405021200,[1]PlanCuentas!$A$2:$A$6092,[1]PlanCuentas!K$2:K$6092)</f>
        <v>0</v>
      </c>
      <c r="O348" s="12">
        <f>LOOKUP(405021300,[1]PlanCuentas!$A$2:$A$6092,[1]PlanCuentas!K$2:K$6092)</f>
        <v>0</v>
      </c>
      <c r="P348" s="12">
        <f>LOOKUP(405022000,[1]PlanCuentas!$A$2:$A$6092,[1]PlanCuentas!K$2:K$6092)</f>
        <v>0</v>
      </c>
      <c r="Q348" s="13">
        <f t="shared" si="16"/>
        <v>0</v>
      </c>
    </row>
    <row r="349" spans="1:17" x14ac:dyDescent="0.2">
      <c r="A349" s="10">
        <v>10</v>
      </c>
      <c r="B349" s="11" t="str">
        <f>[1]Aseguradoras!B11</f>
        <v>Patria S.A de Seguros y Reaseguros</v>
      </c>
      <c r="C349" s="12">
        <f>LOOKUP(405020100,[1]PlanCuentas!$A$2:$A$6092,[1]PlanCuentas!L$2:L$6092)</f>
        <v>7868104</v>
      </c>
      <c r="D349" s="12">
        <f>LOOKUP(405020200,[1]PlanCuentas!$A$2:$A$6092,[1]PlanCuentas!L$2:L$6092)</f>
        <v>1385751</v>
      </c>
      <c r="E349" s="12">
        <f>LOOKUP(405020300,[1]PlanCuentas!$A$2:$A$6092,[1]PlanCuentas!L$2:L$6092)</f>
        <v>2899293</v>
      </c>
      <c r="F349" s="12">
        <f>LOOKUP(405020400,[1]PlanCuentas!$A$2:$A$6092,[1]PlanCuentas!L$2:L$6092)</f>
        <v>48590580</v>
      </c>
      <c r="G349" s="12">
        <f>LOOKUP(405020500,[1]PlanCuentas!$A$2:$A$6092,[1]PlanCuentas!L$2:L$6092)</f>
        <v>0</v>
      </c>
      <c r="H349" s="12">
        <f>LOOKUP(405020600,[1]PlanCuentas!$A$2:$A$6092,[1]PlanCuentas!L$2:L$6092)</f>
        <v>1878115</v>
      </c>
      <c r="I349" s="12">
        <f>LOOKUP(405020700,[1]PlanCuentas!$A$2:$A$6092,[1]PlanCuentas!L$2:L$6092)</f>
        <v>28573</v>
      </c>
      <c r="J349" s="12">
        <f>LOOKUP(405020800,[1]PlanCuentas!$A$2:$A$6092,[1]PlanCuentas!L$2:L$6092)</f>
        <v>0</v>
      </c>
      <c r="K349" s="12">
        <f>LOOKUP(405020900,[1]PlanCuentas!$A$2:$A$6092,[1]PlanCuentas!L$2:L$6092)</f>
        <v>26125</v>
      </c>
      <c r="L349" s="12">
        <f>LOOKUP(405021000,[1]PlanCuentas!$A$2:$A$6092,[1]PlanCuentas!L$2:L$6092)</f>
        <v>229814</v>
      </c>
      <c r="M349" s="12">
        <f>LOOKUP(405021100,[1]PlanCuentas!$A$2:$A$6092,[1]PlanCuentas!L$2:L$6092)</f>
        <v>0</v>
      </c>
      <c r="N349" s="12">
        <f>LOOKUP(405021200,[1]PlanCuentas!$A$2:$A$6092,[1]PlanCuentas!L$2:L$6092)</f>
        <v>44638</v>
      </c>
      <c r="O349" s="12">
        <f>LOOKUP(405021300,[1]PlanCuentas!$A$2:$A$6092,[1]PlanCuentas!L$2:L$6092)</f>
        <v>0</v>
      </c>
      <c r="P349" s="12">
        <f>LOOKUP(405022000,[1]PlanCuentas!$A$2:$A$6092,[1]PlanCuentas!L$2:L$6092)</f>
        <v>683823</v>
      </c>
      <c r="Q349" s="13">
        <f t="shared" si="16"/>
        <v>63634816</v>
      </c>
    </row>
    <row r="350" spans="1:17" x14ac:dyDescent="0.2">
      <c r="A350" s="10">
        <v>11</v>
      </c>
      <c r="B350" s="11" t="str">
        <f>[1]Aseguradoras!B12</f>
        <v>Garantía S.A de Seguros y Reaseguros</v>
      </c>
      <c r="C350" s="12">
        <f>LOOKUP(405020100,[1]PlanCuentas!$A$2:$A$6092,[1]PlanCuentas!M$2:M$6092)</f>
        <v>1208000</v>
      </c>
      <c r="D350" s="12">
        <f>LOOKUP(405020200,[1]PlanCuentas!$A$2:$A$6092,[1]PlanCuentas!M$2:M$6092)</f>
        <v>3816499</v>
      </c>
      <c r="E350" s="12">
        <f>LOOKUP(405020300,[1]PlanCuentas!$A$2:$A$6092,[1]PlanCuentas!M$2:M$6092)</f>
        <v>245088</v>
      </c>
      <c r="F350" s="12">
        <f>LOOKUP(405020400,[1]PlanCuentas!$A$2:$A$6092,[1]PlanCuentas!M$2:M$6092)</f>
        <v>95992290</v>
      </c>
      <c r="G350" s="12">
        <f>LOOKUP(405020500,[1]PlanCuentas!$A$2:$A$6092,[1]PlanCuentas!M$2:M$6092)</f>
        <v>0</v>
      </c>
      <c r="H350" s="12">
        <f>LOOKUP(405020600,[1]PlanCuentas!$A$2:$A$6092,[1]PlanCuentas!M$2:M$6092)</f>
        <v>1703540</v>
      </c>
      <c r="I350" s="12">
        <f>LOOKUP(405020700,[1]PlanCuentas!$A$2:$A$6092,[1]PlanCuentas!M$2:M$6092)</f>
        <v>80607</v>
      </c>
      <c r="J350" s="12">
        <f>LOOKUP(405020800,[1]PlanCuentas!$A$2:$A$6092,[1]PlanCuentas!M$2:M$6092)</f>
        <v>0</v>
      </c>
      <c r="K350" s="12">
        <f>LOOKUP(405020900,[1]PlanCuentas!$A$2:$A$6092,[1]PlanCuentas!M$2:M$6092)</f>
        <v>0</v>
      </c>
      <c r="L350" s="12">
        <f>LOOKUP(405021000,[1]PlanCuentas!$A$2:$A$6092,[1]PlanCuentas!M$2:M$6092)</f>
        <v>42868</v>
      </c>
      <c r="M350" s="12">
        <f>LOOKUP(405021100,[1]PlanCuentas!$A$2:$A$6092,[1]PlanCuentas!M$2:M$6092)</f>
        <v>0</v>
      </c>
      <c r="N350" s="12">
        <f>LOOKUP(405021200,[1]PlanCuentas!$A$2:$A$6092,[1]PlanCuentas!M$2:M$6092)</f>
        <v>90332</v>
      </c>
      <c r="O350" s="12">
        <f>LOOKUP(405021300,[1]PlanCuentas!$A$2:$A$6092,[1]PlanCuentas!M$2:M$6092)</f>
        <v>0</v>
      </c>
      <c r="P350" s="12">
        <f>LOOKUP(405022000,[1]PlanCuentas!$A$2:$A$6092,[1]PlanCuentas!M$2:M$6092)</f>
        <v>0</v>
      </c>
      <c r="Q350" s="13">
        <f t="shared" si="16"/>
        <v>103179224</v>
      </c>
    </row>
    <row r="351" spans="1:17" x14ac:dyDescent="0.2">
      <c r="A351" s="10">
        <v>12</v>
      </c>
      <c r="B351" s="11" t="str">
        <f>[1]Aseguradoras!B13</f>
        <v>Aseguradora Paraguaya S.A.</v>
      </c>
      <c r="C351" s="12">
        <f>LOOKUP(405020100,[1]PlanCuentas!$A$2:$A$6092,[1]PlanCuentas!N$2:N$6092)</f>
        <v>149531</v>
      </c>
      <c r="D351" s="12">
        <f>LOOKUP(405020200,[1]PlanCuentas!$A$2:$A$6092,[1]PlanCuentas!N$2:N$6092)</f>
        <v>0</v>
      </c>
      <c r="E351" s="12">
        <f>LOOKUP(405020300,[1]PlanCuentas!$A$2:$A$6092,[1]PlanCuentas!N$2:N$6092)</f>
        <v>0</v>
      </c>
      <c r="F351" s="12">
        <f>LOOKUP(405020400,[1]PlanCuentas!$A$2:$A$6092,[1]PlanCuentas!N$2:N$6092)</f>
        <v>1000864</v>
      </c>
      <c r="G351" s="12">
        <f>LOOKUP(405020500,[1]PlanCuentas!$A$2:$A$6092,[1]PlanCuentas!N$2:N$6092)</f>
        <v>0</v>
      </c>
      <c r="H351" s="12">
        <f>LOOKUP(405020600,[1]PlanCuentas!$A$2:$A$6092,[1]PlanCuentas!N$2:N$6092)</f>
        <v>0</v>
      </c>
      <c r="I351" s="12">
        <f>LOOKUP(405020700,[1]PlanCuentas!$A$2:$A$6092,[1]PlanCuentas!N$2:N$6092)</f>
        <v>0</v>
      </c>
      <c r="J351" s="12">
        <f>LOOKUP(405020800,[1]PlanCuentas!$A$2:$A$6092,[1]PlanCuentas!N$2:N$6092)</f>
        <v>0</v>
      </c>
      <c r="K351" s="12">
        <f>LOOKUP(405020900,[1]PlanCuentas!$A$2:$A$6092,[1]PlanCuentas!N$2:N$6092)</f>
        <v>0</v>
      </c>
      <c r="L351" s="12">
        <f>LOOKUP(405021000,[1]PlanCuentas!$A$2:$A$6092,[1]PlanCuentas!N$2:N$6092)</f>
        <v>0</v>
      </c>
      <c r="M351" s="12">
        <f>LOOKUP(405021100,[1]PlanCuentas!$A$2:$A$6092,[1]PlanCuentas!N$2:N$6092)</f>
        <v>0</v>
      </c>
      <c r="N351" s="12">
        <f>LOOKUP(405021200,[1]PlanCuentas!$A$2:$A$6092,[1]PlanCuentas!N$2:N$6092)</f>
        <v>0</v>
      </c>
      <c r="O351" s="12">
        <f>LOOKUP(405021300,[1]PlanCuentas!$A$2:$A$6092,[1]PlanCuentas!N$2:N$6092)</f>
        <v>0</v>
      </c>
      <c r="P351" s="12">
        <f>LOOKUP(405022000,[1]PlanCuentas!$A$2:$A$6092,[1]PlanCuentas!N$2:N$6092)</f>
        <v>0</v>
      </c>
      <c r="Q351" s="13">
        <f t="shared" si="16"/>
        <v>1150395</v>
      </c>
    </row>
    <row r="352" spans="1:17" x14ac:dyDescent="0.2">
      <c r="A352" s="10">
        <v>13</v>
      </c>
      <c r="B352" s="11" t="str">
        <f>[1]Aseguradoras!B14</f>
        <v>Fénix S.A de Seguros y Reaseguros</v>
      </c>
      <c r="C352" s="12">
        <f>LOOKUP(405020100,[1]PlanCuentas!$A$2:$A$6092,[1]PlanCuentas!O$2:O$6092)</f>
        <v>108810030</v>
      </c>
      <c r="D352" s="12">
        <f>LOOKUP(405020200,[1]PlanCuentas!$A$2:$A$6092,[1]PlanCuentas!O$2:O$6092)</f>
        <v>9726428</v>
      </c>
      <c r="E352" s="12">
        <f>LOOKUP(405020300,[1]PlanCuentas!$A$2:$A$6092,[1]PlanCuentas!O$2:O$6092)</f>
        <v>4677367</v>
      </c>
      <c r="F352" s="12">
        <f>LOOKUP(405020400,[1]PlanCuentas!$A$2:$A$6092,[1]PlanCuentas!O$2:O$6092)</f>
        <v>623467324</v>
      </c>
      <c r="G352" s="12">
        <f>LOOKUP(405020500,[1]PlanCuentas!$A$2:$A$6092,[1]PlanCuentas!O$2:O$6092)</f>
        <v>0</v>
      </c>
      <c r="H352" s="12">
        <f>LOOKUP(405020600,[1]PlanCuentas!$A$2:$A$6092,[1]PlanCuentas!O$2:O$6092)</f>
        <v>25356857</v>
      </c>
      <c r="I352" s="12">
        <f>LOOKUP(405020700,[1]PlanCuentas!$A$2:$A$6092,[1]PlanCuentas!O$2:O$6092)</f>
        <v>506350</v>
      </c>
      <c r="J352" s="12">
        <f>LOOKUP(405020800,[1]PlanCuentas!$A$2:$A$6092,[1]PlanCuentas!O$2:O$6092)</f>
        <v>0</v>
      </c>
      <c r="K352" s="12">
        <f>LOOKUP(405020900,[1]PlanCuentas!$A$2:$A$6092,[1]PlanCuentas!O$2:O$6092)</f>
        <v>23542497</v>
      </c>
      <c r="L352" s="12">
        <f>LOOKUP(405021000,[1]PlanCuentas!$A$2:$A$6092,[1]PlanCuentas!O$2:O$6092)</f>
        <v>8940852</v>
      </c>
      <c r="M352" s="12">
        <f>LOOKUP(405021100,[1]PlanCuentas!$A$2:$A$6092,[1]PlanCuentas!O$2:O$6092)</f>
        <v>937962</v>
      </c>
      <c r="N352" s="12">
        <f>LOOKUP(405021200,[1]PlanCuentas!$A$2:$A$6092,[1]PlanCuentas!O$2:O$6092)</f>
        <v>22629420</v>
      </c>
      <c r="O352" s="12">
        <f>LOOKUP(405021300,[1]PlanCuentas!$A$2:$A$6092,[1]PlanCuentas!O$2:O$6092)</f>
        <v>12472479</v>
      </c>
      <c r="P352" s="12">
        <f>LOOKUP(405022000,[1]PlanCuentas!$A$2:$A$6092,[1]PlanCuentas!O$2:O$6092)</f>
        <v>0</v>
      </c>
      <c r="Q352" s="13">
        <f t="shared" si="16"/>
        <v>841067566</v>
      </c>
    </row>
    <row r="353" spans="1:17" x14ac:dyDescent="0.2">
      <c r="A353" s="10">
        <v>14</v>
      </c>
      <c r="B353" s="11" t="str">
        <f>[1]Aseguradoras!B15</f>
        <v>Central S.A de Seguros</v>
      </c>
      <c r="C353" s="12">
        <f>LOOKUP(405020100,[1]PlanCuentas!$A$2:$A$6092,[1]PlanCuentas!P$2:P$6092)</f>
        <v>0</v>
      </c>
      <c r="D353" s="12">
        <f>LOOKUP(405020200,[1]PlanCuentas!$A$2:$A$6092,[1]PlanCuentas!P$2:P$6092)</f>
        <v>0</v>
      </c>
      <c r="E353" s="12">
        <f>LOOKUP(405020300,[1]PlanCuentas!$A$2:$A$6092,[1]PlanCuentas!P$2:P$6092)</f>
        <v>0</v>
      </c>
      <c r="F353" s="12">
        <f>LOOKUP(405020400,[1]PlanCuentas!$A$2:$A$6092,[1]PlanCuentas!P$2:P$6092)</f>
        <v>0</v>
      </c>
      <c r="G353" s="12">
        <f>LOOKUP(405020500,[1]PlanCuentas!$A$2:$A$6092,[1]PlanCuentas!P$2:P$6092)</f>
        <v>0</v>
      </c>
      <c r="H353" s="12">
        <f>LOOKUP(405020600,[1]PlanCuentas!$A$2:$A$6092,[1]PlanCuentas!P$2:P$6092)</f>
        <v>0</v>
      </c>
      <c r="I353" s="12">
        <f>LOOKUP(405020700,[1]PlanCuentas!$A$2:$A$6092,[1]PlanCuentas!P$2:P$6092)</f>
        <v>0</v>
      </c>
      <c r="J353" s="12">
        <f>LOOKUP(405020800,[1]PlanCuentas!$A$2:$A$6092,[1]PlanCuentas!P$2:P$6092)</f>
        <v>0</v>
      </c>
      <c r="K353" s="12">
        <f>LOOKUP(405020900,[1]PlanCuentas!$A$2:$A$6092,[1]PlanCuentas!P$2:P$6092)</f>
        <v>0</v>
      </c>
      <c r="L353" s="12">
        <f>LOOKUP(405021000,[1]PlanCuentas!$A$2:$A$6092,[1]PlanCuentas!P$2:P$6092)</f>
        <v>0</v>
      </c>
      <c r="M353" s="12">
        <f>LOOKUP(405021100,[1]PlanCuentas!$A$2:$A$6092,[1]PlanCuentas!P$2:P$6092)</f>
        <v>0</v>
      </c>
      <c r="N353" s="12">
        <f>LOOKUP(405021200,[1]PlanCuentas!$A$2:$A$6092,[1]PlanCuentas!P$2:P$6092)</f>
        <v>0</v>
      </c>
      <c r="O353" s="12">
        <f>LOOKUP(405021300,[1]PlanCuentas!$A$2:$A$6092,[1]PlanCuentas!P$2:P$6092)</f>
        <v>0</v>
      </c>
      <c r="P353" s="12">
        <f>LOOKUP(405022000,[1]PlanCuentas!$A$2:$A$6092,[1]PlanCuentas!P$2:P$6092)</f>
        <v>0</v>
      </c>
      <c r="Q353" s="13">
        <f t="shared" si="16"/>
        <v>0</v>
      </c>
    </row>
    <row r="354" spans="1:17" x14ac:dyDescent="0.2">
      <c r="A354" s="10">
        <v>15</v>
      </c>
      <c r="B354" s="11" t="str">
        <f>[1]Aseguradoras!B16</f>
        <v>Seguros Chaco S.A de Seguros y Reaseguros</v>
      </c>
      <c r="C354" s="12">
        <f>LOOKUP(405020100,[1]PlanCuentas!$A$2:$A$6092,[1]PlanCuentas!Q$2:Q$6092)</f>
        <v>3586604</v>
      </c>
      <c r="D354" s="12">
        <f>LOOKUP(405020200,[1]PlanCuentas!$A$2:$A$6092,[1]PlanCuentas!Q$2:Q$6092)</f>
        <v>609562</v>
      </c>
      <c r="E354" s="12">
        <f>LOOKUP(405020300,[1]PlanCuentas!$A$2:$A$6092,[1]PlanCuentas!Q$2:Q$6092)</f>
        <v>4002644</v>
      </c>
      <c r="F354" s="12">
        <f>LOOKUP(405020400,[1]PlanCuentas!$A$2:$A$6092,[1]PlanCuentas!Q$2:Q$6092)</f>
        <v>216630652</v>
      </c>
      <c r="G354" s="12">
        <f>LOOKUP(405020500,[1]PlanCuentas!$A$2:$A$6092,[1]PlanCuentas!Q$2:Q$6092)</f>
        <v>0</v>
      </c>
      <c r="H354" s="12">
        <f>LOOKUP(405020600,[1]PlanCuentas!$A$2:$A$6092,[1]PlanCuentas!Q$2:Q$6092)</f>
        <v>1335699</v>
      </c>
      <c r="I354" s="12">
        <f>LOOKUP(405020700,[1]PlanCuentas!$A$2:$A$6092,[1]PlanCuentas!Q$2:Q$6092)</f>
        <v>157229</v>
      </c>
      <c r="J354" s="12">
        <f>LOOKUP(405020800,[1]PlanCuentas!$A$2:$A$6092,[1]PlanCuentas!Q$2:Q$6092)</f>
        <v>0</v>
      </c>
      <c r="K354" s="12">
        <f>LOOKUP(405020900,[1]PlanCuentas!$A$2:$A$6092,[1]PlanCuentas!Q$2:Q$6092)</f>
        <v>90813</v>
      </c>
      <c r="L354" s="12">
        <f>LOOKUP(405021000,[1]PlanCuentas!$A$2:$A$6092,[1]PlanCuentas!Q$2:Q$6092)</f>
        <v>291153</v>
      </c>
      <c r="M354" s="12">
        <f>LOOKUP(405021100,[1]PlanCuentas!$A$2:$A$6092,[1]PlanCuentas!Q$2:Q$6092)</f>
        <v>295113</v>
      </c>
      <c r="N354" s="12">
        <f>LOOKUP(405021200,[1]PlanCuentas!$A$2:$A$6092,[1]PlanCuentas!Q$2:Q$6092)</f>
        <v>31698</v>
      </c>
      <c r="O354" s="12">
        <f>LOOKUP(405021300,[1]PlanCuentas!$A$2:$A$6092,[1]PlanCuentas!Q$2:Q$6092)</f>
        <v>162877</v>
      </c>
      <c r="P354" s="12">
        <f>LOOKUP(405022000,[1]PlanCuentas!$A$2:$A$6092,[1]PlanCuentas!Q$2:Q$6092)</f>
        <v>0</v>
      </c>
      <c r="Q354" s="13">
        <f t="shared" si="16"/>
        <v>227194044</v>
      </c>
    </row>
    <row r="355" spans="1:17" x14ac:dyDescent="0.2">
      <c r="A355" s="10">
        <v>16</v>
      </c>
      <c r="B355" s="11" t="str">
        <f>[1]Aseguradoras!B17</f>
        <v>El Sol Del Paraguay Compañía de Seguros y Reaseguros S.A.</v>
      </c>
      <c r="C355" s="12">
        <f>LOOKUP(405020100,[1]PlanCuentas!$A$2:$A$6092,[1]PlanCuentas!R$2:R$6092)</f>
        <v>23786273</v>
      </c>
      <c r="D355" s="12">
        <f>LOOKUP(405020200,[1]PlanCuentas!$A$2:$A$6092,[1]PlanCuentas!R$2:R$6092)</f>
        <v>11326838</v>
      </c>
      <c r="E355" s="12">
        <f>LOOKUP(405020300,[1]PlanCuentas!$A$2:$A$6092,[1]PlanCuentas!R$2:R$6092)</f>
        <v>10323475</v>
      </c>
      <c r="F355" s="12">
        <f>LOOKUP(405020400,[1]PlanCuentas!$A$2:$A$6092,[1]PlanCuentas!R$2:R$6092)</f>
        <v>307692870</v>
      </c>
      <c r="G355" s="12">
        <f>LOOKUP(405020500,[1]PlanCuentas!$A$2:$A$6092,[1]PlanCuentas!R$2:R$6092)</f>
        <v>0</v>
      </c>
      <c r="H355" s="12">
        <f>LOOKUP(405020600,[1]PlanCuentas!$A$2:$A$6092,[1]PlanCuentas!R$2:R$6092)</f>
        <v>23801185</v>
      </c>
      <c r="I355" s="12">
        <f>LOOKUP(405020700,[1]PlanCuentas!$A$2:$A$6092,[1]PlanCuentas!R$2:R$6092)</f>
        <v>731832</v>
      </c>
      <c r="J355" s="12">
        <f>LOOKUP(405020800,[1]PlanCuentas!$A$2:$A$6092,[1]PlanCuentas!R$2:R$6092)</f>
        <v>0</v>
      </c>
      <c r="K355" s="12">
        <f>LOOKUP(405020900,[1]PlanCuentas!$A$2:$A$6092,[1]PlanCuentas!R$2:R$6092)</f>
        <v>67476</v>
      </c>
      <c r="L355" s="12">
        <f>LOOKUP(405021000,[1]PlanCuentas!$A$2:$A$6092,[1]PlanCuentas!R$2:R$6092)</f>
        <v>6836934</v>
      </c>
      <c r="M355" s="12">
        <f>LOOKUP(405021100,[1]PlanCuentas!$A$2:$A$6092,[1]PlanCuentas!R$2:R$6092)</f>
        <v>284626</v>
      </c>
      <c r="N355" s="12">
        <f>LOOKUP(405021200,[1]PlanCuentas!$A$2:$A$6092,[1]PlanCuentas!R$2:R$6092)</f>
        <v>31973627</v>
      </c>
      <c r="O355" s="12">
        <f>LOOKUP(405021300,[1]PlanCuentas!$A$2:$A$6092,[1]PlanCuentas!R$2:R$6092)</f>
        <v>2985234</v>
      </c>
      <c r="P355" s="12">
        <f>LOOKUP(405022000,[1]PlanCuentas!$A$2:$A$6092,[1]PlanCuentas!R$2:R$6092)</f>
        <v>249550</v>
      </c>
      <c r="Q355" s="13">
        <f t="shared" si="16"/>
        <v>420059920</v>
      </c>
    </row>
    <row r="356" spans="1:17" x14ac:dyDescent="0.2">
      <c r="A356" s="10">
        <v>17</v>
      </c>
      <c r="B356" s="11" t="str">
        <f>[1]Aseguradoras!B18</f>
        <v>Intercontinental de Seguros y Reaseguros S.A.</v>
      </c>
      <c r="C356" s="12">
        <f>LOOKUP(405020100,[1]PlanCuentas!$A$2:$A$6092,[1]PlanCuentas!S$2:S$6092)</f>
        <v>4039686</v>
      </c>
      <c r="D356" s="12">
        <f>LOOKUP(405020200,[1]PlanCuentas!$A$2:$A$6092,[1]PlanCuentas!S$2:S$6092)</f>
        <v>106994</v>
      </c>
      <c r="E356" s="12">
        <f>LOOKUP(405020300,[1]PlanCuentas!$A$2:$A$6092,[1]PlanCuentas!S$2:S$6092)</f>
        <v>2580991</v>
      </c>
      <c r="F356" s="12">
        <f>LOOKUP(405020400,[1]PlanCuentas!$A$2:$A$6092,[1]PlanCuentas!S$2:S$6092)</f>
        <v>173317068</v>
      </c>
      <c r="G356" s="12">
        <f>LOOKUP(405020500,[1]PlanCuentas!$A$2:$A$6092,[1]PlanCuentas!S$2:S$6092)</f>
        <v>0</v>
      </c>
      <c r="H356" s="12">
        <f>LOOKUP(405020600,[1]PlanCuentas!$A$2:$A$6092,[1]PlanCuentas!S$2:S$6092)</f>
        <v>2919750</v>
      </c>
      <c r="I356" s="12">
        <f>LOOKUP(405020700,[1]PlanCuentas!$A$2:$A$6092,[1]PlanCuentas!S$2:S$6092)</f>
        <v>117160</v>
      </c>
      <c r="J356" s="12">
        <f>LOOKUP(405020800,[1]PlanCuentas!$A$2:$A$6092,[1]PlanCuentas!S$2:S$6092)</f>
        <v>0</v>
      </c>
      <c r="K356" s="12">
        <f>LOOKUP(405020900,[1]PlanCuentas!$A$2:$A$6092,[1]PlanCuentas!S$2:S$6092)</f>
        <v>159143</v>
      </c>
      <c r="L356" s="12">
        <f>LOOKUP(405021000,[1]PlanCuentas!$A$2:$A$6092,[1]PlanCuentas!S$2:S$6092)</f>
        <v>1914623</v>
      </c>
      <c r="M356" s="12">
        <f>LOOKUP(405021100,[1]PlanCuentas!$A$2:$A$6092,[1]PlanCuentas!S$2:S$6092)</f>
        <v>0</v>
      </c>
      <c r="N356" s="12">
        <f>LOOKUP(405021200,[1]PlanCuentas!$A$2:$A$6092,[1]PlanCuentas!S$2:S$6092)</f>
        <v>1104286</v>
      </c>
      <c r="O356" s="12">
        <f>LOOKUP(405021300,[1]PlanCuentas!$A$2:$A$6092,[1]PlanCuentas!S$2:S$6092)</f>
        <v>22300710</v>
      </c>
      <c r="P356" s="12">
        <f>LOOKUP(405022000,[1]PlanCuentas!$A$2:$A$6092,[1]PlanCuentas!S$2:S$6092)</f>
        <v>0</v>
      </c>
      <c r="Q356" s="13">
        <f t="shared" si="16"/>
        <v>208560411</v>
      </c>
    </row>
    <row r="357" spans="1:17" x14ac:dyDescent="0.2">
      <c r="A357" s="10">
        <v>18</v>
      </c>
      <c r="B357" s="11" t="str">
        <f>[1]Aseguradoras!B19</f>
        <v>Seguridad S.A Compañía de Seguros</v>
      </c>
      <c r="C357" s="12">
        <f>LOOKUP(405020100,[1]PlanCuentas!$A$2:$A$6092,[1]PlanCuentas!T$2:T$6092)</f>
        <v>221467506</v>
      </c>
      <c r="D357" s="12">
        <f>LOOKUP(405020200,[1]PlanCuentas!$A$2:$A$6092,[1]PlanCuentas!T$2:T$6092)</f>
        <v>71136554</v>
      </c>
      <c r="E357" s="12">
        <f>LOOKUP(405020300,[1]PlanCuentas!$A$2:$A$6092,[1]PlanCuentas!T$2:T$6092)</f>
        <v>5723492</v>
      </c>
      <c r="F357" s="12">
        <f>LOOKUP(405020400,[1]PlanCuentas!$A$2:$A$6092,[1]PlanCuentas!T$2:T$6092)</f>
        <v>3467786208</v>
      </c>
      <c r="G357" s="12">
        <f>LOOKUP(405020500,[1]PlanCuentas!$A$2:$A$6092,[1]PlanCuentas!T$2:T$6092)</f>
        <v>0</v>
      </c>
      <c r="H357" s="12">
        <f>LOOKUP(405020600,[1]PlanCuentas!$A$2:$A$6092,[1]PlanCuentas!T$2:T$6092)</f>
        <v>92442761</v>
      </c>
      <c r="I357" s="12">
        <f>LOOKUP(405020700,[1]PlanCuentas!$A$2:$A$6092,[1]PlanCuentas!T$2:T$6092)</f>
        <v>1334677</v>
      </c>
      <c r="J357" s="12">
        <f>LOOKUP(405020800,[1]PlanCuentas!$A$2:$A$6092,[1]PlanCuentas!T$2:T$6092)</f>
        <v>0</v>
      </c>
      <c r="K357" s="12">
        <f>LOOKUP(405020900,[1]PlanCuentas!$A$2:$A$6092,[1]PlanCuentas!T$2:T$6092)</f>
        <v>12577946</v>
      </c>
      <c r="L357" s="12">
        <f>LOOKUP(405021000,[1]PlanCuentas!$A$2:$A$6092,[1]PlanCuentas!T$2:T$6092)</f>
        <v>15086222</v>
      </c>
      <c r="M357" s="12">
        <f>LOOKUP(405021100,[1]PlanCuentas!$A$2:$A$6092,[1]PlanCuentas!T$2:T$6092)</f>
        <v>10312930</v>
      </c>
      <c r="N357" s="12">
        <f>LOOKUP(405021200,[1]PlanCuentas!$A$2:$A$6092,[1]PlanCuentas!T$2:T$6092)</f>
        <v>75258345</v>
      </c>
      <c r="O357" s="12">
        <f>LOOKUP(405021300,[1]PlanCuentas!$A$2:$A$6092,[1]PlanCuentas!T$2:T$6092)</f>
        <v>6668506</v>
      </c>
      <c r="P357" s="12">
        <f>LOOKUP(405022000,[1]PlanCuentas!$A$2:$A$6092,[1]PlanCuentas!T$2:T$6092)</f>
        <v>908721</v>
      </c>
      <c r="Q357" s="13">
        <f t="shared" si="16"/>
        <v>3980703868</v>
      </c>
    </row>
    <row r="358" spans="1:17" x14ac:dyDescent="0.2">
      <c r="A358" s="10">
        <v>19</v>
      </c>
      <c r="B358" s="11" t="str">
        <f>[1]Aseguradoras!B20</f>
        <v>Universo de Seguros y Reaseguros S.A.</v>
      </c>
      <c r="C358" s="12">
        <f>LOOKUP(405020100,[1]PlanCuentas!$A$2:$A$6092,[1]PlanCuentas!U$2:U$6092)</f>
        <v>0</v>
      </c>
      <c r="D358" s="12">
        <f>LOOKUP(405020200,[1]PlanCuentas!$A$2:$A$6092,[1]PlanCuentas!U$2:U$6092)</f>
        <v>0</v>
      </c>
      <c r="E358" s="12">
        <f>LOOKUP(405020300,[1]PlanCuentas!$A$2:$A$6092,[1]PlanCuentas!U$2:U$6092)</f>
        <v>0</v>
      </c>
      <c r="F358" s="12">
        <f>LOOKUP(405020400,[1]PlanCuentas!$A$2:$A$6092,[1]PlanCuentas!U$2:U$6092)</f>
        <v>0</v>
      </c>
      <c r="G358" s="12">
        <f>LOOKUP(405020500,[1]PlanCuentas!$A$2:$A$6092,[1]PlanCuentas!U$2:U$6092)</f>
        <v>0</v>
      </c>
      <c r="H358" s="12">
        <f>LOOKUP(405020600,[1]PlanCuentas!$A$2:$A$6092,[1]PlanCuentas!U$2:U$6092)</f>
        <v>0</v>
      </c>
      <c r="I358" s="12">
        <f>LOOKUP(405020700,[1]PlanCuentas!$A$2:$A$6092,[1]PlanCuentas!U$2:U$6092)</f>
        <v>0</v>
      </c>
      <c r="J358" s="12">
        <f>LOOKUP(405020800,[1]PlanCuentas!$A$2:$A$6092,[1]PlanCuentas!U$2:U$6092)</f>
        <v>0</v>
      </c>
      <c r="K358" s="12">
        <f>LOOKUP(405020900,[1]PlanCuentas!$A$2:$A$6092,[1]PlanCuentas!U$2:U$6092)</f>
        <v>0</v>
      </c>
      <c r="L358" s="12">
        <f>LOOKUP(405021000,[1]PlanCuentas!$A$2:$A$6092,[1]PlanCuentas!U$2:U$6092)</f>
        <v>0</v>
      </c>
      <c r="M358" s="12">
        <f>LOOKUP(405021100,[1]PlanCuentas!$A$2:$A$6092,[1]PlanCuentas!U$2:U$6092)</f>
        <v>0</v>
      </c>
      <c r="N358" s="12">
        <f>LOOKUP(405021200,[1]PlanCuentas!$A$2:$A$6092,[1]PlanCuentas!U$2:U$6092)</f>
        <v>0</v>
      </c>
      <c r="O358" s="12">
        <f>LOOKUP(405021300,[1]PlanCuentas!$A$2:$A$6092,[1]PlanCuentas!U$2:U$6092)</f>
        <v>0</v>
      </c>
      <c r="P358" s="12">
        <f>LOOKUP(405022000,[1]PlanCuentas!$A$2:$A$6092,[1]PlanCuentas!U$2:U$6092)</f>
        <v>0</v>
      </c>
      <c r="Q358" s="13">
        <f t="shared" si="16"/>
        <v>0</v>
      </c>
    </row>
    <row r="359" spans="1:17" x14ac:dyDescent="0.2">
      <c r="A359" s="10">
        <v>20</v>
      </c>
      <c r="B359" s="11" t="str">
        <f>[1]Aseguradoras!B21</f>
        <v>Aseguradora Yacyreta S.A de Seguros y Reaseguros</v>
      </c>
      <c r="C359" s="12">
        <f>LOOKUP(405020100,[1]PlanCuentas!$A$2:$A$6092,[1]PlanCuentas!V$2:V$6092)</f>
        <v>99084114</v>
      </c>
      <c r="D359" s="12">
        <f>LOOKUP(405020200,[1]PlanCuentas!$A$2:$A$6092,[1]PlanCuentas!V$2:V$6092)</f>
        <v>45549070</v>
      </c>
      <c r="E359" s="12">
        <f>LOOKUP(405020300,[1]PlanCuentas!$A$2:$A$6092,[1]PlanCuentas!V$2:V$6092)</f>
        <v>80752874</v>
      </c>
      <c r="F359" s="12">
        <f>LOOKUP(405020400,[1]PlanCuentas!$A$2:$A$6092,[1]PlanCuentas!V$2:V$6092)</f>
        <v>1094262057</v>
      </c>
      <c r="G359" s="12">
        <f>LOOKUP(405020500,[1]PlanCuentas!$A$2:$A$6092,[1]PlanCuentas!V$2:V$6092)</f>
        <v>0</v>
      </c>
      <c r="H359" s="12">
        <f>LOOKUP(405020600,[1]PlanCuentas!$A$2:$A$6092,[1]PlanCuentas!V$2:V$6092)</f>
        <v>36846361</v>
      </c>
      <c r="I359" s="12">
        <f>LOOKUP(405020700,[1]PlanCuentas!$A$2:$A$6092,[1]PlanCuentas!V$2:V$6092)</f>
        <v>845884</v>
      </c>
      <c r="J359" s="12">
        <f>LOOKUP(405020800,[1]PlanCuentas!$A$2:$A$6092,[1]PlanCuentas!V$2:V$6092)</f>
        <v>0</v>
      </c>
      <c r="K359" s="12">
        <f>LOOKUP(405020900,[1]PlanCuentas!$A$2:$A$6092,[1]PlanCuentas!V$2:V$6092)</f>
        <v>41703541</v>
      </c>
      <c r="L359" s="12">
        <f>LOOKUP(405021000,[1]PlanCuentas!$A$2:$A$6092,[1]PlanCuentas!V$2:V$6092)</f>
        <v>30570276</v>
      </c>
      <c r="M359" s="12">
        <f>LOOKUP(405021100,[1]PlanCuentas!$A$2:$A$6092,[1]PlanCuentas!V$2:V$6092)</f>
        <v>470158</v>
      </c>
      <c r="N359" s="12">
        <f>LOOKUP(405021200,[1]PlanCuentas!$A$2:$A$6092,[1]PlanCuentas!V$2:V$6092)</f>
        <v>5024049</v>
      </c>
      <c r="O359" s="12">
        <f>LOOKUP(405021300,[1]PlanCuentas!$A$2:$A$6092,[1]PlanCuentas!V$2:V$6092)</f>
        <v>75708</v>
      </c>
      <c r="P359" s="12">
        <f>LOOKUP(405022000,[1]PlanCuentas!$A$2:$A$6092,[1]PlanCuentas!V$2:V$6092)</f>
        <v>31507576</v>
      </c>
      <c r="Q359" s="13">
        <f t="shared" si="16"/>
        <v>1466691668</v>
      </c>
    </row>
    <row r="360" spans="1:17" x14ac:dyDescent="0.2">
      <c r="A360" s="10">
        <v>21</v>
      </c>
      <c r="B360" s="11" t="str">
        <f>[1]Aseguradoras!B22</f>
        <v>La Agricola S.A de Seguros y Reaseguros</v>
      </c>
      <c r="C360" s="12">
        <f>LOOKUP(405020100,[1]PlanCuentas!$A$2:$A$6092,[1]PlanCuentas!W$2:W$6092)</f>
        <v>901704</v>
      </c>
      <c r="D360" s="12">
        <f>LOOKUP(405020200,[1]PlanCuentas!$A$2:$A$6092,[1]PlanCuentas!W$2:W$6092)</f>
        <v>64100</v>
      </c>
      <c r="E360" s="12">
        <f>LOOKUP(405020300,[1]PlanCuentas!$A$2:$A$6092,[1]PlanCuentas!W$2:W$6092)</f>
        <v>29723</v>
      </c>
      <c r="F360" s="12">
        <f>LOOKUP(405020400,[1]PlanCuentas!$A$2:$A$6092,[1]PlanCuentas!W$2:W$6092)</f>
        <v>550517081</v>
      </c>
      <c r="G360" s="12">
        <f>LOOKUP(405020500,[1]PlanCuentas!$A$2:$A$6092,[1]PlanCuentas!W$2:W$6092)</f>
        <v>0</v>
      </c>
      <c r="H360" s="12">
        <f>LOOKUP(405020600,[1]PlanCuentas!$A$2:$A$6092,[1]PlanCuentas!W$2:W$6092)</f>
        <v>145135</v>
      </c>
      <c r="I360" s="12">
        <f>LOOKUP(405020700,[1]PlanCuentas!$A$2:$A$6092,[1]PlanCuentas!W$2:W$6092)</f>
        <v>3410</v>
      </c>
      <c r="J360" s="12">
        <f>LOOKUP(405020800,[1]PlanCuentas!$A$2:$A$6092,[1]PlanCuentas!W$2:W$6092)</f>
        <v>0</v>
      </c>
      <c r="K360" s="12">
        <f>LOOKUP(405020900,[1]PlanCuentas!$A$2:$A$6092,[1]PlanCuentas!W$2:W$6092)</f>
        <v>654743</v>
      </c>
      <c r="L360" s="12">
        <f>LOOKUP(405021000,[1]PlanCuentas!$A$2:$A$6092,[1]PlanCuentas!W$2:W$6092)</f>
        <v>126554</v>
      </c>
      <c r="M360" s="12">
        <f>LOOKUP(405021100,[1]PlanCuentas!$A$2:$A$6092,[1]PlanCuentas!W$2:W$6092)</f>
        <v>0</v>
      </c>
      <c r="N360" s="12">
        <f>LOOKUP(405021200,[1]PlanCuentas!$A$2:$A$6092,[1]PlanCuentas!W$2:W$6092)</f>
        <v>49065</v>
      </c>
      <c r="O360" s="12">
        <f>LOOKUP(405021300,[1]PlanCuentas!$A$2:$A$6092,[1]PlanCuentas!W$2:W$6092)</f>
        <v>0</v>
      </c>
      <c r="P360" s="12">
        <f>LOOKUP(405022000,[1]PlanCuentas!$A$2:$A$6092,[1]PlanCuentas!W$2:W$6092)</f>
        <v>43578</v>
      </c>
      <c r="Q360" s="13">
        <f t="shared" si="16"/>
        <v>552535093</v>
      </c>
    </row>
    <row r="361" spans="1:17" x14ac:dyDescent="0.2">
      <c r="A361" s="10">
        <v>22</v>
      </c>
      <c r="B361" s="11" t="str">
        <f>[1]Aseguradoras!B23</f>
        <v>Grupo General de Seguros y Reaseguros S.A.</v>
      </c>
      <c r="C361" s="12">
        <f>LOOKUP(405020100,[1]PlanCuentas!$A$2:$A$6092,[1]PlanCuentas!X$2:X$6092)</f>
        <v>101277405</v>
      </c>
      <c r="D361" s="12">
        <f>LOOKUP(405020200,[1]PlanCuentas!$A$2:$A$6092,[1]PlanCuentas!X$2:X$6092)</f>
        <v>19688624</v>
      </c>
      <c r="E361" s="12">
        <f>LOOKUP(405020300,[1]PlanCuentas!$A$2:$A$6092,[1]PlanCuentas!X$2:X$6092)</f>
        <v>11052566</v>
      </c>
      <c r="F361" s="12">
        <f>LOOKUP(405020400,[1]PlanCuentas!$A$2:$A$6092,[1]PlanCuentas!X$2:X$6092)</f>
        <v>940054966</v>
      </c>
      <c r="G361" s="12">
        <f>LOOKUP(405020500,[1]PlanCuentas!$A$2:$A$6092,[1]PlanCuentas!X$2:X$6092)</f>
        <v>0</v>
      </c>
      <c r="H361" s="12">
        <f>LOOKUP(405020600,[1]PlanCuentas!$A$2:$A$6092,[1]PlanCuentas!X$2:X$6092)</f>
        <v>95046653</v>
      </c>
      <c r="I361" s="12">
        <f>LOOKUP(405020700,[1]PlanCuentas!$A$2:$A$6092,[1]PlanCuentas!X$2:X$6092)</f>
        <v>4740417</v>
      </c>
      <c r="J361" s="12">
        <f>LOOKUP(405020800,[1]PlanCuentas!$A$2:$A$6092,[1]PlanCuentas!X$2:X$6092)</f>
        <v>0</v>
      </c>
      <c r="K361" s="12">
        <f>LOOKUP(405020900,[1]PlanCuentas!$A$2:$A$6092,[1]PlanCuentas!X$2:X$6092)</f>
        <v>16274696</v>
      </c>
      <c r="L361" s="12">
        <f>LOOKUP(405021000,[1]PlanCuentas!$A$2:$A$6092,[1]PlanCuentas!X$2:X$6092)</f>
        <v>12198931</v>
      </c>
      <c r="M361" s="12">
        <f>LOOKUP(405021100,[1]PlanCuentas!$A$2:$A$6092,[1]PlanCuentas!X$2:X$6092)</f>
        <v>12177610</v>
      </c>
      <c r="N361" s="12">
        <f>LOOKUP(405021200,[1]PlanCuentas!$A$2:$A$6092,[1]PlanCuentas!X$2:X$6092)</f>
        <v>8036372</v>
      </c>
      <c r="O361" s="12">
        <f>LOOKUP(405021300,[1]PlanCuentas!$A$2:$A$6092,[1]PlanCuentas!X$2:X$6092)</f>
        <v>1389952</v>
      </c>
      <c r="P361" s="12">
        <f>LOOKUP(405022000,[1]PlanCuentas!$A$2:$A$6092,[1]PlanCuentas!X$2:X$6092)</f>
        <v>38042</v>
      </c>
      <c r="Q361" s="13">
        <f t="shared" si="16"/>
        <v>1221976234</v>
      </c>
    </row>
    <row r="362" spans="1:17" x14ac:dyDescent="0.2">
      <c r="A362" s="10">
        <v>23</v>
      </c>
      <c r="B362" s="11" t="str">
        <f>[1]Aseguradoras!B24</f>
        <v>Alfa S.A de Seguros y Reaseguros</v>
      </c>
      <c r="C362" s="12">
        <f>LOOKUP(405020100,[1]PlanCuentas!$A$2:$A$6092,[1]PlanCuentas!Y$2:Y$6092)</f>
        <v>799678</v>
      </c>
      <c r="D362" s="12">
        <f>LOOKUP(405020200,[1]PlanCuentas!$A$2:$A$6092,[1]PlanCuentas!Y$2:Y$6092)</f>
        <v>112725</v>
      </c>
      <c r="E362" s="12">
        <f>LOOKUP(405020300,[1]PlanCuentas!$A$2:$A$6092,[1]PlanCuentas!Y$2:Y$6092)</f>
        <v>191643</v>
      </c>
      <c r="F362" s="12">
        <f>LOOKUP(405020400,[1]PlanCuentas!$A$2:$A$6092,[1]PlanCuentas!Y$2:Y$6092)</f>
        <v>122353837</v>
      </c>
      <c r="G362" s="12">
        <f>LOOKUP(405020500,[1]PlanCuentas!$A$2:$A$6092,[1]PlanCuentas!Y$2:Y$6092)</f>
        <v>38316257</v>
      </c>
      <c r="H362" s="12">
        <f>LOOKUP(405020600,[1]PlanCuentas!$A$2:$A$6092,[1]PlanCuentas!Y$2:Y$6092)</f>
        <v>151602</v>
      </c>
      <c r="I362" s="12">
        <f>LOOKUP(405020700,[1]PlanCuentas!$A$2:$A$6092,[1]PlanCuentas!Y$2:Y$6092)</f>
        <v>0</v>
      </c>
      <c r="J362" s="12">
        <f>LOOKUP(405020800,[1]PlanCuentas!$A$2:$A$6092,[1]PlanCuentas!Y$2:Y$6092)</f>
        <v>0</v>
      </c>
      <c r="K362" s="12">
        <f>LOOKUP(405020900,[1]PlanCuentas!$A$2:$A$6092,[1]PlanCuentas!Y$2:Y$6092)</f>
        <v>0</v>
      </c>
      <c r="L362" s="12">
        <f>LOOKUP(405021000,[1]PlanCuentas!$A$2:$A$6092,[1]PlanCuentas!Y$2:Y$6092)</f>
        <v>508572</v>
      </c>
      <c r="M362" s="12">
        <f>LOOKUP(405021100,[1]PlanCuentas!$A$2:$A$6092,[1]PlanCuentas!Y$2:Y$6092)</f>
        <v>0</v>
      </c>
      <c r="N362" s="12">
        <f>LOOKUP(405021200,[1]PlanCuentas!$A$2:$A$6092,[1]PlanCuentas!Y$2:Y$6092)</f>
        <v>0</v>
      </c>
      <c r="O362" s="12">
        <f>LOOKUP(405021300,[1]PlanCuentas!$A$2:$A$6092,[1]PlanCuentas!Y$2:Y$6092)</f>
        <v>0</v>
      </c>
      <c r="P362" s="12">
        <f>LOOKUP(405022000,[1]PlanCuentas!$A$2:$A$6092,[1]PlanCuentas!Y$2:Y$6092)</f>
        <v>0</v>
      </c>
      <c r="Q362" s="13">
        <f t="shared" si="16"/>
        <v>162434314</v>
      </c>
    </row>
    <row r="363" spans="1:17" x14ac:dyDescent="0.2">
      <c r="A363" s="10">
        <v>24</v>
      </c>
      <c r="B363" s="11" t="str">
        <f>[1]Aseguradoras!B25</f>
        <v>Cenit de Seguros S.A.</v>
      </c>
      <c r="C363" s="12">
        <f>LOOKUP(405020100,[1]PlanCuentas!$A$2:$A$6092,[1]PlanCuentas!Z$2:Z$6092)</f>
        <v>24696374</v>
      </c>
      <c r="D363" s="12">
        <f>LOOKUP(405020200,[1]PlanCuentas!$A$2:$A$6092,[1]PlanCuentas!Z$2:Z$6092)</f>
        <v>1745245</v>
      </c>
      <c r="E363" s="12">
        <f>LOOKUP(405020300,[1]PlanCuentas!$A$2:$A$6092,[1]PlanCuentas!Z$2:Z$6092)</f>
        <v>2401651</v>
      </c>
      <c r="F363" s="12">
        <f>LOOKUP(405020400,[1]PlanCuentas!$A$2:$A$6092,[1]PlanCuentas!Z$2:Z$6092)</f>
        <v>531834170</v>
      </c>
      <c r="G363" s="12">
        <f>LOOKUP(405020500,[1]PlanCuentas!$A$2:$A$6092,[1]PlanCuentas!Z$2:Z$6092)</f>
        <v>0</v>
      </c>
      <c r="H363" s="12">
        <f>LOOKUP(405020600,[1]PlanCuentas!$A$2:$A$6092,[1]PlanCuentas!Z$2:Z$6092)</f>
        <v>9482319</v>
      </c>
      <c r="I363" s="12">
        <f>LOOKUP(405020700,[1]PlanCuentas!$A$2:$A$6092,[1]PlanCuentas!Z$2:Z$6092)</f>
        <v>1184954</v>
      </c>
      <c r="J363" s="12">
        <f>LOOKUP(405020800,[1]PlanCuentas!$A$2:$A$6092,[1]PlanCuentas!Z$2:Z$6092)</f>
        <v>0</v>
      </c>
      <c r="K363" s="12">
        <f>LOOKUP(405020900,[1]PlanCuentas!$A$2:$A$6092,[1]PlanCuentas!Z$2:Z$6092)</f>
        <v>2292617</v>
      </c>
      <c r="L363" s="12">
        <f>LOOKUP(405021000,[1]PlanCuentas!$A$2:$A$6092,[1]PlanCuentas!Z$2:Z$6092)</f>
        <v>2941860</v>
      </c>
      <c r="M363" s="12">
        <f>LOOKUP(405021100,[1]PlanCuentas!$A$2:$A$6092,[1]PlanCuentas!Z$2:Z$6092)</f>
        <v>321583</v>
      </c>
      <c r="N363" s="12">
        <f>LOOKUP(405021200,[1]PlanCuentas!$A$2:$A$6092,[1]PlanCuentas!Z$2:Z$6092)</f>
        <v>418397</v>
      </c>
      <c r="O363" s="12">
        <f>LOOKUP(405021300,[1]PlanCuentas!$A$2:$A$6092,[1]PlanCuentas!Z$2:Z$6092)</f>
        <v>1</v>
      </c>
      <c r="P363" s="12">
        <f>LOOKUP(405022000,[1]PlanCuentas!$A$2:$A$6092,[1]PlanCuentas!Z$2:Z$6092)</f>
        <v>0</v>
      </c>
      <c r="Q363" s="13">
        <f t="shared" si="16"/>
        <v>577319171</v>
      </c>
    </row>
    <row r="364" spans="1:17" x14ac:dyDescent="0.2">
      <c r="A364" s="10">
        <v>25</v>
      </c>
      <c r="B364" s="11" t="str">
        <f>[1]Aseguradoras!B26</f>
        <v>La Meridional Paraguaya S.A de Seguros</v>
      </c>
      <c r="C364" s="12">
        <f>LOOKUP(405020100,[1]PlanCuentas!$A$2:$A$6092,[1]PlanCuentas!AA$2:AA$6092)</f>
        <v>0</v>
      </c>
      <c r="D364" s="12">
        <f>LOOKUP(405020200,[1]PlanCuentas!$A$2:$A$6092,[1]PlanCuentas!AA$2:AA$6092)</f>
        <v>0</v>
      </c>
      <c r="E364" s="12">
        <f>LOOKUP(405020300,[1]PlanCuentas!$A$2:$A$6092,[1]PlanCuentas!AA$2:AA$6092)</f>
        <v>0</v>
      </c>
      <c r="F364" s="12">
        <f>LOOKUP(405020400,[1]PlanCuentas!$A$2:$A$6092,[1]PlanCuentas!AA$2:AA$6092)</f>
        <v>0</v>
      </c>
      <c r="G364" s="12">
        <f>LOOKUP(405020500,[1]PlanCuentas!$A$2:$A$6092,[1]PlanCuentas!AA$2:AA$6092)</f>
        <v>0</v>
      </c>
      <c r="H364" s="12">
        <f>LOOKUP(405020600,[1]PlanCuentas!$A$2:$A$6092,[1]PlanCuentas!AA$2:AA$6092)</f>
        <v>0</v>
      </c>
      <c r="I364" s="12">
        <f>LOOKUP(405020700,[1]PlanCuentas!$A$2:$A$6092,[1]PlanCuentas!AA$2:AA$6092)</f>
        <v>0</v>
      </c>
      <c r="J364" s="12">
        <f>LOOKUP(405020800,[1]PlanCuentas!$A$2:$A$6092,[1]PlanCuentas!AA$2:AA$6092)</f>
        <v>0</v>
      </c>
      <c r="K364" s="12">
        <f>LOOKUP(405020900,[1]PlanCuentas!$A$2:$A$6092,[1]PlanCuentas!AA$2:AA$6092)</f>
        <v>0</v>
      </c>
      <c r="L364" s="12">
        <f>LOOKUP(405021000,[1]PlanCuentas!$A$2:$A$6092,[1]PlanCuentas!AA$2:AA$6092)</f>
        <v>0</v>
      </c>
      <c r="M364" s="12">
        <f>LOOKUP(405021100,[1]PlanCuentas!$A$2:$A$6092,[1]PlanCuentas!AA$2:AA$6092)</f>
        <v>0</v>
      </c>
      <c r="N364" s="12">
        <f>LOOKUP(405021200,[1]PlanCuentas!$A$2:$A$6092,[1]PlanCuentas!AA$2:AA$6092)</f>
        <v>0</v>
      </c>
      <c r="O364" s="12">
        <f>LOOKUP(405021300,[1]PlanCuentas!$A$2:$A$6092,[1]PlanCuentas!AA$2:AA$6092)</f>
        <v>0</v>
      </c>
      <c r="P364" s="12">
        <f>LOOKUP(405022000,[1]PlanCuentas!$A$2:$A$6092,[1]PlanCuentas!AA$2:AA$6092)</f>
        <v>0</v>
      </c>
      <c r="Q364" s="13">
        <f t="shared" si="16"/>
        <v>0</v>
      </c>
    </row>
    <row r="365" spans="1:17" x14ac:dyDescent="0.2">
      <c r="A365" s="10">
        <v>26</v>
      </c>
      <c r="B365" s="11" t="str">
        <f>[1]Aseguradoras!B27</f>
        <v>Aseguradora Del Este S.A de Seguros y Reaseguros</v>
      </c>
      <c r="C365" s="12">
        <f>LOOKUP(405020100,[1]PlanCuentas!$A$2:$A$6092,[1]PlanCuentas!AB$2:AB$6092)</f>
        <v>152458674</v>
      </c>
      <c r="D365" s="12">
        <f>LOOKUP(405020200,[1]PlanCuentas!$A$2:$A$6092,[1]PlanCuentas!AB$2:AB$6092)</f>
        <v>27075787</v>
      </c>
      <c r="E365" s="12">
        <f>LOOKUP(405020300,[1]PlanCuentas!$A$2:$A$6092,[1]PlanCuentas!AB$2:AB$6092)</f>
        <v>118004981</v>
      </c>
      <c r="F365" s="12">
        <f>LOOKUP(405020400,[1]PlanCuentas!$A$2:$A$6092,[1]PlanCuentas!AB$2:AB$6092)</f>
        <v>2678305636</v>
      </c>
      <c r="G365" s="12">
        <f>LOOKUP(405020500,[1]PlanCuentas!$A$2:$A$6092,[1]PlanCuentas!AB$2:AB$6092)</f>
        <v>0</v>
      </c>
      <c r="H365" s="12">
        <f>LOOKUP(405020600,[1]PlanCuentas!$A$2:$A$6092,[1]PlanCuentas!AB$2:AB$6092)</f>
        <v>46090733</v>
      </c>
      <c r="I365" s="12">
        <f>LOOKUP(405020700,[1]PlanCuentas!$A$2:$A$6092,[1]PlanCuentas!AB$2:AB$6092)</f>
        <v>3650396</v>
      </c>
      <c r="J365" s="12">
        <f>LOOKUP(405020800,[1]PlanCuentas!$A$2:$A$6092,[1]PlanCuentas!AB$2:AB$6092)</f>
        <v>0</v>
      </c>
      <c r="K365" s="12">
        <f>LOOKUP(405020900,[1]PlanCuentas!$A$2:$A$6092,[1]PlanCuentas!AB$2:AB$6092)</f>
        <v>32477175</v>
      </c>
      <c r="L365" s="12">
        <f>LOOKUP(405021000,[1]PlanCuentas!$A$2:$A$6092,[1]PlanCuentas!AB$2:AB$6092)</f>
        <v>23293817</v>
      </c>
      <c r="M365" s="12">
        <f>LOOKUP(405021100,[1]PlanCuentas!$A$2:$A$6092,[1]PlanCuentas!AB$2:AB$6092)</f>
        <v>9438748</v>
      </c>
      <c r="N365" s="12">
        <f>LOOKUP(405021200,[1]PlanCuentas!$A$2:$A$6092,[1]PlanCuentas!AB$2:AB$6092)</f>
        <v>42350731</v>
      </c>
      <c r="O365" s="12">
        <f>LOOKUP(405021300,[1]PlanCuentas!$A$2:$A$6092,[1]PlanCuentas!AB$2:AB$6092)</f>
        <v>3544135</v>
      </c>
      <c r="P365" s="12">
        <f>LOOKUP(405022000,[1]PlanCuentas!$A$2:$A$6092,[1]PlanCuentas!AB$2:AB$6092)</f>
        <v>18384771</v>
      </c>
      <c r="Q365" s="13">
        <f t="shared" si="16"/>
        <v>3155075584</v>
      </c>
    </row>
    <row r="366" spans="1:17" x14ac:dyDescent="0.2">
      <c r="A366" s="10">
        <v>27</v>
      </c>
      <c r="B366" s="11" t="str">
        <f>[1]Aseguradoras!B28</f>
        <v>Imperio S.A de Seguros y Reaseguros</v>
      </c>
      <c r="C366" s="12">
        <f>LOOKUP(405020100,[1]PlanCuentas!$A$2:$A$6092,[1]PlanCuentas!AC$2:AC$6092)</f>
        <v>0</v>
      </c>
      <c r="D366" s="12">
        <f>LOOKUP(405020200,[1]PlanCuentas!$A$2:$A$6092,[1]PlanCuentas!AC$2:AC$6092)</f>
        <v>0</v>
      </c>
      <c r="E366" s="12">
        <f>LOOKUP(405020300,[1]PlanCuentas!$A$2:$A$6092,[1]PlanCuentas!AC$2:AC$6092)</f>
        <v>0</v>
      </c>
      <c r="F366" s="12">
        <f>LOOKUP(405020400,[1]PlanCuentas!$A$2:$A$6092,[1]PlanCuentas!AC$2:AC$6092)</f>
        <v>0</v>
      </c>
      <c r="G366" s="12">
        <f>LOOKUP(405020500,[1]PlanCuentas!$A$2:$A$6092,[1]PlanCuentas!AC$2:AC$6092)</f>
        <v>0</v>
      </c>
      <c r="H366" s="12">
        <f>LOOKUP(405020600,[1]PlanCuentas!$A$2:$A$6092,[1]PlanCuentas!AC$2:AC$6092)</f>
        <v>0</v>
      </c>
      <c r="I366" s="12">
        <f>LOOKUP(405020700,[1]PlanCuentas!$A$2:$A$6092,[1]PlanCuentas!AC$2:AC$6092)</f>
        <v>0</v>
      </c>
      <c r="J366" s="12">
        <f>LOOKUP(405020800,[1]PlanCuentas!$A$2:$A$6092,[1]PlanCuentas!AC$2:AC$6092)</f>
        <v>0</v>
      </c>
      <c r="K366" s="12">
        <f>LOOKUP(405020900,[1]PlanCuentas!$A$2:$A$6092,[1]PlanCuentas!AC$2:AC$6092)</f>
        <v>0</v>
      </c>
      <c r="L366" s="12">
        <f>LOOKUP(405021000,[1]PlanCuentas!$A$2:$A$6092,[1]PlanCuentas!AC$2:AC$6092)</f>
        <v>0</v>
      </c>
      <c r="M366" s="12">
        <f>LOOKUP(405021100,[1]PlanCuentas!$A$2:$A$6092,[1]PlanCuentas!AC$2:AC$6092)</f>
        <v>0</v>
      </c>
      <c r="N366" s="12">
        <f>LOOKUP(405021200,[1]PlanCuentas!$A$2:$A$6092,[1]PlanCuentas!AC$2:AC$6092)</f>
        <v>0</v>
      </c>
      <c r="O366" s="12">
        <f>LOOKUP(405021300,[1]PlanCuentas!$A$2:$A$6092,[1]PlanCuentas!AC$2:AC$6092)</f>
        <v>0</v>
      </c>
      <c r="P366" s="12">
        <f>LOOKUP(405022000,[1]PlanCuentas!$A$2:$A$6092,[1]PlanCuentas!AC$2:AC$6092)</f>
        <v>0</v>
      </c>
      <c r="Q366" s="13">
        <f t="shared" si="16"/>
        <v>0</v>
      </c>
    </row>
    <row r="367" spans="1:17" x14ac:dyDescent="0.2">
      <c r="A367" s="10">
        <v>28</v>
      </c>
      <c r="B367" s="11" t="str">
        <f>[1]Aseguradoras!B29</f>
        <v>Regional S.A de Seguros y Reaseguros</v>
      </c>
      <c r="C367" s="12">
        <f>LOOKUP(405020100,[1]PlanCuentas!$A$2:$A$6092,[1]PlanCuentas!AD$2:AD$6092)</f>
        <v>93280997</v>
      </c>
      <c r="D367" s="12">
        <f>LOOKUP(405020200,[1]PlanCuentas!$A$2:$A$6092,[1]PlanCuentas!AD$2:AD$6092)</f>
        <v>16497891</v>
      </c>
      <c r="E367" s="12">
        <f>LOOKUP(405020300,[1]PlanCuentas!$A$2:$A$6092,[1]PlanCuentas!AD$2:AD$6092)</f>
        <v>5339791</v>
      </c>
      <c r="F367" s="12">
        <f>LOOKUP(405020400,[1]PlanCuentas!$A$2:$A$6092,[1]PlanCuentas!AD$2:AD$6092)</f>
        <v>824480022</v>
      </c>
      <c r="G367" s="12">
        <f>LOOKUP(405020500,[1]PlanCuentas!$A$2:$A$6092,[1]PlanCuentas!AD$2:AD$6092)</f>
        <v>0</v>
      </c>
      <c r="H367" s="12">
        <f>LOOKUP(405020600,[1]PlanCuentas!$A$2:$A$6092,[1]PlanCuentas!AD$2:AD$6092)</f>
        <v>56982828</v>
      </c>
      <c r="I367" s="12">
        <f>LOOKUP(405020700,[1]PlanCuentas!$A$2:$A$6092,[1]PlanCuentas!AD$2:AD$6092)</f>
        <v>1827922</v>
      </c>
      <c r="J367" s="12">
        <f>LOOKUP(405020800,[1]PlanCuentas!$A$2:$A$6092,[1]PlanCuentas!AD$2:AD$6092)</f>
        <v>0</v>
      </c>
      <c r="K367" s="12">
        <f>LOOKUP(405020900,[1]PlanCuentas!$A$2:$A$6092,[1]PlanCuentas!AD$2:AD$6092)</f>
        <v>6593035</v>
      </c>
      <c r="L367" s="12">
        <f>LOOKUP(405021000,[1]PlanCuentas!$A$2:$A$6092,[1]PlanCuentas!AD$2:AD$6092)</f>
        <v>4253304</v>
      </c>
      <c r="M367" s="12">
        <f>LOOKUP(405021100,[1]PlanCuentas!$A$2:$A$6092,[1]PlanCuentas!AD$2:AD$6092)</f>
        <v>0</v>
      </c>
      <c r="N367" s="12">
        <f>LOOKUP(405021200,[1]PlanCuentas!$A$2:$A$6092,[1]PlanCuentas!AD$2:AD$6092)</f>
        <v>5403881</v>
      </c>
      <c r="O367" s="12">
        <f>LOOKUP(405021300,[1]PlanCuentas!$A$2:$A$6092,[1]PlanCuentas!AD$2:AD$6092)</f>
        <v>266289</v>
      </c>
      <c r="P367" s="12">
        <f>LOOKUP(405022000,[1]PlanCuentas!$A$2:$A$6092,[1]PlanCuentas!AD$2:AD$6092)</f>
        <v>370989</v>
      </c>
      <c r="Q367" s="13">
        <f t="shared" si="16"/>
        <v>1015296949</v>
      </c>
    </row>
    <row r="368" spans="1:17" x14ac:dyDescent="0.2">
      <c r="A368" s="10">
        <v>29</v>
      </c>
      <c r="B368" s="11" t="str">
        <f>[1]Aseguradoras!B30</f>
        <v>Mapfre Paraguay Compañía de Seguros S.A.</v>
      </c>
      <c r="C368" s="12">
        <f>LOOKUP(405020100,[1]PlanCuentas!$A$2:$A$6092,[1]PlanCuentas!AE$2:AE$6092)</f>
        <v>0</v>
      </c>
      <c r="D368" s="12">
        <f>LOOKUP(405020200,[1]PlanCuentas!$A$2:$A$6092,[1]PlanCuentas!AE$2:AE$6092)</f>
        <v>0</v>
      </c>
      <c r="E368" s="12">
        <f>LOOKUP(405020300,[1]PlanCuentas!$A$2:$A$6092,[1]PlanCuentas!AE$2:AE$6092)</f>
        <v>0</v>
      </c>
      <c r="F368" s="12">
        <f>LOOKUP(405020400,[1]PlanCuentas!$A$2:$A$6092,[1]PlanCuentas!AE$2:AE$6092)</f>
        <v>4216749260</v>
      </c>
      <c r="G368" s="12">
        <f>LOOKUP(405020500,[1]PlanCuentas!$A$2:$A$6092,[1]PlanCuentas!AE$2:AE$6092)</f>
        <v>0</v>
      </c>
      <c r="H368" s="12">
        <f>LOOKUP(405020600,[1]PlanCuentas!$A$2:$A$6092,[1]PlanCuentas!AE$2:AE$6092)</f>
        <v>0</v>
      </c>
      <c r="I368" s="12">
        <f>LOOKUP(405020700,[1]PlanCuentas!$A$2:$A$6092,[1]PlanCuentas!AE$2:AE$6092)</f>
        <v>0</v>
      </c>
      <c r="J368" s="12">
        <f>LOOKUP(405020800,[1]PlanCuentas!$A$2:$A$6092,[1]PlanCuentas!AE$2:AE$6092)</f>
        <v>0</v>
      </c>
      <c r="K368" s="12">
        <f>LOOKUP(405020900,[1]PlanCuentas!$A$2:$A$6092,[1]PlanCuentas!AE$2:AE$6092)</f>
        <v>0</v>
      </c>
      <c r="L368" s="12">
        <f>LOOKUP(405021000,[1]PlanCuentas!$A$2:$A$6092,[1]PlanCuentas!AE$2:AE$6092)</f>
        <v>0</v>
      </c>
      <c r="M368" s="12">
        <f>LOOKUP(405021100,[1]PlanCuentas!$A$2:$A$6092,[1]PlanCuentas!AE$2:AE$6092)</f>
        <v>0</v>
      </c>
      <c r="N368" s="12">
        <f>LOOKUP(405021200,[1]PlanCuentas!$A$2:$A$6092,[1]PlanCuentas!AE$2:AE$6092)</f>
        <v>0</v>
      </c>
      <c r="O368" s="12">
        <f>LOOKUP(405021300,[1]PlanCuentas!$A$2:$A$6092,[1]PlanCuentas!AE$2:AE$6092)</f>
        <v>0</v>
      </c>
      <c r="P368" s="12">
        <f>LOOKUP(405022000,[1]PlanCuentas!$A$2:$A$6092,[1]PlanCuentas!AE$2:AE$6092)</f>
        <v>0</v>
      </c>
      <c r="Q368" s="13">
        <f t="shared" si="16"/>
        <v>4216749260</v>
      </c>
    </row>
    <row r="369" spans="1:17" x14ac:dyDescent="0.2">
      <c r="A369" s="10">
        <v>30</v>
      </c>
      <c r="B369" s="11" t="str">
        <f>[1]Aseguradoras!B31</f>
        <v>Aseguradora Tajy Propiedad Cooperativa S.A. de Seguros</v>
      </c>
      <c r="C369" s="12">
        <f>LOOKUP(405020100,[1]PlanCuentas!$A$2:$A$6092,[1]PlanCuentas!AF$2:AF$6092)</f>
        <v>0</v>
      </c>
      <c r="D369" s="12">
        <f>LOOKUP(405020200,[1]PlanCuentas!$A$2:$A$6092,[1]PlanCuentas!AF$2:AF$6092)</f>
        <v>272941</v>
      </c>
      <c r="E369" s="12">
        <f>LOOKUP(405020300,[1]PlanCuentas!$A$2:$A$6092,[1]PlanCuentas!AF$2:AF$6092)</f>
        <v>0</v>
      </c>
      <c r="F369" s="12">
        <f>LOOKUP(405020400,[1]PlanCuentas!$A$2:$A$6092,[1]PlanCuentas!AF$2:AF$6092)</f>
        <v>228353958</v>
      </c>
      <c r="G369" s="12">
        <f>LOOKUP(405020500,[1]PlanCuentas!$A$2:$A$6092,[1]PlanCuentas!AF$2:AF$6092)</f>
        <v>0</v>
      </c>
      <c r="H369" s="12">
        <f>LOOKUP(405020600,[1]PlanCuentas!$A$2:$A$6092,[1]PlanCuentas!AF$2:AF$6092)</f>
        <v>0</v>
      </c>
      <c r="I369" s="12">
        <f>LOOKUP(405020700,[1]PlanCuentas!$A$2:$A$6092,[1]PlanCuentas!AF$2:AF$6092)</f>
        <v>0</v>
      </c>
      <c r="J369" s="12">
        <f>LOOKUP(405020800,[1]PlanCuentas!$A$2:$A$6092,[1]PlanCuentas!AF$2:AF$6092)</f>
        <v>12895946</v>
      </c>
      <c r="K369" s="12">
        <f>LOOKUP(405020900,[1]PlanCuentas!$A$2:$A$6092,[1]PlanCuentas!AF$2:AF$6092)</f>
        <v>5841</v>
      </c>
      <c r="L369" s="12">
        <f>LOOKUP(405021000,[1]PlanCuentas!$A$2:$A$6092,[1]PlanCuentas!AF$2:AF$6092)</f>
        <v>0</v>
      </c>
      <c r="M369" s="12">
        <f>LOOKUP(405021100,[1]PlanCuentas!$A$2:$A$6092,[1]PlanCuentas!AF$2:AF$6092)</f>
        <v>0</v>
      </c>
      <c r="N369" s="12">
        <f>LOOKUP(405021200,[1]PlanCuentas!$A$2:$A$6092,[1]PlanCuentas!AF$2:AF$6092)</f>
        <v>0</v>
      </c>
      <c r="O369" s="12">
        <f>LOOKUP(405021300,[1]PlanCuentas!$A$2:$A$6092,[1]PlanCuentas!AF$2:AF$6092)</f>
        <v>0</v>
      </c>
      <c r="P369" s="12">
        <f>LOOKUP(405022000,[1]PlanCuentas!$A$2:$A$6092,[1]PlanCuentas!AF$2:AF$6092)</f>
        <v>1875</v>
      </c>
      <c r="Q369" s="13">
        <f t="shared" si="16"/>
        <v>241530561</v>
      </c>
    </row>
    <row r="370" spans="1:17" x14ac:dyDescent="0.2">
      <c r="A370" s="10">
        <v>31</v>
      </c>
      <c r="B370" s="11" t="str">
        <f>[1]Aseguradoras!B32</f>
        <v>Aseguradora del Sur S.A. Seguros Generales - ASUR</v>
      </c>
      <c r="C370" s="12">
        <f>LOOKUP(405020100,[1]PlanCuentas!$A$2:$A$6092,[1]PlanCuentas!AG$2:AG$6092)</f>
        <v>51497323</v>
      </c>
      <c r="D370" s="12">
        <f>LOOKUP(405020200,[1]PlanCuentas!$A$2:$A$6092,[1]PlanCuentas!AG$2:AG$6092)</f>
        <v>41253504</v>
      </c>
      <c r="E370" s="12">
        <f>LOOKUP(405020300,[1]PlanCuentas!$A$2:$A$6092,[1]PlanCuentas!AG$2:AG$6092)</f>
        <v>3436584</v>
      </c>
      <c r="F370" s="12">
        <f>LOOKUP(405020400,[1]PlanCuentas!$A$2:$A$6092,[1]PlanCuentas!AG$2:AG$6092)</f>
        <v>998873347</v>
      </c>
      <c r="G370" s="12">
        <f>LOOKUP(405020500,[1]PlanCuentas!$A$2:$A$6092,[1]PlanCuentas!AG$2:AG$6092)</f>
        <v>0</v>
      </c>
      <c r="H370" s="12">
        <f>LOOKUP(405020600,[1]PlanCuentas!$A$2:$A$6092,[1]PlanCuentas!AG$2:AG$6092)</f>
        <v>28020200</v>
      </c>
      <c r="I370" s="12">
        <f>LOOKUP(405020700,[1]PlanCuentas!$A$2:$A$6092,[1]PlanCuentas!AG$2:AG$6092)</f>
        <v>1389187</v>
      </c>
      <c r="J370" s="12">
        <f>LOOKUP(405020800,[1]PlanCuentas!$A$2:$A$6092,[1]PlanCuentas!AG$2:AG$6092)</f>
        <v>0</v>
      </c>
      <c r="K370" s="12">
        <f>LOOKUP(405020900,[1]PlanCuentas!$A$2:$A$6092,[1]PlanCuentas!AG$2:AG$6092)</f>
        <v>4416443</v>
      </c>
      <c r="L370" s="12">
        <f>LOOKUP(405021000,[1]PlanCuentas!$A$2:$A$6092,[1]PlanCuentas!AG$2:AG$6092)</f>
        <v>7069582</v>
      </c>
      <c r="M370" s="12">
        <f>LOOKUP(405021100,[1]PlanCuentas!$A$2:$A$6092,[1]PlanCuentas!AG$2:AG$6092)</f>
        <v>188717</v>
      </c>
      <c r="N370" s="12">
        <f>LOOKUP(405021200,[1]PlanCuentas!$A$2:$A$6092,[1]PlanCuentas!AG$2:AG$6092)</f>
        <v>923411</v>
      </c>
      <c r="O370" s="12">
        <f>LOOKUP(405021300,[1]PlanCuentas!$A$2:$A$6092,[1]PlanCuentas!AG$2:AG$6092)</f>
        <v>0</v>
      </c>
      <c r="P370" s="12">
        <f>LOOKUP(405022000,[1]PlanCuentas!$A$2:$A$6092,[1]PlanCuentas!AG$2:AG$6092)</f>
        <v>1373293</v>
      </c>
      <c r="Q370" s="13">
        <f t="shared" si="16"/>
        <v>1138441591</v>
      </c>
    </row>
    <row r="371" spans="1:17" x14ac:dyDescent="0.2">
      <c r="A371" s="10">
        <v>32</v>
      </c>
      <c r="B371" s="11" t="str">
        <f>[1]Aseguradoras!B33</f>
        <v>Panal Compañía De Seguros Generales S.A.</v>
      </c>
      <c r="C371" s="12">
        <f>LOOKUP(405020100,[1]PlanCuentas!$A$2:$A$6092,[1]PlanCuentas!AH$2:AH$6092)</f>
        <v>20406844</v>
      </c>
      <c r="D371" s="12">
        <f>LOOKUP(405020200,[1]PlanCuentas!$A$2:$A$6092,[1]PlanCuentas!AH$2:AH$6092)</f>
        <v>3303213</v>
      </c>
      <c r="E371" s="12">
        <f>LOOKUP(405020300,[1]PlanCuentas!$A$2:$A$6092,[1]PlanCuentas!AH$2:AH$6092)</f>
        <v>711316</v>
      </c>
      <c r="F371" s="12">
        <f>LOOKUP(405020400,[1]PlanCuentas!$A$2:$A$6092,[1]PlanCuentas!AH$2:AH$6092)</f>
        <v>452169362</v>
      </c>
      <c r="G371" s="12">
        <f>LOOKUP(405020500,[1]PlanCuentas!$A$2:$A$6092,[1]PlanCuentas!AH$2:AH$6092)</f>
        <v>0</v>
      </c>
      <c r="H371" s="12">
        <f>LOOKUP(405020600,[1]PlanCuentas!$A$2:$A$6092,[1]PlanCuentas!AH$2:AH$6092)</f>
        <v>33109140</v>
      </c>
      <c r="I371" s="12">
        <f>LOOKUP(405020700,[1]PlanCuentas!$A$2:$A$6092,[1]PlanCuentas!AH$2:AH$6092)</f>
        <v>1583717</v>
      </c>
      <c r="J371" s="12">
        <f>LOOKUP(405020800,[1]PlanCuentas!$A$2:$A$6092,[1]PlanCuentas!AH$2:AH$6092)</f>
        <v>0</v>
      </c>
      <c r="K371" s="12">
        <f>LOOKUP(405020900,[1]PlanCuentas!$A$2:$A$6092,[1]PlanCuentas!AH$2:AH$6092)</f>
        <v>11209997</v>
      </c>
      <c r="L371" s="12">
        <f>LOOKUP(405021000,[1]PlanCuentas!$A$2:$A$6092,[1]PlanCuentas!AH$2:AH$6092)</f>
        <v>1260948</v>
      </c>
      <c r="M371" s="12">
        <f>LOOKUP(405021100,[1]PlanCuentas!$A$2:$A$6092,[1]PlanCuentas!AH$2:AH$6092)</f>
        <v>0</v>
      </c>
      <c r="N371" s="12">
        <f>LOOKUP(405021200,[1]PlanCuentas!$A$2:$A$6092,[1]PlanCuentas!AH$2:AH$6092)</f>
        <v>2693260</v>
      </c>
      <c r="O371" s="12">
        <f>LOOKUP(405021300,[1]PlanCuentas!$A$2:$A$6092,[1]PlanCuentas!AH$2:AH$6092)</f>
        <v>0</v>
      </c>
      <c r="P371" s="12">
        <f>LOOKUP(405022000,[1]PlanCuentas!$A$2:$A$6092,[1]PlanCuentas!AH$2:AH$6092)</f>
        <v>0</v>
      </c>
      <c r="Q371" s="13">
        <f t="shared" si="16"/>
        <v>526447797</v>
      </c>
    </row>
    <row r="372" spans="1:17" x14ac:dyDescent="0.2">
      <c r="A372" s="10">
        <v>33</v>
      </c>
      <c r="B372" s="11" t="str">
        <f>[1]Aseguradoras!B34</f>
        <v>Sancor Seguros del Paraguay S.A.</v>
      </c>
      <c r="C372" s="12">
        <f>LOOKUP(405020100,[1]PlanCuentas!$A$2:$A$6092,[1]PlanCuentas!AI$2:AI$6092)</f>
        <v>864302</v>
      </c>
      <c r="D372" s="12">
        <f>LOOKUP(405020200,[1]PlanCuentas!$A$2:$A$6092,[1]PlanCuentas!AI$2:AI$6092)</f>
        <v>322971</v>
      </c>
      <c r="E372" s="12">
        <f>LOOKUP(405020300,[1]PlanCuentas!$A$2:$A$6092,[1]PlanCuentas!AI$2:AI$6092)</f>
        <v>3082245</v>
      </c>
      <c r="F372" s="12">
        <f>LOOKUP(405020400,[1]PlanCuentas!$A$2:$A$6092,[1]PlanCuentas!AI$2:AI$6092)</f>
        <v>4837468</v>
      </c>
      <c r="G372" s="12">
        <f>LOOKUP(405020500,[1]PlanCuentas!$A$2:$A$6092,[1]PlanCuentas!AI$2:AI$6092)</f>
        <v>0</v>
      </c>
      <c r="H372" s="12">
        <f>LOOKUP(405020600,[1]PlanCuentas!$A$2:$A$6092,[1]PlanCuentas!AI$2:AI$6092)</f>
        <v>672510</v>
      </c>
      <c r="I372" s="12">
        <f>LOOKUP(405020700,[1]PlanCuentas!$A$2:$A$6092,[1]PlanCuentas!AI$2:AI$6092)</f>
        <v>0</v>
      </c>
      <c r="J372" s="12">
        <f>LOOKUP(405020800,[1]PlanCuentas!$A$2:$A$6092,[1]PlanCuentas!AI$2:AI$6092)</f>
        <v>240853628</v>
      </c>
      <c r="K372" s="12">
        <f>LOOKUP(405020900,[1]PlanCuentas!$A$2:$A$6092,[1]PlanCuentas!AI$2:AI$6092)</f>
        <v>3568342</v>
      </c>
      <c r="L372" s="12">
        <f>LOOKUP(405021000,[1]PlanCuentas!$A$2:$A$6092,[1]PlanCuentas!AI$2:AI$6092)</f>
        <v>280356</v>
      </c>
      <c r="M372" s="12">
        <f>LOOKUP(405021100,[1]PlanCuentas!$A$2:$A$6092,[1]PlanCuentas!AI$2:AI$6092)</f>
        <v>637203</v>
      </c>
      <c r="N372" s="12">
        <f>LOOKUP(405021200,[1]PlanCuentas!$A$2:$A$6092,[1]PlanCuentas!AI$2:AI$6092)</f>
        <v>1064868</v>
      </c>
      <c r="O372" s="12">
        <f>LOOKUP(405021300,[1]PlanCuentas!$A$2:$A$6092,[1]PlanCuentas!AI$2:AI$6092)</f>
        <v>0</v>
      </c>
      <c r="P372" s="12">
        <f>LOOKUP(405022000,[1]PlanCuentas!$A$2:$A$6092,[1]PlanCuentas!AI$2:AI$6092)</f>
        <v>2371910</v>
      </c>
      <c r="Q372" s="13">
        <f>SUM(C372:P372)</f>
        <v>258555803</v>
      </c>
    </row>
    <row r="373" spans="1:17" x14ac:dyDescent="0.2">
      <c r="A373" s="14"/>
      <c r="B373" s="15" t="s">
        <v>18</v>
      </c>
      <c r="C373" s="17">
        <f t="shared" ref="C373:Q373" si="17">SUBTOTAL(109,C340:C372)</f>
        <v>1186374933</v>
      </c>
      <c r="D373" s="17">
        <f t="shared" si="17"/>
        <v>312092060</v>
      </c>
      <c r="E373" s="17">
        <f t="shared" si="17"/>
        <v>268986007</v>
      </c>
      <c r="F373" s="17">
        <f t="shared" si="17"/>
        <v>22756924991</v>
      </c>
      <c r="G373" s="17">
        <f t="shared" si="17"/>
        <v>89008464</v>
      </c>
      <c r="H373" s="17">
        <f t="shared" si="17"/>
        <v>508118226</v>
      </c>
      <c r="I373" s="17">
        <f t="shared" si="17"/>
        <v>20479697</v>
      </c>
      <c r="J373" s="17">
        <f t="shared" si="17"/>
        <v>253749574</v>
      </c>
      <c r="K373" s="17">
        <f t="shared" si="17"/>
        <v>359824588</v>
      </c>
      <c r="L373" s="17">
        <f t="shared" si="17"/>
        <v>265425460</v>
      </c>
      <c r="M373" s="17">
        <f t="shared" si="17"/>
        <v>40576030</v>
      </c>
      <c r="N373" s="17">
        <f t="shared" si="17"/>
        <v>263392171</v>
      </c>
      <c r="O373" s="17">
        <f t="shared" si="17"/>
        <v>281058426</v>
      </c>
      <c r="P373" s="17">
        <f t="shared" si="17"/>
        <v>55998495</v>
      </c>
      <c r="Q373" s="17">
        <f t="shared" si="17"/>
        <v>26662009122</v>
      </c>
    </row>
    <row r="374" spans="1:17" x14ac:dyDescent="0.2"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</row>
    <row r="375" spans="1:17" ht="28.35" customHeight="1" x14ac:dyDescent="0.2">
      <c r="A375" s="1" t="s">
        <v>30</v>
      </c>
      <c r="B375" s="47" t="s">
        <v>33</v>
      </c>
      <c r="C375" s="47"/>
      <c r="D375" s="2"/>
      <c r="E375" s="3"/>
      <c r="F375" s="4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</row>
    <row r="376" spans="1:17" ht="24" x14ac:dyDescent="0.2">
      <c r="A376" s="7" t="s">
        <v>2</v>
      </c>
      <c r="B376" s="8" t="s">
        <v>3</v>
      </c>
      <c r="C376" s="9" t="s">
        <v>4</v>
      </c>
      <c r="D376" s="9" t="s">
        <v>5</v>
      </c>
      <c r="E376" s="9" t="s">
        <v>6</v>
      </c>
      <c r="F376" s="9" t="s">
        <v>7</v>
      </c>
      <c r="G376" s="9" t="s">
        <v>8</v>
      </c>
      <c r="H376" s="9" t="s">
        <v>9</v>
      </c>
      <c r="I376" s="9" t="s">
        <v>10</v>
      </c>
      <c r="J376" s="9" t="s">
        <v>11</v>
      </c>
      <c r="K376" s="9" t="s">
        <v>12</v>
      </c>
      <c r="L376" s="9" t="s">
        <v>13</v>
      </c>
      <c r="M376" s="9" t="s">
        <v>14</v>
      </c>
      <c r="N376" s="9" t="s">
        <v>15</v>
      </c>
      <c r="O376" s="9" t="s">
        <v>16</v>
      </c>
      <c r="P376" s="9" t="s">
        <v>17</v>
      </c>
      <c r="Q376" s="8" t="s">
        <v>18</v>
      </c>
    </row>
    <row r="377" spans="1:17" x14ac:dyDescent="0.2">
      <c r="A377" s="10">
        <v>1</v>
      </c>
      <c r="B377" s="11" t="str">
        <f>[1]Aseguradoras!B2</f>
        <v>El Comercio Paraguayo S.A. de Seguros</v>
      </c>
      <c r="C377" s="12">
        <f>LOOKUP(405030100,[1]PlanCuentas!$A$2:$A$6092,[1]PlanCuentas!C$2:C$6092)</f>
        <v>0</v>
      </c>
      <c r="D377" s="12">
        <f>LOOKUP(405030200,[1]PlanCuentas!$A$2:$A$6092,[1]PlanCuentas!C$2:C$6092)</f>
        <v>0</v>
      </c>
      <c r="E377" s="12">
        <f>LOOKUP(405030300,[1]PlanCuentas!$A$2:$A$6092,[1]PlanCuentas!C$2:C$6092)</f>
        <v>0</v>
      </c>
      <c r="F377" s="12">
        <f>LOOKUP(405030400,[1]PlanCuentas!$A$2:$A$6092,[1]PlanCuentas!C$2:C$6092)</f>
        <v>0</v>
      </c>
      <c r="G377" s="12">
        <f>LOOKUP(405030500,[1]PlanCuentas!$A$2:$A$6092,[1]PlanCuentas!C$2:C$6092)</f>
        <v>2212866</v>
      </c>
      <c r="H377" s="12">
        <f>LOOKUP(405030600,[1]PlanCuentas!$A$2:$A$6092,[1]PlanCuentas!C$2:C$6092)</f>
        <v>0</v>
      </c>
      <c r="I377" s="12">
        <f>LOOKUP(405030700,[1]PlanCuentas!$A$2:$A$6092,[1]PlanCuentas!C$2:C$6092)</f>
        <v>0</v>
      </c>
      <c r="J377" s="12">
        <f>LOOKUP(405030800,[1]PlanCuentas!$A$2:$A$6092,[1]PlanCuentas!C$2:C$6092)</f>
        <v>0</v>
      </c>
      <c r="K377" s="12">
        <f>LOOKUP(405030900,[1]PlanCuentas!$A$2:$A$6092,[1]PlanCuentas!C$2:C$6092)</f>
        <v>0</v>
      </c>
      <c r="L377" s="12">
        <f>LOOKUP(405031000,[1]PlanCuentas!$A$2:$A$6092,[1]PlanCuentas!C$2:C$6092)</f>
        <v>0</v>
      </c>
      <c r="M377" s="12">
        <f>LOOKUP(405031100,[1]PlanCuentas!$A$2:$A$6092,[1]PlanCuentas!C$2:C$6092)</f>
        <v>0</v>
      </c>
      <c r="N377" s="12">
        <f>LOOKUP(405031200,[1]PlanCuentas!$A$2:$A$6092,[1]PlanCuentas!C$2:C$6092)</f>
        <v>0</v>
      </c>
      <c r="O377" s="12">
        <f>LOOKUP(405031300,[1]PlanCuentas!$A$2:$A$6092,[1]PlanCuentas!C$2:C$6092)</f>
        <v>0</v>
      </c>
      <c r="P377" s="12">
        <f>LOOKUP(405032000,[1]PlanCuentas!$A$2:$A$6092,[1]PlanCuentas!C$2:C$6092)</f>
        <v>0</v>
      </c>
      <c r="Q377" s="13">
        <f t="shared" ref="Q377:Q408" si="18">SUM(C377:P377)</f>
        <v>2212866</v>
      </c>
    </row>
    <row r="378" spans="1:17" x14ac:dyDescent="0.2">
      <c r="A378" s="10">
        <v>2</v>
      </c>
      <c r="B378" s="11" t="str">
        <f>[1]Aseguradoras!B3</f>
        <v>La Rural S.A de Seguros</v>
      </c>
      <c r="C378" s="12">
        <f>LOOKUP(405030100,[1]PlanCuentas!$A$2:$A$6092,[1]PlanCuentas!D$2:D$6092)</f>
        <v>24140579</v>
      </c>
      <c r="D378" s="12">
        <f>LOOKUP(405030200,[1]PlanCuentas!$A$2:$A$6092,[1]PlanCuentas!D$2:D$6092)</f>
        <v>38208</v>
      </c>
      <c r="E378" s="12">
        <f>LOOKUP(405030300,[1]PlanCuentas!$A$2:$A$6092,[1]PlanCuentas!D$2:D$6092)</f>
        <v>296411</v>
      </c>
      <c r="F378" s="12">
        <f>LOOKUP(405030400,[1]PlanCuentas!$A$2:$A$6092,[1]PlanCuentas!D$2:D$6092)</f>
        <v>37119598</v>
      </c>
      <c r="G378" s="12">
        <f>LOOKUP(405030500,[1]PlanCuentas!$A$2:$A$6092,[1]PlanCuentas!D$2:D$6092)</f>
        <v>0</v>
      </c>
      <c r="H378" s="12">
        <f>LOOKUP(405030600,[1]PlanCuentas!$A$2:$A$6092,[1]PlanCuentas!D$2:D$6092)</f>
        <v>2159360</v>
      </c>
      <c r="I378" s="12">
        <f>LOOKUP(405030700,[1]PlanCuentas!$A$2:$A$6092,[1]PlanCuentas!D$2:D$6092)</f>
        <v>327868</v>
      </c>
      <c r="J378" s="12">
        <f>LOOKUP(405030800,[1]PlanCuentas!$A$2:$A$6092,[1]PlanCuentas!D$2:D$6092)</f>
        <v>0</v>
      </c>
      <c r="K378" s="12">
        <f>LOOKUP(405030900,[1]PlanCuentas!$A$2:$A$6092,[1]PlanCuentas!D$2:D$6092)</f>
        <v>21172</v>
      </c>
      <c r="L378" s="12">
        <f>LOOKUP(405031000,[1]PlanCuentas!$A$2:$A$6092,[1]PlanCuentas!D$2:D$6092)</f>
        <v>1269210</v>
      </c>
      <c r="M378" s="12">
        <f>LOOKUP(405031100,[1]PlanCuentas!$A$2:$A$6092,[1]PlanCuentas!D$2:D$6092)</f>
        <v>0</v>
      </c>
      <c r="N378" s="12">
        <f>LOOKUP(405031200,[1]PlanCuentas!$A$2:$A$6092,[1]PlanCuentas!D$2:D$6092)</f>
        <v>2124504</v>
      </c>
      <c r="O378" s="12">
        <f>LOOKUP(405031300,[1]PlanCuentas!$A$2:$A$6092,[1]PlanCuentas!D$2:D$6092)</f>
        <v>0</v>
      </c>
      <c r="P378" s="12">
        <f>LOOKUP(405032000,[1]PlanCuentas!$A$2:$A$6092,[1]PlanCuentas!D$2:D$6092)</f>
        <v>0</v>
      </c>
      <c r="Q378" s="13">
        <f t="shared" si="18"/>
        <v>67496910</v>
      </c>
    </row>
    <row r="379" spans="1:17" x14ac:dyDescent="0.2">
      <c r="A379" s="10">
        <v>3</v>
      </c>
      <c r="B379" s="11" t="str">
        <f>[1]Aseguradoras!B4</f>
        <v>La Paraguaya S.A de Seguros</v>
      </c>
      <c r="C379" s="12">
        <f>LOOKUP(405030100,[1]PlanCuentas!$A$2:$A$6092,[1]PlanCuentas!E$2:E$6092)</f>
        <v>0</v>
      </c>
      <c r="D379" s="12">
        <f>LOOKUP(405030200,[1]PlanCuentas!$A$2:$A$6092,[1]PlanCuentas!E$2:E$6092)</f>
        <v>0</v>
      </c>
      <c r="E379" s="12">
        <f>LOOKUP(405030300,[1]PlanCuentas!$A$2:$A$6092,[1]PlanCuentas!E$2:E$6092)</f>
        <v>0</v>
      </c>
      <c r="F379" s="12">
        <f>LOOKUP(405030400,[1]PlanCuentas!$A$2:$A$6092,[1]PlanCuentas!E$2:E$6092)</f>
        <v>0</v>
      </c>
      <c r="G379" s="12">
        <f>LOOKUP(405030500,[1]PlanCuentas!$A$2:$A$6092,[1]PlanCuentas!E$2:E$6092)</f>
        <v>0</v>
      </c>
      <c r="H379" s="12">
        <f>LOOKUP(405030600,[1]PlanCuentas!$A$2:$A$6092,[1]PlanCuentas!E$2:E$6092)</f>
        <v>0</v>
      </c>
      <c r="I379" s="12">
        <f>LOOKUP(405030700,[1]PlanCuentas!$A$2:$A$6092,[1]PlanCuentas!E$2:E$6092)</f>
        <v>0</v>
      </c>
      <c r="J379" s="12">
        <f>LOOKUP(405030800,[1]PlanCuentas!$A$2:$A$6092,[1]PlanCuentas!E$2:E$6092)</f>
        <v>0</v>
      </c>
      <c r="K379" s="12">
        <f>LOOKUP(405030900,[1]PlanCuentas!$A$2:$A$6092,[1]PlanCuentas!E$2:E$6092)</f>
        <v>0</v>
      </c>
      <c r="L379" s="12">
        <f>LOOKUP(405031000,[1]PlanCuentas!$A$2:$A$6092,[1]PlanCuentas!E$2:E$6092)</f>
        <v>1075</v>
      </c>
      <c r="M379" s="12">
        <f>LOOKUP(405031100,[1]PlanCuentas!$A$2:$A$6092,[1]PlanCuentas!E$2:E$6092)</f>
        <v>0</v>
      </c>
      <c r="N379" s="12">
        <f>LOOKUP(405031200,[1]PlanCuentas!$A$2:$A$6092,[1]PlanCuentas!E$2:E$6092)</f>
        <v>0</v>
      </c>
      <c r="O379" s="12">
        <f>LOOKUP(405031300,[1]PlanCuentas!$A$2:$A$6092,[1]PlanCuentas!E$2:E$6092)</f>
        <v>0</v>
      </c>
      <c r="P379" s="12">
        <f>LOOKUP(405032000,[1]PlanCuentas!$A$2:$A$6092,[1]PlanCuentas!E$2:E$6092)</f>
        <v>0</v>
      </c>
      <c r="Q379" s="13">
        <f t="shared" si="18"/>
        <v>1075</v>
      </c>
    </row>
    <row r="380" spans="1:17" x14ac:dyDescent="0.2">
      <c r="A380" s="10">
        <v>4</v>
      </c>
      <c r="B380" s="11" t="str">
        <f>[1]Aseguradoras!B5</f>
        <v>Seguros Generales S. A (SEGESA)</v>
      </c>
      <c r="C380" s="12">
        <f>LOOKUP(405030100,[1]PlanCuentas!$A$2:$A$6092,[1]PlanCuentas!F$2:F$6092)</f>
        <v>195362</v>
      </c>
      <c r="D380" s="12">
        <f>LOOKUP(405030200,[1]PlanCuentas!$A$2:$A$6092,[1]PlanCuentas!F$2:F$6092)</f>
        <v>0</v>
      </c>
      <c r="E380" s="12">
        <f>LOOKUP(405030300,[1]PlanCuentas!$A$2:$A$6092,[1]PlanCuentas!F$2:F$6092)</f>
        <v>0</v>
      </c>
      <c r="F380" s="12">
        <f>LOOKUP(405030400,[1]PlanCuentas!$A$2:$A$6092,[1]PlanCuentas!F$2:F$6092)</f>
        <v>3094252</v>
      </c>
      <c r="G380" s="12">
        <f>LOOKUP(405030500,[1]PlanCuentas!$A$2:$A$6092,[1]PlanCuentas!F$2:F$6092)</f>
        <v>39753572</v>
      </c>
      <c r="H380" s="12">
        <f>LOOKUP(405030600,[1]PlanCuentas!$A$2:$A$6092,[1]PlanCuentas!F$2:F$6092)</f>
        <v>30000</v>
      </c>
      <c r="I380" s="12">
        <f>LOOKUP(405030700,[1]PlanCuentas!$A$2:$A$6092,[1]PlanCuentas!F$2:F$6092)</f>
        <v>0</v>
      </c>
      <c r="J380" s="12">
        <f>LOOKUP(405030800,[1]PlanCuentas!$A$2:$A$6092,[1]PlanCuentas!F$2:F$6092)</f>
        <v>0</v>
      </c>
      <c r="K380" s="12">
        <f>LOOKUP(405030900,[1]PlanCuentas!$A$2:$A$6092,[1]PlanCuentas!F$2:F$6092)</f>
        <v>0</v>
      </c>
      <c r="L380" s="12">
        <f>LOOKUP(405031000,[1]PlanCuentas!$A$2:$A$6092,[1]PlanCuentas!F$2:F$6092)</f>
        <v>1075</v>
      </c>
      <c r="M380" s="12">
        <f>LOOKUP(405031100,[1]PlanCuentas!$A$2:$A$6092,[1]PlanCuentas!F$2:F$6092)</f>
        <v>0</v>
      </c>
      <c r="N380" s="12">
        <f>LOOKUP(405031200,[1]PlanCuentas!$A$2:$A$6092,[1]PlanCuentas!F$2:F$6092)</f>
        <v>0</v>
      </c>
      <c r="O380" s="12">
        <f>LOOKUP(405031300,[1]PlanCuentas!$A$2:$A$6092,[1]PlanCuentas!F$2:F$6092)</f>
        <v>353229</v>
      </c>
      <c r="P380" s="12">
        <f>LOOKUP(405032000,[1]PlanCuentas!$A$2:$A$6092,[1]PlanCuentas!F$2:F$6092)</f>
        <v>0</v>
      </c>
      <c r="Q380" s="13">
        <f t="shared" si="18"/>
        <v>43427490</v>
      </c>
    </row>
    <row r="381" spans="1:17" x14ac:dyDescent="0.2">
      <c r="A381" s="10">
        <v>5</v>
      </c>
      <c r="B381" s="11" t="str">
        <f>[1]Aseguradoras!B6</f>
        <v>Rumbos S.A de Seguros</v>
      </c>
      <c r="C381" s="12">
        <f>LOOKUP(405030100,[1]PlanCuentas!$A$2:$A$6092,[1]PlanCuentas!G$2:G$6092)</f>
        <v>0</v>
      </c>
      <c r="D381" s="12">
        <f>LOOKUP(405030200,[1]PlanCuentas!$A$2:$A$6092,[1]PlanCuentas!G$2:G$6092)</f>
        <v>0</v>
      </c>
      <c r="E381" s="12">
        <f>LOOKUP(405030300,[1]PlanCuentas!$A$2:$A$6092,[1]PlanCuentas!G$2:G$6092)</f>
        <v>0</v>
      </c>
      <c r="F381" s="12">
        <f>LOOKUP(405030400,[1]PlanCuentas!$A$2:$A$6092,[1]PlanCuentas!G$2:G$6092)</f>
        <v>0</v>
      </c>
      <c r="G381" s="12">
        <f>LOOKUP(405030500,[1]PlanCuentas!$A$2:$A$6092,[1]PlanCuentas!G$2:G$6092)</f>
        <v>0</v>
      </c>
      <c r="H381" s="12">
        <f>LOOKUP(405030600,[1]PlanCuentas!$A$2:$A$6092,[1]PlanCuentas!G$2:G$6092)</f>
        <v>0</v>
      </c>
      <c r="I381" s="12">
        <f>LOOKUP(405030700,[1]PlanCuentas!$A$2:$A$6092,[1]PlanCuentas!G$2:G$6092)</f>
        <v>0</v>
      </c>
      <c r="J381" s="12">
        <f>LOOKUP(405030800,[1]PlanCuentas!$A$2:$A$6092,[1]PlanCuentas!G$2:G$6092)</f>
        <v>0</v>
      </c>
      <c r="K381" s="12">
        <f>LOOKUP(405030900,[1]PlanCuentas!$A$2:$A$6092,[1]PlanCuentas!G$2:G$6092)</f>
        <v>0</v>
      </c>
      <c r="L381" s="12">
        <f>LOOKUP(405031000,[1]PlanCuentas!$A$2:$A$6092,[1]PlanCuentas!G$2:G$6092)</f>
        <v>0</v>
      </c>
      <c r="M381" s="12">
        <f>LOOKUP(405031100,[1]PlanCuentas!$A$2:$A$6092,[1]PlanCuentas!G$2:G$6092)</f>
        <v>0</v>
      </c>
      <c r="N381" s="12">
        <f>LOOKUP(405031200,[1]PlanCuentas!$A$2:$A$6092,[1]PlanCuentas!G$2:G$6092)</f>
        <v>0</v>
      </c>
      <c r="O381" s="12">
        <f>LOOKUP(405031300,[1]PlanCuentas!$A$2:$A$6092,[1]PlanCuentas!G$2:G$6092)</f>
        <v>0</v>
      </c>
      <c r="P381" s="12">
        <f>LOOKUP(405032000,[1]PlanCuentas!$A$2:$A$6092,[1]PlanCuentas!G$2:G$6092)</f>
        <v>0</v>
      </c>
      <c r="Q381" s="13">
        <f t="shared" si="18"/>
        <v>0</v>
      </c>
    </row>
    <row r="382" spans="1:17" x14ac:dyDescent="0.2">
      <c r="A382" s="10">
        <v>6</v>
      </c>
      <c r="B382" s="11" t="str">
        <f>[1]Aseguradoras!B7</f>
        <v>La Consolidada S.A de Seguros</v>
      </c>
      <c r="C382" s="12">
        <f>LOOKUP(405030100,[1]PlanCuentas!$A$2:$A$6092,[1]PlanCuentas!H$2:H$6092)</f>
        <v>0</v>
      </c>
      <c r="D382" s="12">
        <f>LOOKUP(405030200,[1]PlanCuentas!$A$2:$A$6092,[1]PlanCuentas!H$2:H$6092)</f>
        <v>0</v>
      </c>
      <c r="E382" s="12">
        <f>LOOKUP(405030300,[1]PlanCuentas!$A$2:$A$6092,[1]PlanCuentas!H$2:H$6092)</f>
        <v>0</v>
      </c>
      <c r="F382" s="12">
        <f>LOOKUP(405030400,[1]PlanCuentas!$A$2:$A$6092,[1]PlanCuentas!H$2:H$6092)</f>
        <v>0</v>
      </c>
      <c r="G382" s="12">
        <f>LOOKUP(405030500,[1]PlanCuentas!$A$2:$A$6092,[1]PlanCuentas!H$2:H$6092)</f>
        <v>2212866</v>
      </c>
      <c r="H382" s="12">
        <f>LOOKUP(405030600,[1]PlanCuentas!$A$2:$A$6092,[1]PlanCuentas!H$2:H$6092)</f>
        <v>0</v>
      </c>
      <c r="I382" s="12">
        <f>LOOKUP(405030700,[1]PlanCuentas!$A$2:$A$6092,[1]PlanCuentas!H$2:H$6092)</f>
        <v>0</v>
      </c>
      <c r="J382" s="12">
        <f>LOOKUP(405030800,[1]PlanCuentas!$A$2:$A$6092,[1]PlanCuentas!H$2:H$6092)</f>
        <v>0</v>
      </c>
      <c r="K382" s="12">
        <f>LOOKUP(405030900,[1]PlanCuentas!$A$2:$A$6092,[1]PlanCuentas!H$2:H$6092)</f>
        <v>0</v>
      </c>
      <c r="L382" s="12">
        <f>LOOKUP(405031000,[1]PlanCuentas!$A$2:$A$6092,[1]PlanCuentas!H$2:H$6092)</f>
        <v>994</v>
      </c>
      <c r="M382" s="12">
        <f>LOOKUP(405031100,[1]PlanCuentas!$A$2:$A$6092,[1]PlanCuentas!H$2:H$6092)</f>
        <v>0</v>
      </c>
      <c r="N382" s="12">
        <f>LOOKUP(405031200,[1]PlanCuentas!$A$2:$A$6092,[1]PlanCuentas!H$2:H$6092)</f>
        <v>0</v>
      </c>
      <c r="O382" s="12">
        <f>LOOKUP(405031300,[1]PlanCuentas!$A$2:$A$6092,[1]PlanCuentas!H$2:H$6092)</f>
        <v>0</v>
      </c>
      <c r="P382" s="12">
        <f>LOOKUP(405032000,[1]PlanCuentas!$A$2:$A$6092,[1]PlanCuentas!H$2:H$6092)</f>
        <v>0</v>
      </c>
      <c r="Q382" s="13">
        <f t="shared" si="18"/>
        <v>2213860</v>
      </c>
    </row>
    <row r="383" spans="1:17" x14ac:dyDescent="0.2">
      <c r="A383" s="10">
        <v>7</v>
      </c>
      <c r="B383" s="11" t="str">
        <f>[1]Aseguradoras!B8</f>
        <v>El Productor S.A de Seguros y Reaseguros</v>
      </c>
      <c r="C383" s="12">
        <f>LOOKUP(405030100,[1]PlanCuentas!$A$2:$A$6092,[1]PlanCuentas!I$2:I$6092)</f>
        <v>0</v>
      </c>
      <c r="D383" s="12">
        <f>LOOKUP(405030200,[1]PlanCuentas!$A$2:$A$6092,[1]PlanCuentas!I$2:I$6092)</f>
        <v>0</v>
      </c>
      <c r="E383" s="12">
        <f>LOOKUP(405030300,[1]PlanCuentas!$A$2:$A$6092,[1]PlanCuentas!I$2:I$6092)</f>
        <v>0</v>
      </c>
      <c r="F383" s="12">
        <f>LOOKUP(405030400,[1]PlanCuentas!$A$2:$A$6092,[1]PlanCuentas!I$2:I$6092)</f>
        <v>0</v>
      </c>
      <c r="G383" s="12">
        <f>LOOKUP(405030500,[1]PlanCuentas!$A$2:$A$6092,[1]PlanCuentas!I$2:I$6092)</f>
        <v>0</v>
      </c>
      <c r="H383" s="12">
        <f>LOOKUP(405030600,[1]PlanCuentas!$A$2:$A$6092,[1]PlanCuentas!I$2:I$6092)</f>
        <v>0</v>
      </c>
      <c r="I383" s="12">
        <f>LOOKUP(405030700,[1]PlanCuentas!$A$2:$A$6092,[1]PlanCuentas!I$2:I$6092)</f>
        <v>0</v>
      </c>
      <c r="J383" s="12">
        <f>LOOKUP(405030800,[1]PlanCuentas!$A$2:$A$6092,[1]PlanCuentas!I$2:I$6092)</f>
        <v>0</v>
      </c>
      <c r="K383" s="12">
        <f>LOOKUP(405030900,[1]PlanCuentas!$A$2:$A$6092,[1]PlanCuentas!I$2:I$6092)</f>
        <v>0</v>
      </c>
      <c r="L383" s="12">
        <f>LOOKUP(405031000,[1]PlanCuentas!$A$2:$A$6092,[1]PlanCuentas!I$2:I$6092)</f>
        <v>0</v>
      </c>
      <c r="M383" s="12">
        <f>LOOKUP(405031100,[1]PlanCuentas!$A$2:$A$6092,[1]PlanCuentas!I$2:I$6092)</f>
        <v>0</v>
      </c>
      <c r="N383" s="12">
        <f>LOOKUP(405031200,[1]PlanCuentas!$A$2:$A$6092,[1]PlanCuentas!I$2:I$6092)</f>
        <v>0</v>
      </c>
      <c r="O383" s="12">
        <f>LOOKUP(405031300,[1]PlanCuentas!$A$2:$A$6092,[1]PlanCuentas!I$2:I$6092)</f>
        <v>0</v>
      </c>
      <c r="P383" s="12">
        <f>LOOKUP(405032000,[1]PlanCuentas!$A$2:$A$6092,[1]PlanCuentas!I$2:I$6092)</f>
        <v>0</v>
      </c>
      <c r="Q383" s="13">
        <f t="shared" si="18"/>
        <v>0</v>
      </c>
    </row>
    <row r="384" spans="1:17" x14ac:dyDescent="0.2">
      <c r="A384" s="10">
        <v>8</v>
      </c>
      <c r="B384" s="11" t="str">
        <f>[1]Aseguradoras!B9</f>
        <v>Atalaya S.A de Seguros Generales</v>
      </c>
      <c r="C384" s="12">
        <f>LOOKUP(405030100,[1]PlanCuentas!$A$2:$A$6092,[1]PlanCuentas!J$2:J$6092)</f>
        <v>0</v>
      </c>
      <c r="D384" s="12">
        <f>LOOKUP(405030200,[1]PlanCuentas!$A$2:$A$6092,[1]PlanCuentas!J$2:J$6092)</f>
        <v>0</v>
      </c>
      <c r="E384" s="12">
        <f>LOOKUP(405030300,[1]PlanCuentas!$A$2:$A$6092,[1]PlanCuentas!J$2:J$6092)</f>
        <v>0</v>
      </c>
      <c r="F384" s="12">
        <f>LOOKUP(405030400,[1]PlanCuentas!$A$2:$A$6092,[1]PlanCuentas!J$2:J$6092)</f>
        <v>0</v>
      </c>
      <c r="G384" s="12">
        <f>LOOKUP(405030500,[1]PlanCuentas!$A$2:$A$6092,[1]PlanCuentas!J$2:J$6092)</f>
        <v>2212866</v>
      </c>
      <c r="H384" s="12">
        <f>LOOKUP(405030600,[1]PlanCuentas!$A$2:$A$6092,[1]PlanCuentas!J$2:J$6092)</f>
        <v>0</v>
      </c>
      <c r="I384" s="12">
        <f>LOOKUP(405030700,[1]PlanCuentas!$A$2:$A$6092,[1]PlanCuentas!J$2:J$6092)</f>
        <v>0</v>
      </c>
      <c r="J384" s="12">
        <f>LOOKUP(405030800,[1]PlanCuentas!$A$2:$A$6092,[1]PlanCuentas!J$2:J$6092)</f>
        <v>0</v>
      </c>
      <c r="K384" s="12">
        <f>LOOKUP(405030900,[1]PlanCuentas!$A$2:$A$6092,[1]PlanCuentas!J$2:J$6092)</f>
        <v>0</v>
      </c>
      <c r="L384" s="12">
        <f>LOOKUP(405031000,[1]PlanCuentas!$A$2:$A$6092,[1]PlanCuentas!J$2:J$6092)</f>
        <v>1075</v>
      </c>
      <c r="M384" s="12">
        <f>LOOKUP(405031100,[1]PlanCuentas!$A$2:$A$6092,[1]PlanCuentas!J$2:J$6092)</f>
        <v>0</v>
      </c>
      <c r="N384" s="12">
        <f>LOOKUP(405031200,[1]PlanCuentas!$A$2:$A$6092,[1]PlanCuentas!J$2:J$6092)</f>
        <v>0</v>
      </c>
      <c r="O384" s="12">
        <f>LOOKUP(405031300,[1]PlanCuentas!$A$2:$A$6092,[1]PlanCuentas!J$2:J$6092)</f>
        <v>0</v>
      </c>
      <c r="P384" s="12">
        <f>LOOKUP(405032000,[1]PlanCuentas!$A$2:$A$6092,[1]PlanCuentas!J$2:J$6092)</f>
        <v>0</v>
      </c>
      <c r="Q384" s="13">
        <f t="shared" si="18"/>
        <v>2213941</v>
      </c>
    </row>
    <row r="385" spans="1:17" x14ac:dyDescent="0.2">
      <c r="A385" s="10">
        <v>9</v>
      </c>
      <c r="B385" s="11" t="str">
        <f>[1]Aseguradoras!B10</f>
        <v>La Independencia de Seguros S.A.</v>
      </c>
      <c r="C385" s="12">
        <f>LOOKUP(405030100,[1]PlanCuentas!$A$2:$A$6092,[1]PlanCuentas!K$2:K$6092)</f>
        <v>0</v>
      </c>
      <c r="D385" s="12">
        <f>LOOKUP(405030200,[1]PlanCuentas!$A$2:$A$6092,[1]PlanCuentas!K$2:K$6092)</f>
        <v>0</v>
      </c>
      <c r="E385" s="12">
        <f>LOOKUP(405030300,[1]PlanCuentas!$A$2:$A$6092,[1]PlanCuentas!K$2:K$6092)</f>
        <v>0</v>
      </c>
      <c r="F385" s="12">
        <f>LOOKUP(405030400,[1]PlanCuentas!$A$2:$A$6092,[1]PlanCuentas!K$2:K$6092)</f>
        <v>0</v>
      </c>
      <c r="G385" s="12">
        <f>LOOKUP(405030500,[1]PlanCuentas!$A$2:$A$6092,[1]PlanCuentas!K$2:K$6092)</f>
        <v>2212866</v>
      </c>
      <c r="H385" s="12">
        <f>LOOKUP(405030600,[1]PlanCuentas!$A$2:$A$6092,[1]PlanCuentas!K$2:K$6092)</f>
        <v>0</v>
      </c>
      <c r="I385" s="12">
        <f>LOOKUP(405030700,[1]PlanCuentas!$A$2:$A$6092,[1]PlanCuentas!K$2:K$6092)</f>
        <v>0</v>
      </c>
      <c r="J385" s="12">
        <f>LOOKUP(405030800,[1]PlanCuentas!$A$2:$A$6092,[1]PlanCuentas!K$2:K$6092)</f>
        <v>0</v>
      </c>
      <c r="K385" s="12">
        <f>LOOKUP(405030900,[1]PlanCuentas!$A$2:$A$6092,[1]PlanCuentas!K$2:K$6092)</f>
        <v>0</v>
      </c>
      <c r="L385" s="12">
        <f>LOOKUP(405031000,[1]PlanCuentas!$A$2:$A$6092,[1]PlanCuentas!K$2:K$6092)</f>
        <v>1075</v>
      </c>
      <c r="M385" s="12">
        <f>LOOKUP(405031100,[1]PlanCuentas!$A$2:$A$6092,[1]PlanCuentas!K$2:K$6092)</f>
        <v>0</v>
      </c>
      <c r="N385" s="12">
        <f>LOOKUP(405031200,[1]PlanCuentas!$A$2:$A$6092,[1]PlanCuentas!K$2:K$6092)</f>
        <v>0</v>
      </c>
      <c r="O385" s="12">
        <f>LOOKUP(405031300,[1]PlanCuentas!$A$2:$A$6092,[1]PlanCuentas!K$2:K$6092)</f>
        <v>0</v>
      </c>
      <c r="P385" s="12">
        <f>LOOKUP(405032000,[1]PlanCuentas!$A$2:$A$6092,[1]PlanCuentas!K$2:K$6092)</f>
        <v>0</v>
      </c>
      <c r="Q385" s="13">
        <f t="shared" si="18"/>
        <v>2213941</v>
      </c>
    </row>
    <row r="386" spans="1:17" x14ac:dyDescent="0.2">
      <c r="A386" s="10">
        <v>10</v>
      </c>
      <c r="B386" s="11" t="str">
        <f>[1]Aseguradoras!B11</f>
        <v>Patria S.A de Seguros y Reaseguros</v>
      </c>
      <c r="C386" s="12">
        <f>LOOKUP(405030100,[1]PlanCuentas!$A$2:$A$6092,[1]PlanCuentas!L$2:L$6092)</f>
        <v>54864</v>
      </c>
      <c r="D386" s="12">
        <f>LOOKUP(405030200,[1]PlanCuentas!$A$2:$A$6092,[1]PlanCuentas!L$2:L$6092)</f>
        <v>0</v>
      </c>
      <c r="E386" s="12">
        <f>LOOKUP(405030300,[1]PlanCuentas!$A$2:$A$6092,[1]PlanCuentas!L$2:L$6092)</f>
        <v>112688</v>
      </c>
      <c r="F386" s="12">
        <f>LOOKUP(405030400,[1]PlanCuentas!$A$2:$A$6092,[1]PlanCuentas!L$2:L$6092)</f>
        <v>1373952</v>
      </c>
      <c r="G386" s="12">
        <f>LOOKUP(405030500,[1]PlanCuentas!$A$2:$A$6092,[1]PlanCuentas!L$2:L$6092)</f>
        <v>2212866</v>
      </c>
      <c r="H386" s="12">
        <f>LOOKUP(405030600,[1]PlanCuentas!$A$2:$A$6092,[1]PlanCuentas!L$2:L$6092)</f>
        <v>0</v>
      </c>
      <c r="I386" s="12">
        <f>LOOKUP(405030700,[1]PlanCuentas!$A$2:$A$6092,[1]PlanCuentas!L$2:L$6092)</f>
        <v>0</v>
      </c>
      <c r="J386" s="12">
        <f>LOOKUP(405030800,[1]PlanCuentas!$A$2:$A$6092,[1]PlanCuentas!L$2:L$6092)</f>
        <v>0</v>
      </c>
      <c r="K386" s="12">
        <f>LOOKUP(405030900,[1]PlanCuentas!$A$2:$A$6092,[1]PlanCuentas!L$2:L$6092)</f>
        <v>0</v>
      </c>
      <c r="L386" s="12">
        <f>LOOKUP(405031000,[1]PlanCuentas!$A$2:$A$6092,[1]PlanCuentas!L$2:L$6092)</f>
        <v>1075</v>
      </c>
      <c r="M386" s="12">
        <f>LOOKUP(405031100,[1]PlanCuentas!$A$2:$A$6092,[1]PlanCuentas!L$2:L$6092)</f>
        <v>0</v>
      </c>
      <c r="N386" s="12">
        <f>LOOKUP(405031200,[1]PlanCuentas!$A$2:$A$6092,[1]PlanCuentas!L$2:L$6092)</f>
        <v>0</v>
      </c>
      <c r="O386" s="12">
        <f>LOOKUP(405031300,[1]PlanCuentas!$A$2:$A$6092,[1]PlanCuentas!L$2:L$6092)</f>
        <v>0</v>
      </c>
      <c r="P386" s="12">
        <f>LOOKUP(405032000,[1]PlanCuentas!$A$2:$A$6092,[1]PlanCuentas!L$2:L$6092)</f>
        <v>0</v>
      </c>
      <c r="Q386" s="13">
        <f t="shared" si="18"/>
        <v>3755445</v>
      </c>
    </row>
    <row r="387" spans="1:17" x14ac:dyDescent="0.2">
      <c r="A387" s="10">
        <v>11</v>
      </c>
      <c r="B387" s="11" t="str">
        <f>[1]Aseguradoras!B12</f>
        <v>Garantía S.A de Seguros y Reaseguros</v>
      </c>
      <c r="C387" s="12">
        <f>LOOKUP(405030100,[1]PlanCuentas!$A$2:$A$6092,[1]PlanCuentas!M$2:M$6092)</f>
        <v>983350</v>
      </c>
      <c r="D387" s="12">
        <f>LOOKUP(405030200,[1]PlanCuentas!$A$2:$A$6092,[1]PlanCuentas!M$2:M$6092)</f>
        <v>41999</v>
      </c>
      <c r="E387" s="12">
        <f>LOOKUP(405030300,[1]PlanCuentas!$A$2:$A$6092,[1]PlanCuentas!M$2:M$6092)</f>
        <v>172000</v>
      </c>
      <c r="F387" s="12">
        <f>LOOKUP(405030400,[1]PlanCuentas!$A$2:$A$6092,[1]PlanCuentas!M$2:M$6092)</f>
        <v>16012811</v>
      </c>
      <c r="G387" s="12">
        <f>LOOKUP(405030500,[1]PlanCuentas!$A$2:$A$6092,[1]PlanCuentas!M$2:M$6092)</f>
        <v>2212866</v>
      </c>
      <c r="H387" s="12">
        <f>LOOKUP(405030600,[1]PlanCuentas!$A$2:$A$6092,[1]PlanCuentas!M$2:M$6092)</f>
        <v>1089344</v>
      </c>
      <c r="I387" s="12">
        <f>LOOKUP(405030700,[1]PlanCuentas!$A$2:$A$6092,[1]PlanCuentas!M$2:M$6092)</f>
        <v>0</v>
      </c>
      <c r="J387" s="12">
        <f>LOOKUP(405030800,[1]PlanCuentas!$A$2:$A$6092,[1]PlanCuentas!M$2:M$6092)</f>
        <v>0</v>
      </c>
      <c r="K387" s="12">
        <f>LOOKUP(405030900,[1]PlanCuentas!$A$2:$A$6092,[1]PlanCuentas!M$2:M$6092)</f>
        <v>0</v>
      </c>
      <c r="L387" s="12">
        <f>LOOKUP(405031000,[1]PlanCuentas!$A$2:$A$6092,[1]PlanCuentas!M$2:M$6092)</f>
        <v>1075</v>
      </c>
      <c r="M387" s="12">
        <f>LOOKUP(405031100,[1]PlanCuentas!$A$2:$A$6092,[1]PlanCuentas!M$2:M$6092)</f>
        <v>0</v>
      </c>
      <c r="N387" s="12">
        <f>LOOKUP(405031200,[1]PlanCuentas!$A$2:$A$6092,[1]PlanCuentas!M$2:M$6092)</f>
        <v>81967</v>
      </c>
      <c r="O387" s="12">
        <f>LOOKUP(405031300,[1]PlanCuentas!$A$2:$A$6092,[1]PlanCuentas!M$2:M$6092)</f>
        <v>1347600</v>
      </c>
      <c r="P387" s="12">
        <f>LOOKUP(405032000,[1]PlanCuentas!$A$2:$A$6092,[1]PlanCuentas!M$2:M$6092)</f>
        <v>0</v>
      </c>
      <c r="Q387" s="13">
        <f t="shared" si="18"/>
        <v>21943012</v>
      </c>
    </row>
    <row r="388" spans="1:17" x14ac:dyDescent="0.2">
      <c r="A388" s="10">
        <v>12</v>
      </c>
      <c r="B388" s="11" t="str">
        <f>[1]Aseguradoras!B13</f>
        <v>Aseguradora Paraguaya S.A.</v>
      </c>
      <c r="C388" s="12">
        <f>LOOKUP(405030100,[1]PlanCuentas!$A$2:$A$6092,[1]PlanCuentas!N$2:N$6092)</f>
        <v>0</v>
      </c>
      <c r="D388" s="12">
        <f>LOOKUP(405030200,[1]PlanCuentas!$A$2:$A$6092,[1]PlanCuentas!N$2:N$6092)</f>
        <v>0</v>
      </c>
      <c r="E388" s="12">
        <f>LOOKUP(405030300,[1]PlanCuentas!$A$2:$A$6092,[1]PlanCuentas!N$2:N$6092)</f>
        <v>0</v>
      </c>
      <c r="F388" s="12">
        <f>LOOKUP(405030400,[1]PlanCuentas!$A$2:$A$6092,[1]PlanCuentas!N$2:N$6092)</f>
        <v>0</v>
      </c>
      <c r="G388" s="12">
        <f>LOOKUP(405030500,[1]PlanCuentas!$A$2:$A$6092,[1]PlanCuentas!N$2:N$6092)</f>
        <v>0</v>
      </c>
      <c r="H388" s="12">
        <f>LOOKUP(405030600,[1]PlanCuentas!$A$2:$A$6092,[1]PlanCuentas!N$2:N$6092)</f>
        <v>0</v>
      </c>
      <c r="I388" s="12">
        <f>LOOKUP(405030700,[1]PlanCuentas!$A$2:$A$6092,[1]PlanCuentas!N$2:N$6092)</f>
        <v>0</v>
      </c>
      <c r="J388" s="12">
        <f>LOOKUP(405030800,[1]PlanCuentas!$A$2:$A$6092,[1]PlanCuentas!N$2:N$6092)</f>
        <v>0</v>
      </c>
      <c r="K388" s="12">
        <f>LOOKUP(405030900,[1]PlanCuentas!$A$2:$A$6092,[1]PlanCuentas!N$2:N$6092)</f>
        <v>0</v>
      </c>
      <c r="L388" s="12">
        <f>LOOKUP(405031000,[1]PlanCuentas!$A$2:$A$6092,[1]PlanCuentas!N$2:N$6092)</f>
        <v>0</v>
      </c>
      <c r="M388" s="12">
        <f>LOOKUP(405031100,[1]PlanCuentas!$A$2:$A$6092,[1]PlanCuentas!N$2:N$6092)</f>
        <v>0</v>
      </c>
      <c r="N388" s="12">
        <f>LOOKUP(405031200,[1]PlanCuentas!$A$2:$A$6092,[1]PlanCuentas!N$2:N$6092)</f>
        <v>0</v>
      </c>
      <c r="O388" s="12">
        <f>LOOKUP(405031300,[1]PlanCuentas!$A$2:$A$6092,[1]PlanCuentas!N$2:N$6092)</f>
        <v>0</v>
      </c>
      <c r="P388" s="12">
        <f>LOOKUP(405032000,[1]PlanCuentas!$A$2:$A$6092,[1]PlanCuentas!N$2:N$6092)</f>
        <v>0</v>
      </c>
      <c r="Q388" s="13">
        <f t="shared" si="18"/>
        <v>0</v>
      </c>
    </row>
    <row r="389" spans="1:17" x14ac:dyDescent="0.2">
      <c r="A389" s="10">
        <v>13</v>
      </c>
      <c r="B389" s="11" t="str">
        <f>[1]Aseguradoras!B14</f>
        <v>Fénix S.A de Seguros y Reaseguros</v>
      </c>
      <c r="C389" s="12">
        <f>LOOKUP(405030100,[1]PlanCuentas!$A$2:$A$6092,[1]PlanCuentas!O$2:O$6092)</f>
        <v>0</v>
      </c>
      <c r="D389" s="12">
        <f>LOOKUP(405030200,[1]PlanCuentas!$A$2:$A$6092,[1]PlanCuentas!O$2:O$6092)</f>
        <v>0</v>
      </c>
      <c r="E389" s="12">
        <f>LOOKUP(405030300,[1]PlanCuentas!$A$2:$A$6092,[1]PlanCuentas!O$2:O$6092)</f>
        <v>0</v>
      </c>
      <c r="F389" s="12">
        <f>LOOKUP(405030400,[1]PlanCuentas!$A$2:$A$6092,[1]PlanCuentas!O$2:O$6092)</f>
        <v>7495604</v>
      </c>
      <c r="G389" s="12">
        <f>LOOKUP(405030500,[1]PlanCuentas!$A$2:$A$6092,[1]PlanCuentas!O$2:O$6092)</f>
        <v>0</v>
      </c>
      <c r="H389" s="12">
        <f>LOOKUP(405030600,[1]PlanCuentas!$A$2:$A$6092,[1]PlanCuentas!O$2:O$6092)</f>
        <v>108799</v>
      </c>
      <c r="I389" s="12">
        <f>LOOKUP(405030700,[1]PlanCuentas!$A$2:$A$6092,[1]PlanCuentas!O$2:O$6092)</f>
        <v>0</v>
      </c>
      <c r="J389" s="12">
        <f>LOOKUP(405030800,[1]PlanCuentas!$A$2:$A$6092,[1]PlanCuentas!O$2:O$6092)</f>
        <v>0</v>
      </c>
      <c r="K389" s="12">
        <f>LOOKUP(405030900,[1]PlanCuentas!$A$2:$A$6092,[1]PlanCuentas!O$2:O$6092)</f>
        <v>0</v>
      </c>
      <c r="L389" s="12">
        <f>LOOKUP(405031000,[1]PlanCuentas!$A$2:$A$6092,[1]PlanCuentas!O$2:O$6092)</f>
        <v>1075</v>
      </c>
      <c r="M389" s="12">
        <f>LOOKUP(405031100,[1]PlanCuentas!$A$2:$A$6092,[1]PlanCuentas!O$2:O$6092)</f>
        <v>0</v>
      </c>
      <c r="N389" s="12">
        <f>LOOKUP(405031200,[1]PlanCuentas!$A$2:$A$6092,[1]PlanCuentas!O$2:O$6092)</f>
        <v>0</v>
      </c>
      <c r="O389" s="12">
        <f>LOOKUP(405031300,[1]PlanCuentas!$A$2:$A$6092,[1]PlanCuentas!O$2:O$6092)</f>
        <v>71001</v>
      </c>
      <c r="P389" s="12">
        <f>LOOKUP(405032000,[1]PlanCuentas!$A$2:$A$6092,[1]PlanCuentas!O$2:O$6092)</f>
        <v>0</v>
      </c>
      <c r="Q389" s="13">
        <f t="shared" si="18"/>
        <v>7676479</v>
      </c>
    </row>
    <row r="390" spans="1:17" x14ac:dyDescent="0.2">
      <c r="A390" s="10">
        <v>14</v>
      </c>
      <c r="B390" s="11" t="str">
        <f>[1]Aseguradoras!B15</f>
        <v>Central S.A de Seguros</v>
      </c>
      <c r="C390" s="12">
        <f>LOOKUP(405030100,[1]PlanCuentas!$A$2:$A$6092,[1]PlanCuentas!P$2:P$6092)</f>
        <v>243585</v>
      </c>
      <c r="D390" s="12">
        <f>LOOKUP(405030200,[1]PlanCuentas!$A$2:$A$6092,[1]PlanCuentas!P$2:P$6092)</f>
        <v>324045</v>
      </c>
      <c r="E390" s="12">
        <f>LOOKUP(405030300,[1]PlanCuentas!$A$2:$A$6092,[1]PlanCuentas!P$2:P$6092)</f>
        <v>0</v>
      </c>
      <c r="F390" s="12">
        <f>LOOKUP(405030400,[1]PlanCuentas!$A$2:$A$6092,[1]PlanCuentas!P$2:P$6092)</f>
        <v>10420461</v>
      </c>
      <c r="G390" s="12">
        <f>LOOKUP(405030500,[1]PlanCuentas!$A$2:$A$6092,[1]PlanCuentas!P$2:P$6092)</f>
        <v>2212866</v>
      </c>
      <c r="H390" s="12">
        <f>LOOKUP(405030600,[1]PlanCuentas!$A$2:$A$6092,[1]PlanCuentas!P$2:P$6092)</f>
        <v>19000</v>
      </c>
      <c r="I390" s="12">
        <f>LOOKUP(405030700,[1]PlanCuentas!$A$2:$A$6092,[1]PlanCuentas!P$2:P$6092)</f>
        <v>0</v>
      </c>
      <c r="J390" s="12">
        <f>LOOKUP(405030800,[1]PlanCuentas!$A$2:$A$6092,[1]PlanCuentas!P$2:P$6092)</f>
        <v>0</v>
      </c>
      <c r="K390" s="12">
        <f>LOOKUP(405030900,[1]PlanCuentas!$A$2:$A$6092,[1]PlanCuentas!P$2:P$6092)</f>
        <v>0</v>
      </c>
      <c r="L390" s="12">
        <f>LOOKUP(405031000,[1]PlanCuentas!$A$2:$A$6092,[1]PlanCuentas!P$2:P$6092)</f>
        <v>1104</v>
      </c>
      <c r="M390" s="12">
        <f>LOOKUP(405031100,[1]PlanCuentas!$A$2:$A$6092,[1]PlanCuentas!P$2:P$6092)</f>
        <v>0</v>
      </c>
      <c r="N390" s="12">
        <f>LOOKUP(405031200,[1]PlanCuentas!$A$2:$A$6092,[1]PlanCuentas!P$2:P$6092)</f>
        <v>9500</v>
      </c>
      <c r="O390" s="12">
        <f>LOOKUP(405031300,[1]PlanCuentas!$A$2:$A$6092,[1]PlanCuentas!P$2:P$6092)</f>
        <v>0</v>
      </c>
      <c r="P390" s="12">
        <f>LOOKUP(405032000,[1]PlanCuentas!$A$2:$A$6092,[1]PlanCuentas!P$2:P$6092)</f>
        <v>0</v>
      </c>
      <c r="Q390" s="13">
        <f t="shared" si="18"/>
        <v>13230561</v>
      </c>
    </row>
    <row r="391" spans="1:17" x14ac:dyDescent="0.2">
      <c r="A391" s="10">
        <v>15</v>
      </c>
      <c r="B391" s="11" t="str">
        <f>[1]Aseguradoras!B16</f>
        <v>Seguros Chaco S.A de Seguros y Reaseguros</v>
      </c>
      <c r="C391" s="12">
        <f>LOOKUP(405030100,[1]PlanCuentas!$A$2:$A$6092,[1]PlanCuentas!Q$2:Q$6092)</f>
        <v>0</v>
      </c>
      <c r="D391" s="12">
        <f>LOOKUP(405030200,[1]PlanCuentas!$A$2:$A$6092,[1]PlanCuentas!Q$2:Q$6092)</f>
        <v>0</v>
      </c>
      <c r="E391" s="12">
        <f>LOOKUP(405030300,[1]PlanCuentas!$A$2:$A$6092,[1]PlanCuentas!Q$2:Q$6092)</f>
        <v>0</v>
      </c>
      <c r="F391" s="12">
        <f>LOOKUP(405030400,[1]PlanCuentas!$A$2:$A$6092,[1]PlanCuentas!Q$2:Q$6092)</f>
        <v>0</v>
      </c>
      <c r="G391" s="12">
        <f>LOOKUP(405030500,[1]PlanCuentas!$A$2:$A$6092,[1]PlanCuentas!Q$2:Q$6092)</f>
        <v>0</v>
      </c>
      <c r="H391" s="12">
        <f>LOOKUP(405030600,[1]PlanCuentas!$A$2:$A$6092,[1]PlanCuentas!Q$2:Q$6092)</f>
        <v>0</v>
      </c>
      <c r="I391" s="12">
        <f>LOOKUP(405030700,[1]PlanCuentas!$A$2:$A$6092,[1]PlanCuentas!Q$2:Q$6092)</f>
        <v>0</v>
      </c>
      <c r="J391" s="12">
        <f>LOOKUP(405030800,[1]PlanCuentas!$A$2:$A$6092,[1]PlanCuentas!Q$2:Q$6092)</f>
        <v>0</v>
      </c>
      <c r="K391" s="12">
        <f>LOOKUP(405030900,[1]PlanCuentas!$A$2:$A$6092,[1]PlanCuentas!Q$2:Q$6092)</f>
        <v>0</v>
      </c>
      <c r="L391" s="12">
        <f>LOOKUP(405031000,[1]PlanCuentas!$A$2:$A$6092,[1]PlanCuentas!Q$2:Q$6092)</f>
        <v>1075</v>
      </c>
      <c r="M391" s="12">
        <f>LOOKUP(405031100,[1]PlanCuentas!$A$2:$A$6092,[1]PlanCuentas!Q$2:Q$6092)</f>
        <v>0</v>
      </c>
      <c r="N391" s="12">
        <f>LOOKUP(405031200,[1]PlanCuentas!$A$2:$A$6092,[1]PlanCuentas!Q$2:Q$6092)</f>
        <v>0</v>
      </c>
      <c r="O391" s="12">
        <f>LOOKUP(405031300,[1]PlanCuentas!$A$2:$A$6092,[1]PlanCuentas!Q$2:Q$6092)</f>
        <v>0</v>
      </c>
      <c r="P391" s="12">
        <f>LOOKUP(405032000,[1]PlanCuentas!$A$2:$A$6092,[1]PlanCuentas!Q$2:Q$6092)</f>
        <v>0</v>
      </c>
      <c r="Q391" s="13">
        <f t="shared" si="18"/>
        <v>1075</v>
      </c>
    </row>
    <row r="392" spans="1:17" x14ac:dyDescent="0.2">
      <c r="A392" s="10">
        <v>16</v>
      </c>
      <c r="B392" s="11" t="str">
        <f>[1]Aseguradoras!B17</f>
        <v>El Sol Del Paraguay Compañía de Seguros y Reaseguros S.A.</v>
      </c>
      <c r="C392" s="12">
        <f>LOOKUP(405030100,[1]PlanCuentas!$A$2:$A$6092,[1]PlanCuentas!R$2:R$6092)</f>
        <v>23785</v>
      </c>
      <c r="D392" s="12">
        <f>LOOKUP(405030200,[1]PlanCuentas!$A$2:$A$6092,[1]PlanCuentas!R$2:R$6092)</f>
        <v>0</v>
      </c>
      <c r="E392" s="12">
        <f>LOOKUP(405030300,[1]PlanCuentas!$A$2:$A$6092,[1]PlanCuentas!R$2:R$6092)</f>
        <v>18613</v>
      </c>
      <c r="F392" s="12">
        <f>LOOKUP(405030400,[1]PlanCuentas!$A$2:$A$6092,[1]PlanCuentas!R$2:R$6092)</f>
        <v>126998</v>
      </c>
      <c r="G392" s="12">
        <f>LOOKUP(405030500,[1]PlanCuentas!$A$2:$A$6092,[1]PlanCuentas!R$2:R$6092)</f>
        <v>2212882</v>
      </c>
      <c r="H392" s="12">
        <f>LOOKUP(405030600,[1]PlanCuentas!$A$2:$A$6092,[1]PlanCuentas!R$2:R$6092)</f>
        <v>0</v>
      </c>
      <c r="I392" s="12">
        <f>LOOKUP(405030700,[1]PlanCuentas!$A$2:$A$6092,[1]PlanCuentas!R$2:R$6092)</f>
        <v>0</v>
      </c>
      <c r="J392" s="12">
        <f>LOOKUP(405030800,[1]PlanCuentas!$A$2:$A$6092,[1]PlanCuentas!R$2:R$6092)</f>
        <v>0</v>
      </c>
      <c r="K392" s="12">
        <f>LOOKUP(405030900,[1]PlanCuentas!$A$2:$A$6092,[1]PlanCuentas!R$2:R$6092)</f>
        <v>0</v>
      </c>
      <c r="L392" s="12">
        <f>LOOKUP(405031000,[1]PlanCuentas!$A$2:$A$6092,[1]PlanCuentas!R$2:R$6092)</f>
        <v>1075</v>
      </c>
      <c r="M392" s="12">
        <f>LOOKUP(405031100,[1]PlanCuentas!$A$2:$A$6092,[1]PlanCuentas!R$2:R$6092)</f>
        <v>0</v>
      </c>
      <c r="N392" s="12">
        <f>LOOKUP(405031200,[1]PlanCuentas!$A$2:$A$6092,[1]PlanCuentas!R$2:R$6092)</f>
        <v>0</v>
      </c>
      <c r="O392" s="12">
        <f>LOOKUP(405031300,[1]PlanCuentas!$A$2:$A$6092,[1]PlanCuentas!R$2:R$6092)</f>
        <v>127410</v>
      </c>
      <c r="P392" s="12">
        <f>LOOKUP(405032000,[1]PlanCuentas!$A$2:$A$6092,[1]PlanCuentas!R$2:R$6092)</f>
        <v>0</v>
      </c>
      <c r="Q392" s="13">
        <f t="shared" si="18"/>
        <v>2510763</v>
      </c>
    </row>
    <row r="393" spans="1:17" x14ac:dyDescent="0.2">
      <c r="A393" s="10">
        <v>17</v>
      </c>
      <c r="B393" s="11" t="str">
        <f>[1]Aseguradoras!B18</f>
        <v>Intercontinental de Seguros y Reaseguros S.A.</v>
      </c>
      <c r="C393" s="12">
        <f>LOOKUP(405030100,[1]PlanCuentas!$A$2:$A$6092,[1]PlanCuentas!S$2:S$6092)</f>
        <v>0</v>
      </c>
      <c r="D393" s="12">
        <f>LOOKUP(405030200,[1]PlanCuentas!$A$2:$A$6092,[1]PlanCuentas!S$2:S$6092)</f>
        <v>0</v>
      </c>
      <c r="E393" s="12">
        <f>LOOKUP(405030300,[1]PlanCuentas!$A$2:$A$6092,[1]PlanCuentas!S$2:S$6092)</f>
        <v>0</v>
      </c>
      <c r="F393" s="12">
        <f>LOOKUP(405030400,[1]PlanCuentas!$A$2:$A$6092,[1]PlanCuentas!S$2:S$6092)</f>
        <v>0</v>
      </c>
      <c r="G393" s="12">
        <f>LOOKUP(405030500,[1]PlanCuentas!$A$2:$A$6092,[1]PlanCuentas!S$2:S$6092)</f>
        <v>2212866</v>
      </c>
      <c r="H393" s="12">
        <f>LOOKUP(405030600,[1]PlanCuentas!$A$2:$A$6092,[1]PlanCuentas!S$2:S$6092)</f>
        <v>0</v>
      </c>
      <c r="I393" s="12">
        <f>LOOKUP(405030700,[1]PlanCuentas!$A$2:$A$6092,[1]PlanCuentas!S$2:S$6092)</f>
        <v>0</v>
      </c>
      <c r="J393" s="12">
        <f>LOOKUP(405030800,[1]PlanCuentas!$A$2:$A$6092,[1]PlanCuentas!S$2:S$6092)</f>
        <v>0</v>
      </c>
      <c r="K393" s="12">
        <f>LOOKUP(405030900,[1]PlanCuentas!$A$2:$A$6092,[1]PlanCuentas!S$2:S$6092)</f>
        <v>0</v>
      </c>
      <c r="L393" s="12">
        <f>LOOKUP(405031000,[1]PlanCuentas!$A$2:$A$6092,[1]PlanCuentas!S$2:S$6092)</f>
        <v>1075</v>
      </c>
      <c r="M393" s="12">
        <f>LOOKUP(405031100,[1]PlanCuentas!$A$2:$A$6092,[1]PlanCuentas!S$2:S$6092)</f>
        <v>0</v>
      </c>
      <c r="N393" s="12">
        <f>LOOKUP(405031200,[1]PlanCuentas!$A$2:$A$6092,[1]PlanCuentas!S$2:S$6092)</f>
        <v>0</v>
      </c>
      <c r="O393" s="12">
        <f>LOOKUP(405031300,[1]PlanCuentas!$A$2:$A$6092,[1]PlanCuentas!S$2:S$6092)</f>
        <v>0</v>
      </c>
      <c r="P393" s="12">
        <f>LOOKUP(405032000,[1]PlanCuentas!$A$2:$A$6092,[1]PlanCuentas!S$2:S$6092)</f>
        <v>0</v>
      </c>
      <c r="Q393" s="13">
        <f t="shared" si="18"/>
        <v>2213941</v>
      </c>
    </row>
    <row r="394" spans="1:17" x14ac:dyDescent="0.2">
      <c r="A394" s="10">
        <v>18</v>
      </c>
      <c r="B394" s="11" t="str">
        <f>[1]Aseguradoras!B19</f>
        <v>Seguridad S.A Compañía de Seguros</v>
      </c>
      <c r="C394" s="12">
        <f>LOOKUP(405030100,[1]PlanCuentas!$A$2:$A$6092,[1]PlanCuentas!T$2:T$6092)</f>
        <v>0</v>
      </c>
      <c r="D394" s="12">
        <f>LOOKUP(405030200,[1]PlanCuentas!$A$2:$A$6092,[1]PlanCuentas!T$2:T$6092)</f>
        <v>0</v>
      </c>
      <c r="E394" s="12">
        <f>LOOKUP(405030300,[1]PlanCuentas!$A$2:$A$6092,[1]PlanCuentas!T$2:T$6092)</f>
        <v>0</v>
      </c>
      <c r="F394" s="12">
        <f>LOOKUP(405030400,[1]PlanCuentas!$A$2:$A$6092,[1]PlanCuentas!T$2:T$6092)</f>
        <v>0</v>
      </c>
      <c r="G394" s="12">
        <f>LOOKUP(405030500,[1]PlanCuentas!$A$2:$A$6092,[1]PlanCuentas!T$2:T$6092)</f>
        <v>0</v>
      </c>
      <c r="H394" s="12">
        <f>LOOKUP(405030600,[1]PlanCuentas!$A$2:$A$6092,[1]PlanCuentas!T$2:T$6092)</f>
        <v>0</v>
      </c>
      <c r="I394" s="12">
        <f>LOOKUP(405030700,[1]PlanCuentas!$A$2:$A$6092,[1]PlanCuentas!T$2:T$6092)</f>
        <v>0</v>
      </c>
      <c r="J394" s="12">
        <f>LOOKUP(405030800,[1]PlanCuentas!$A$2:$A$6092,[1]PlanCuentas!T$2:T$6092)</f>
        <v>0</v>
      </c>
      <c r="K394" s="12">
        <f>LOOKUP(405030900,[1]PlanCuentas!$A$2:$A$6092,[1]PlanCuentas!T$2:T$6092)</f>
        <v>0</v>
      </c>
      <c r="L394" s="12">
        <f>LOOKUP(405031000,[1]PlanCuentas!$A$2:$A$6092,[1]PlanCuentas!T$2:T$6092)</f>
        <v>994</v>
      </c>
      <c r="M394" s="12">
        <f>LOOKUP(405031100,[1]PlanCuentas!$A$2:$A$6092,[1]PlanCuentas!T$2:T$6092)</f>
        <v>0</v>
      </c>
      <c r="N394" s="12">
        <f>LOOKUP(405031200,[1]PlanCuentas!$A$2:$A$6092,[1]PlanCuentas!T$2:T$6092)</f>
        <v>0</v>
      </c>
      <c r="O394" s="12">
        <f>LOOKUP(405031300,[1]PlanCuentas!$A$2:$A$6092,[1]PlanCuentas!T$2:T$6092)</f>
        <v>0</v>
      </c>
      <c r="P394" s="12">
        <f>LOOKUP(405032000,[1]PlanCuentas!$A$2:$A$6092,[1]PlanCuentas!T$2:T$6092)</f>
        <v>0</v>
      </c>
      <c r="Q394" s="13">
        <f t="shared" si="18"/>
        <v>994</v>
      </c>
    </row>
    <row r="395" spans="1:17" x14ac:dyDescent="0.2">
      <c r="A395" s="10">
        <v>19</v>
      </c>
      <c r="B395" s="11" t="str">
        <f>[1]Aseguradoras!B20</f>
        <v>Universo de Seguros y Reaseguros S.A.</v>
      </c>
      <c r="C395" s="12">
        <f>LOOKUP(405030100,[1]PlanCuentas!$A$2:$A$6092,[1]PlanCuentas!U$2:U$6092)</f>
        <v>0</v>
      </c>
      <c r="D395" s="12">
        <f>LOOKUP(405030200,[1]PlanCuentas!$A$2:$A$6092,[1]PlanCuentas!U$2:U$6092)</f>
        <v>0</v>
      </c>
      <c r="E395" s="12">
        <f>LOOKUP(405030300,[1]PlanCuentas!$A$2:$A$6092,[1]PlanCuentas!U$2:U$6092)</f>
        <v>0</v>
      </c>
      <c r="F395" s="12">
        <f>LOOKUP(405030400,[1]PlanCuentas!$A$2:$A$6092,[1]PlanCuentas!U$2:U$6092)</f>
        <v>0</v>
      </c>
      <c r="G395" s="12">
        <f>LOOKUP(405030500,[1]PlanCuentas!$A$2:$A$6092,[1]PlanCuentas!U$2:U$6092)</f>
        <v>0</v>
      </c>
      <c r="H395" s="12">
        <f>LOOKUP(405030600,[1]PlanCuentas!$A$2:$A$6092,[1]PlanCuentas!U$2:U$6092)</f>
        <v>0</v>
      </c>
      <c r="I395" s="12">
        <f>LOOKUP(405030700,[1]PlanCuentas!$A$2:$A$6092,[1]PlanCuentas!U$2:U$6092)</f>
        <v>0</v>
      </c>
      <c r="J395" s="12">
        <f>LOOKUP(405030800,[1]PlanCuentas!$A$2:$A$6092,[1]PlanCuentas!U$2:U$6092)</f>
        <v>0</v>
      </c>
      <c r="K395" s="12">
        <f>LOOKUP(405030900,[1]PlanCuentas!$A$2:$A$6092,[1]PlanCuentas!U$2:U$6092)</f>
        <v>0</v>
      </c>
      <c r="L395" s="12">
        <f>LOOKUP(405031000,[1]PlanCuentas!$A$2:$A$6092,[1]PlanCuentas!U$2:U$6092)</f>
        <v>0</v>
      </c>
      <c r="M395" s="12">
        <f>LOOKUP(405031100,[1]PlanCuentas!$A$2:$A$6092,[1]PlanCuentas!U$2:U$6092)</f>
        <v>0</v>
      </c>
      <c r="N395" s="12">
        <f>LOOKUP(405031200,[1]PlanCuentas!$A$2:$A$6092,[1]PlanCuentas!U$2:U$6092)</f>
        <v>0</v>
      </c>
      <c r="O395" s="12">
        <f>LOOKUP(405031300,[1]PlanCuentas!$A$2:$A$6092,[1]PlanCuentas!U$2:U$6092)</f>
        <v>0</v>
      </c>
      <c r="P395" s="12">
        <f>LOOKUP(405032000,[1]PlanCuentas!$A$2:$A$6092,[1]PlanCuentas!U$2:U$6092)</f>
        <v>0</v>
      </c>
      <c r="Q395" s="13">
        <f t="shared" si="18"/>
        <v>0</v>
      </c>
    </row>
    <row r="396" spans="1:17" x14ac:dyDescent="0.2">
      <c r="A396" s="10">
        <v>20</v>
      </c>
      <c r="B396" s="11" t="str">
        <f>[1]Aseguradoras!B21</f>
        <v>Aseguradora Yacyreta S.A de Seguros y Reaseguros</v>
      </c>
      <c r="C396" s="12">
        <f>LOOKUP(405030100,[1]PlanCuentas!$A$2:$A$6092,[1]PlanCuentas!V$2:V$6092)</f>
        <v>2633618</v>
      </c>
      <c r="D396" s="12">
        <f>LOOKUP(405030200,[1]PlanCuentas!$A$2:$A$6092,[1]PlanCuentas!V$2:V$6092)</f>
        <v>119043</v>
      </c>
      <c r="E396" s="12">
        <f>LOOKUP(405030300,[1]PlanCuentas!$A$2:$A$6092,[1]PlanCuentas!V$2:V$6092)</f>
        <v>249799</v>
      </c>
      <c r="F396" s="12">
        <f>LOOKUP(405030400,[1]PlanCuentas!$A$2:$A$6092,[1]PlanCuentas!V$2:V$6092)</f>
        <v>53077437</v>
      </c>
      <c r="G396" s="12">
        <f>LOOKUP(405030500,[1]PlanCuentas!$A$2:$A$6092,[1]PlanCuentas!V$2:V$6092)</f>
        <v>0</v>
      </c>
      <c r="H396" s="12">
        <f>LOOKUP(405030600,[1]PlanCuentas!$A$2:$A$6092,[1]PlanCuentas!V$2:V$6092)</f>
        <v>74667</v>
      </c>
      <c r="I396" s="12">
        <f>LOOKUP(405030700,[1]PlanCuentas!$A$2:$A$6092,[1]PlanCuentas!V$2:V$6092)</f>
        <v>25105</v>
      </c>
      <c r="J396" s="12">
        <f>LOOKUP(405030800,[1]PlanCuentas!$A$2:$A$6092,[1]PlanCuentas!V$2:V$6092)</f>
        <v>0</v>
      </c>
      <c r="K396" s="12">
        <f>LOOKUP(405030900,[1]PlanCuentas!$A$2:$A$6092,[1]PlanCuentas!V$2:V$6092)</f>
        <v>2562</v>
      </c>
      <c r="L396" s="12">
        <f>LOOKUP(405031000,[1]PlanCuentas!$A$2:$A$6092,[1]PlanCuentas!V$2:V$6092)</f>
        <v>132381</v>
      </c>
      <c r="M396" s="12">
        <f>LOOKUP(405031100,[1]PlanCuentas!$A$2:$A$6092,[1]PlanCuentas!V$2:V$6092)</f>
        <v>0</v>
      </c>
      <c r="N396" s="12">
        <f>LOOKUP(405031200,[1]PlanCuentas!$A$2:$A$6092,[1]PlanCuentas!V$2:V$6092)</f>
        <v>0</v>
      </c>
      <c r="O396" s="12">
        <f>LOOKUP(405031300,[1]PlanCuentas!$A$2:$A$6092,[1]PlanCuentas!V$2:V$6092)</f>
        <v>11677</v>
      </c>
      <c r="P396" s="12">
        <f>LOOKUP(405032000,[1]PlanCuentas!$A$2:$A$6092,[1]PlanCuentas!V$2:V$6092)</f>
        <v>17574</v>
      </c>
      <c r="Q396" s="13">
        <f t="shared" si="18"/>
        <v>56343863</v>
      </c>
    </row>
    <row r="397" spans="1:17" x14ac:dyDescent="0.2">
      <c r="A397" s="10">
        <v>21</v>
      </c>
      <c r="B397" s="11" t="str">
        <f>[1]Aseguradoras!B22</f>
        <v>La Agricola S.A de Seguros y Reaseguros</v>
      </c>
      <c r="C397" s="12">
        <f>LOOKUP(405030100,[1]PlanCuentas!$A$2:$A$6092,[1]PlanCuentas!W$2:W$6092)</f>
        <v>0</v>
      </c>
      <c r="D397" s="12">
        <f>LOOKUP(405030200,[1]PlanCuentas!$A$2:$A$6092,[1]PlanCuentas!W$2:W$6092)</f>
        <v>0</v>
      </c>
      <c r="E397" s="12">
        <f>LOOKUP(405030300,[1]PlanCuentas!$A$2:$A$6092,[1]PlanCuentas!W$2:W$6092)</f>
        <v>0</v>
      </c>
      <c r="F397" s="12">
        <f>LOOKUP(405030400,[1]PlanCuentas!$A$2:$A$6092,[1]PlanCuentas!W$2:W$6092)</f>
        <v>0</v>
      </c>
      <c r="G397" s="12">
        <f>LOOKUP(405030500,[1]PlanCuentas!$A$2:$A$6092,[1]PlanCuentas!W$2:W$6092)</f>
        <v>2212866</v>
      </c>
      <c r="H397" s="12">
        <f>LOOKUP(405030600,[1]PlanCuentas!$A$2:$A$6092,[1]PlanCuentas!W$2:W$6092)</f>
        <v>0</v>
      </c>
      <c r="I397" s="12">
        <f>LOOKUP(405030700,[1]PlanCuentas!$A$2:$A$6092,[1]PlanCuentas!W$2:W$6092)</f>
        <v>0</v>
      </c>
      <c r="J397" s="12">
        <f>LOOKUP(405030800,[1]PlanCuentas!$A$2:$A$6092,[1]PlanCuentas!W$2:W$6092)</f>
        <v>0</v>
      </c>
      <c r="K397" s="12">
        <f>LOOKUP(405030900,[1]PlanCuentas!$A$2:$A$6092,[1]PlanCuentas!W$2:W$6092)</f>
        <v>0</v>
      </c>
      <c r="L397" s="12">
        <f>LOOKUP(405031000,[1]PlanCuentas!$A$2:$A$6092,[1]PlanCuentas!W$2:W$6092)</f>
        <v>1075</v>
      </c>
      <c r="M397" s="12">
        <f>LOOKUP(405031100,[1]PlanCuentas!$A$2:$A$6092,[1]PlanCuentas!W$2:W$6092)</f>
        <v>0</v>
      </c>
      <c r="N397" s="12">
        <f>LOOKUP(405031200,[1]PlanCuentas!$A$2:$A$6092,[1]PlanCuentas!W$2:W$6092)</f>
        <v>0</v>
      </c>
      <c r="O397" s="12">
        <f>LOOKUP(405031300,[1]PlanCuentas!$A$2:$A$6092,[1]PlanCuentas!W$2:W$6092)</f>
        <v>0</v>
      </c>
      <c r="P397" s="12">
        <f>LOOKUP(405032000,[1]PlanCuentas!$A$2:$A$6092,[1]PlanCuentas!W$2:W$6092)</f>
        <v>0</v>
      </c>
      <c r="Q397" s="13">
        <f t="shared" si="18"/>
        <v>2213941</v>
      </c>
    </row>
    <row r="398" spans="1:17" x14ac:dyDescent="0.2">
      <c r="A398" s="10">
        <v>22</v>
      </c>
      <c r="B398" s="11" t="str">
        <f>[1]Aseguradoras!B23</f>
        <v>Grupo General de Seguros y Reaseguros S.A.</v>
      </c>
      <c r="C398" s="12">
        <f>LOOKUP(405030100,[1]PlanCuentas!$A$2:$A$6092,[1]PlanCuentas!X$2:X$6092)</f>
        <v>784492</v>
      </c>
      <c r="D398" s="12">
        <f>LOOKUP(405030200,[1]PlanCuentas!$A$2:$A$6092,[1]PlanCuentas!X$2:X$6092)</f>
        <v>0</v>
      </c>
      <c r="E398" s="12">
        <f>LOOKUP(405030300,[1]PlanCuentas!$A$2:$A$6092,[1]PlanCuentas!X$2:X$6092)</f>
        <v>0</v>
      </c>
      <c r="F398" s="12">
        <f>LOOKUP(405030400,[1]PlanCuentas!$A$2:$A$6092,[1]PlanCuentas!X$2:X$6092)</f>
        <v>7019749</v>
      </c>
      <c r="G398" s="12">
        <f>LOOKUP(405030500,[1]PlanCuentas!$A$2:$A$6092,[1]PlanCuentas!X$2:X$6092)</f>
        <v>2212866</v>
      </c>
      <c r="H398" s="12">
        <f>LOOKUP(405030600,[1]PlanCuentas!$A$2:$A$6092,[1]PlanCuentas!X$2:X$6092)</f>
        <v>5532</v>
      </c>
      <c r="I398" s="12">
        <f>LOOKUP(405030700,[1]PlanCuentas!$A$2:$A$6092,[1]PlanCuentas!X$2:X$6092)</f>
        <v>5071</v>
      </c>
      <c r="J398" s="12">
        <f>LOOKUP(405030800,[1]PlanCuentas!$A$2:$A$6092,[1]PlanCuentas!X$2:X$6092)</f>
        <v>0</v>
      </c>
      <c r="K398" s="12">
        <f>LOOKUP(405030900,[1]PlanCuentas!$A$2:$A$6092,[1]PlanCuentas!X$2:X$6092)</f>
        <v>0</v>
      </c>
      <c r="L398" s="12">
        <f>LOOKUP(405031000,[1]PlanCuentas!$A$2:$A$6092,[1]PlanCuentas!X$2:X$6092)</f>
        <v>1075</v>
      </c>
      <c r="M398" s="12">
        <f>LOOKUP(405031100,[1]PlanCuentas!$A$2:$A$6092,[1]PlanCuentas!X$2:X$6092)</f>
        <v>0</v>
      </c>
      <c r="N398" s="12">
        <f>LOOKUP(405031200,[1]PlanCuentas!$A$2:$A$6092,[1]PlanCuentas!X$2:X$6092)</f>
        <v>0</v>
      </c>
      <c r="O398" s="12">
        <f>LOOKUP(405031300,[1]PlanCuentas!$A$2:$A$6092,[1]PlanCuentas!X$2:X$6092)</f>
        <v>110466</v>
      </c>
      <c r="P398" s="12">
        <f>LOOKUP(405032000,[1]PlanCuentas!$A$2:$A$6092,[1]PlanCuentas!X$2:X$6092)</f>
        <v>11345</v>
      </c>
      <c r="Q398" s="13">
        <f t="shared" si="18"/>
        <v>10150596</v>
      </c>
    </row>
    <row r="399" spans="1:17" x14ac:dyDescent="0.2">
      <c r="A399" s="10">
        <v>23</v>
      </c>
      <c r="B399" s="11" t="str">
        <f>[1]Aseguradoras!B24</f>
        <v>Alfa S.A de Seguros y Reaseguros</v>
      </c>
      <c r="C399" s="12">
        <f>LOOKUP(405030100,[1]PlanCuentas!$A$2:$A$6092,[1]PlanCuentas!Y$2:Y$6092)</f>
        <v>0</v>
      </c>
      <c r="D399" s="12">
        <f>LOOKUP(405030200,[1]PlanCuentas!$A$2:$A$6092,[1]PlanCuentas!Y$2:Y$6092)</f>
        <v>0</v>
      </c>
      <c r="E399" s="12">
        <f>LOOKUP(405030300,[1]PlanCuentas!$A$2:$A$6092,[1]PlanCuentas!Y$2:Y$6092)</f>
        <v>0</v>
      </c>
      <c r="F399" s="12">
        <f>LOOKUP(405030400,[1]PlanCuentas!$A$2:$A$6092,[1]PlanCuentas!Y$2:Y$6092)</f>
        <v>1728858</v>
      </c>
      <c r="G399" s="12">
        <f>LOOKUP(405030500,[1]PlanCuentas!$A$2:$A$6092,[1]PlanCuentas!Y$2:Y$6092)</f>
        <v>0</v>
      </c>
      <c r="H399" s="12">
        <f>LOOKUP(405030600,[1]PlanCuentas!$A$2:$A$6092,[1]PlanCuentas!Y$2:Y$6092)</f>
        <v>0</v>
      </c>
      <c r="I399" s="12">
        <f>LOOKUP(405030700,[1]PlanCuentas!$A$2:$A$6092,[1]PlanCuentas!Y$2:Y$6092)</f>
        <v>0</v>
      </c>
      <c r="J399" s="12">
        <f>LOOKUP(405030800,[1]PlanCuentas!$A$2:$A$6092,[1]PlanCuentas!Y$2:Y$6092)</f>
        <v>0</v>
      </c>
      <c r="K399" s="12">
        <f>LOOKUP(405030900,[1]PlanCuentas!$A$2:$A$6092,[1]PlanCuentas!Y$2:Y$6092)</f>
        <v>0</v>
      </c>
      <c r="L399" s="12">
        <f>LOOKUP(405031000,[1]PlanCuentas!$A$2:$A$6092,[1]PlanCuentas!Y$2:Y$6092)</f>
        <v>1075</v>
      </c>
      <c r="M399" s="12">
        <f>LOOKUP(405031100,[1]PlanCuentas!$A$2:$A$6092,[1]PlanCuentas!Y$2:Y$6092)</f>
        <v>0</v>
      </c>
      <c r="N399" s="12">
        <f>LOOKUP(405031200,[1]PlanCuentas!$A$2:$A$6092,[1]PlanCuentas!Y$2:Y$6092)</f>
        <v>169800</v>
      </c>
      <c r="O399" s="12">
        <f>LOOKUP(405031300,[1]PlanCuentas!$A$2:$A$6092,[1]PlanCuentas!Y$2:Y$6092)</f>
        <v>5754</v>
      </c>
      <c r="P399" s="12">
        <f>LOOKUP(405032000,[1]PlanCuentas!$A$2:$A$6092,[1]PlanCuentas!Y$2:Y$6092)</f>
        <v>0</v>
      </c>
      <c r="Q399" s="13">
        <f t="shared" si="18"/>
        <v>1905487</v>
      </c>
    </row>
    <row r="400" spans="1:17" x14ac:dyDescent="0.2">
      <c r="A400" s="10">
        <v>24</v>
      </c>
      <c r="B400" s="11" t="str">
        <f>[1]Aseguradoras!B25</f>
        <v>Cenit de Seguros S.A.</v>
      </c>
      <c r="C400" s="12">
        <f>LOOKUP(405030100,[1]PlanCuentas!$A$2:$A$6092,[1]PlanCuentas!Z$2:Z$6092)</f>
        <v>532172</v>
      </c>
      <c r="D400" s="12">
        <f>LOOKUP(405030200,[1]PlanCuentas!$A$2:$A$6092,[1]PlanCuentas!Z$2:Z$6092)</f>
        <v>410933</v>
      </c>
      <c r="E400" s="12">
        <f>LOOKUP(405030300,[1]PlanCuentas!$A$2:$A$6092,[1]PlanCuentas!Z$2:Z$6092)</f>
        <v>101819</v>
      </c>
      <c r="F400" s="12">
        <f>LOOKUP(405030400,[1]PlanCuentas!$A$2:$A$6092,[1]PlanCuentas!Z$2:Z$6092)</f>
        <v>28742310</v>
      </c>
      <c r="G400" s="12">
        <f>LOOKUP(405030500,[1]PlanCuentas!$A$2:$A$6092,[1]PlanCuentas!Z$2:Z$6092)</f>
        <v>2212866</v>
      </c>
      <c r="H400" s="12">
        <f>LOOKUP(405030600,[1]PlanCuentas!$A$2:$A$6092,[1]PlanCuentas!Z$2:Z$6092)</f>
        <v>90251</v>
      </c>
      <c r="I400" s="12">
        <f>LOOKUP(405030700,[1]PlanCuentas!$A$2:$A$6092,[1]PlanCuentas!Z$2:Z$6092)</f>
        <v>0</v>
      </c>
      <c r="J400" s="12">
        <f>LOOKUP(405030800,[1]PlanCuentas!$A$2:$A$6092,[1]PlanCuentas!Z$2:Z$6092)</f>
        <v>0</v>
      </c>
      <c r="K400" s="12">
        <f>LOOKUP(405030900,[1]PlanCuentas!$A$2:$A$6092,[1]PlanCuentas!Z$2:Z$6092)</f>
        <v>0</v>
      </c>
      <c r="L400" s="12">
        <f>LOOKUP(405031000,[1]PlanCuentas!$A$2:$A$6092,[1]PlanCuentas!Z$2:Z$6092)</f>
        <v>1075</v>
      </c>
      <c r="M400" s="12">
        <f>LOOKUP(405031100,[1]PlanCuentas!$A$2:$A$6092,[1]PlanCuentas!Z$2:Z$6092)</f>
        <v>0</v>
      </c>
      <c r="N400" s="12">
        <f>LOOKUP(405031200,[1]PlanCuentas!$A$2:$A$6092,[1]PlanCuentas!Z$2:Z$6092)</f>
        <v>0</v>
      </c>
      <c r="O400" s="12">
        <f>LOOKUP(405031300,[1]PlanCuentas!$A$2:$A$6092,[1]PlanCuentas!Z$2:Z$6092)</f>
        <v>0</v>
      </c>
      <c r="P400" s="12">
        <f>LOOKUP(405032000,[1]PlanCuentas!$A$2:$A$6092,[1]PlanCuentas!Z$2:Z$6092)</f>
        <v>0</v>
      </c>
      <c r="Q400" s="13">
        <f t="shared" si="18"/>
        <v>32091426</v>
      </c>
    </row>
    <row r="401" spans="1:17" x14ac:dyDescent="0.2">
      <c r="A401" s="10">
        <v>25</v>
      </c>
      <c r="B401" s="11" t="str">
        <f>[1]Aseguradoras!B26</f>
        <v>La Meridional Paraguaya S.A de Seguros</v>
      </c>
      <c r="C401" s="12">
        <f>LOOKUP(405030100,[1]PlanCuentas!$A$2:$A$6092,[1]PlanCuentas!AA$2:AA$6092)</f>
        <v>0</v>
      </c>
      <c r="D401" s="12">
        <f>LOOKUP(405030200,[1]PlanCuentas!$A$2:$A$6092,[1]PlanCuentas!AA$2:AA$6092)</f>
        <v>0</v>
      </c>
      <c r="E401" s="12">
        <f>LOOKUP(405030300,[1]PlanCuentas!$A$2:$A$6092,[1]PlanCuentas!AA$2:AA$6092)</f>
        <v>0</v>
      </c>
      <c r="F401" s="12">
        <f>LOOKUP(405030400,[1]PlanCuentas!$A$2:$A$6092,[1]PlanCuentas!AA$2:AA$6092)</f>
        <v>0</v>
      </c>
      <c r="G401" s="12">
        <f>LOOKUP(405030500,[1]PlanCuentas!$A$2:$A$6092,[1]PlanCuentas!AA$2:AA$6092)</f>
        <v>2212866</v>
      </c>
      <c r="H401" s="12">
        <f>LOOKUP(405030600,[1]PlanCuentas!$A$2:$A$6092,[1]PlanCuentas!AA$2:AA$6092)</f>
        <v>0</v>
      </c>
      <c r="I401" s="12">
        <f>LOOKUP(405030700,[1]PlanCuentas!$A$2:$A$6092,[1]PlanCuentas!AA$2:AA$6092)</f>
        <v>0</v>
      </c>
      <c r="J401" s="12">
        <f>LOOKUP(405030800,[1]PlanCuentas!$A$2:$A$6092,[1]PlanCuentas!AA$2:AA$6092)</f>
        <v>0</v>
      </c>
      <c r="K401" s="12">
        <f>LOOKUP(405030900,[1]PlanCuentas!$A$2:$A$6092,[1]PlanCuentas!AA$2:AA$6092)</f>
        <v>0</v>
      </c>
      <c r="L401" s="12">
        <f>LOOKUP(405031000,[1]PlanCuentas!$A$2:$A$6092,[1]PlanCuentas!AA$2:AA$6092)</f>
        <v>1075</v>
      </c>
      <c r="M401" s="12">
        <f>LOOKUP(405031100,[1]PlanCuentas!$A$2:$A$6092,[1]PlanCuentas!AA$2:AA$6092)</f>
        <v>0</v>
      </c>
      <c r="N401" s="12">
        <f>LOOKUP(405031200,[1]PlanCuentas!$A$2:$A$6092,[1]PlanCuentas!AA$2:AA$6092)</f>
        <v>0</v>
      </c>
      <c r="O401" s="12">
        <f>LOOKUP(405031300,[1]PlanCuentas!$A$2:$A$6092,[1]PlanCuentas!AA$2:AA$6092)</f>
        <v>0</v>
      </c>
      <c r="P401" s="12">
        <f>LOOKUP(405032000,[1]PlanCuentas!$A$2:$A$6092,[1]PlanCuentas!AA$2:AA$6092)</f>
        <v>0</v>
      </c>
      <c r="Q401" s="13">
        <f t="shared" si="18"/>
        <v>2213941</v>
      </c>
    </row>
    <row r="402" spans="1:17" x14ac:dyDescent="0.2">
      <c r="A402" s="10">
        <v>26</v>
      </c>
      <c r="B402" s="11" t="str">
        <f>[1]Aseguradoras!B27</f>
        <v>Aseguradora Del Este S.A de Seguros y Reaseguros</v>
      </c>
      <c r="C402" s="12">
        <f>LOOKUP(405030100,[1]PlanCuentas!$A$2:$A$6092,[1]PlanCuentas!AB$2:AB$6092)</f>
        <v>0</v>
      </c>
      <c r="D402" s="12">
        <f>LOOKUP(405030200,[1]PlanCuentas!$A$2:$A$6092,[1]PlanCuentas!AB$2:AB$6092)</f>
        <v>0</v>
      </c>
      <c r="E402" s="12">
        <f>LOOKUP(405030300,[1]PlanCuentas!$A$2:$A$6092,[1]PlanCuentas!AB$2:AB$6092)</f>
        <v>0</v>
      </c>
      <c r="F402" s="12">
        <f>LOOKUP(405030400,[1]PlanCuentas!$A$2:$A$6092,[1]PlanCuentas!AB$2:AB$6092)</f>
        <v>61109</v>
      </c>
      <c r="G402" s="12">
        <f>LOOKUP(405030500,[1]PlanCuentas!$A$2:$A$6092,[1]PlanCuentas!AB$2:AB$6092)</f>
        <v>2212866</v>
      </c>
      <c r="H402" s="12">
        <f>LOOKUP(405030600,[1]PlanCuentas!$A$2:$A$6092,[1]PlanCuentas!AB$2:AB$6092)</f>
        <v>0</v>
      </c>
      <c r="I402" s="12">
        <f>LOOKUP(405030700,[1]PlanCuentas!$A$2:$A$6092,[1]PlanCuentas!AB$2:AB$6092)</f>
        <v>0</v>
      </c>
      <c r="J402" s="12">
        <f>LOOKUP(405030800,[1]PlanCuentas!$A$2:$A$6092,[1]PlanCuentas!AB$2:AB$6092)</f>
        <v>0</v>
      </c>
      <c r="K402" s="12">
        <f>LOOKUP(405030900,[1]PlanCuentas!$A$2:$A$6092,[1]PlanCuentas!AB$2:AB$6092)</f>
        <v>0</v>
      </c>
      <c r="L402" s="12">
        <f>LOOKUP(405031000,[1]PlanCuentas!$A$2:$A$6092,[1]PlanCuentas!AB$2:AB$6092)</f>
        <v>1075</v>
      </c>
      <c r="M402" s="12">
        <f>LOOKUP(405031100,[1]PlanCuentas!$A$2:$A$6092,[1]PlanCuentas!AB$2:AB$6092)</f>
        <v>0</v>
      </c>
      <c r="N402" s="12">
        <f>LOOKUP(405031200,[1]PlanCuentas!$A$2:$A$6092,[1]PlanCuentas!AB$2:AB$6092)</f>
        <v>0</v>
      </c>
      <c r="O402" s="12">
        <f>LOOKUP(405031300,[1]PlanCuentas!$A$2:$A$6092,[1]PlanCuentas!AB$2:AB$6092)</f>
        <v>0</v>
      </c>
      <c r="P402" s="12">
        <f>LOOKUP(405032000,[1]PlanCuentas!$A$2:$A$6092,[1]PlanCuentas!AB$2:AB$6092)</f>
        <v>0</v>
      </c>
      <c r="Q402" s="13">
        <f t="shared" si="18"/>
        <v>2275050</v>
      </c>
    </row>
    <row r="403" spans="1:17" x14ac:dyDescent="0.2">
      <c r="A403" s="10">
        <v>27</v>
      </c>
      <c r="B403" s="11" t="str">
        <f>[1]Aseguradoras!B28</f>
        <v>Imperio S.A de Seguros y Reaseguros</v>
      </c>
      <c r="C403" s="12">
        <f>LOOKUP(405030100,[1]PlanCuentas!$A$2:$A$6092,[1]PlanCuentas!AC$2:AC$6092)</f>
        <v>0</v>
      </c>
      <c r="D403" s="12">
        <f>LOOKUP(405030200,[1]PlanCuentas!$A$2:$A$6092,[1]PlanCuentas!AC$2:AC$6092)</f>
        <v>0</v>
      </c>
      <c r="E403" s="12">
        <f>LOOKUP(405030300,[1]PlanCuentas!$A$2:$A$6092,[1]PlanCuentas!AC$2:AC$6092)</f>
        <v>0</v>
      </c>
      <c r="F403" s="12">
        <f>LOOKUP(405030400,[1]PlanCuentas!$A$2:$A$6092,[1]PlanCuentas!AC$2:AC$6092)</f>
        <v>0</v>
      </c>
      <c r="G403" s="12">
        <f>LOOKUP(405030500,[1]PlanCuentas!$A$2:$A$6092,[1]PlanCuentas!AC$2:AC$6092)</f>
        <v>2212866</v>
      </c>
      <c r="H403" s="12">
        <f>LOOKUP(405030600,[1]PlanCuentas!$A$2:$A$6092,[1]PlanCuentas!AC$2:AC$6092)</f>
        <v>0</v>
      </c>
      <c r="I403" s="12">
        <f>LOOKUP(405030700,[1]PlanCuentas!$A$2:$A$6092,[1]PlanCuentas!AC$2:AC$6092)</f>
        <v>0</v>
      </c>
      <c r="J403" s="12">
        <f>LOOKUP(405030800,[1]PlanCuentas!$A$2:$A$6092,[1]PlanCuentas!AC$2:AC$6092)</f>
        <v>0</v>
      </c>
      <c r="K403" s="12">
        <f>LOOKUP(405030900,[1]PlanCuentas!$A$2:$A$6092,[1]PlanCuentas!AC$2:AC$6092)</f>
        <v>0</v>
      </c>
      <c r="L403" s="12">
        <f>LOOKUP(405031000,[1]PlanCuentas!$A$2:$A$6092,[1]PlanCuentas!AC$2:AC$6092)</f>
        <v>1075</v>
      </c>
      <c r="M403" s="12">
        <f>LOOKUP(405031100,[1]PlanCuentas!$A$2:$A$6092,[1]PlanCuentas!AC$2:AC$6092)</f>
        <v>0</v>
      </c>
      <c r="N403" s="12">
        <f>LOOKUP(405031200,[1]PlanCuentas!$A$2:$A$6092,[1]PlanCuentas!AC$2:AC$6092)</f>
        <v>0</v>
      </c>
      <c r="O403" s="12">
        <f>LOOKUP(405031300,[1]PlanCuentas!$A$2:$A$6092,[1]PlanCuentas!AC$2:AC$6092)</f>
        <v>0</v>
      </c>
      <c r="P403" s="12">
        <f>LOOKUP(405032000,[1]PlanCuentas!$A$2:$A$6092,[1]PlanCuentas!AC$2:AC$6092)</f>
        <v>0</v>
      </c>
      <c r="Q403" s="13">
        <f t="shared" si="18"/>
        <v>2213941</v>
      </c>
    </row>
    <row r="404" spans="1:17" x14ac:dyDescent="0.2">
      <c r="A404" s="10">
        <v>28</v>
      </c>
      <c r="B404" s="11" t="str">
        <f>[1]Aseguradoras!B29</f>
        <v>Regional S.A de Seguros y Reaseguros</v>
      </c>
      <c r="C404" s="12">
        <f>LOOKUP(405030100,[1]PlanCuentas!$A$2:$A$6092,[1]PlanCuentas!AD$2:AD$6092)</f>
        <v>2132283</v>
      </c>
      <c r="D404" s="12">
        <f>LOOKUP(405030200,[1]PlanCuentas!$A$2:$A$6092,[1]PlanCuentas!AD$2:AD$6092)</f>
        <v>362345</v>
      </c>
      <c r="E404" s="12">
        <f>LOOKUP(405030300,[1]PlanCuentas!$A$2:$A$6092,[1]PlanCuentas!AD$2:AD$6092)</f>
        <v>212954</v>
      </c>
      <c r="F404" s="12">
        <f>LOOKUP(405030400,[1]PlanCuentas!$A$2:$A$6092,[1]PlanCuentas!AD$2:AD$6092)</f>
        <v>49673195</v>
      </c>
      <c r="G404" s="12">
        <f>LOOKUP(405030500,[1]PlanCuentas!$A$2:$A$6092,[1]PlanCuentas!AD$2:AD$6092)</f>
        <v>0</v>
      </c>
      <c r="H404" s="12">
        <f>LOOKUP(405030600,[1]PlanCuentas!$A$2:$A$6092,[1]PlanCuentas!AD$2:AD$6092)</f>
        <v>273362</v>
      </c>
      <c r="I404" s="12">
        <f>LOOKUP(405030700,[1]PlanCuentas!$A$2:$A$6092,[1]PlanCuentas!AD$2:AD$6092)</f>
        <v>17655</v>
      </c>
      <c r="J404" s="12">
        <f>LOOKUP(405030800,[1]PlanCuentas!$A$2:$A$6092,[1]PlanCuentas!AD$2:AD$6092)</f>
        <v>0</v>
      </c>
      <c r="K404" s="12">
        <f>LOOKUP(405030900,[1]PlanCuentas!$A$2:$A$6092,[1]PlanCuentas!AD$2:AD$6092)</f>
        <v>43471</v>
      </c>
      <c r="L404" s="12">
        <f>LOOKUP(405031000,[1]PlanCuentas!$A$2:$A$6092,[1]PlanCuentas!AD$2:AD$6092)</f>
        <v>116991</v>
      </c>
      <c r="M404" s="12">
        <f>LOOKUP(405031100,[1]PlanCuentas!$A$2:$A$6092,[1]PlanCuentas!AD$2:AD$6092)</f>
        <v>0</v>
      </c>
      <c r="N404" s="12">
        <f>LOOKUP(405031200,[1]PlanCuentas!$A$2:$A$6092,[1]PlanCuentas!AD$2:AD$6092)</f>
        <v>252226</v>
      </c>
      <c r="O404" s="12">
        <f>LOOKUP(405031300,[1]PlanCuentas!$A$2:$A$6092,[1]PlanCuentas!AD$2:AD$6092)</f>
        <v>467408</v>
      </c>
      <c r="P404" s="12">
        <f>LOOKUP(405032000,[1]PlanCuentas!$A$2:$A$6092,[1]PlanCuentas!AD$2:AD$6092)</f>
        <v>8916</v>
      </c>
      <c r="Q404" s="13">
        <f t="shared" si="18"/>
        <v>53560806</v>
      </c>
    </row>
    <row r="405" spans="1:17" x14ac:dyDescent="0.2">
      <c r="A405" s="10">
        <v>29</v>
      </c>
      <c r="B405" s="11" t="str">
        <f>[1]Aseguradoras!B30</f>
        <v>Mapfre Paraguay Compañía de Seguros S.A.</v>
      </c>
      <c r="C405" s="12">
        <f>LOOKUP(405030100,[1]PlanCuentas!$A$2:$A$6092,[1]PlanCuentas!AE$2:AE$6092)</f>
        <v>1120012</v>
      </c>
      <c r="D405" s="12">
        <f>LOOKUP(405030200,[1]PlanCuentas!$A$2:$A$6092,[1]PlanCuentas!AE$2:AE$6092)</f>
        <v>469492</v>
      </c>
      <c r="E405" s="12">
        <f>LOOKUP(405030300,[1]PlanCuentas!$A$2:$A$6092,[1]PlanCuentas!AE$2:AE$6092)</f>
        <v>1380840</v>
      </c>
      <c r="F405" s="12">
        <f>LOOKUP(405030400,[1]PlanCuentas!$A$2:$A$6092,[1]PlanCuentas!AE$2:AE$6092)</f>
        <v>8068841</v>
      </c>
      <c r="G405" s="12">
        <f>LOOKUP(405030500,[1]PlanCuentas!$A$2:$A$6092,[1]PlanCuentas!AE$2:AE$6092)</f>
        <v>0</v>
      </c>
      <c r="H405" s="12">
        <f>LOOKUP(405030600,[1]PlanCuentas!$A$2:$A$6092,[1]PlanCuentas!AE$2:AE$6092)</f>
        <v>1913200852</v>
      </c>
      <c r="I405" s="12">
        <f>LOOKUP(405030700,[1]PlanCuentas!$A$2:$A$6092,[1]PlanCuentas!AE$2:AE$6092)</f>
        <v>32637</v>
      </c>
      <c r="J405" s="12">
        <f>LOOKUP(405030800,[1]PlanCuentas!$A$2:$A$6092,[1]PlanCuentas!AE$2:AE$6092)</f>
        <v>0</v>
      </c>
      <c r="K405" s="12">
        <f>LOOKUP(405030900,[1]PlanCuentas!$A$2:$A$6092,[1]PlanCuentas!AE$2:AE$6092)</f>
        <v>0</v>
      </c>
      <c r="L405" s="12">
        <f>LOOKUP(405031000,[1]PlanCuentas!$A$2:$A$6092,[1]PlanCuentas!AE$2:AE$6092)</f>
        <v>45066</v>
      </c>
      <c r="M405" s="12">
        <f>LOOKUP(405031100,[1]PlanCuentas!$A$2:$A$6092,[1]PlanCuentas!AE$2:AE$6092)</f>
        <v>0</v>
      </c>
      <c r="N405" s="12">
        <f>LOOKUP(405031200,[1]PlanCuentas!$A$2:$A$6092,[1]PlanCuentas!AE$2:AE$6092)</f>
        <v>0</v>
      </c>
      <c r="O405" s="12">
        <f>LOOKUP(405031300,[1]PlanCuentas!$A$2:$A$6092,[1]PlanCuentas!AE$2:AE$6092)</f>
        <v>37879</v>
      </c>
      <c r="P405" s="12">
        <f>LOOKUP(405032000,[1]PlanCuentas!$A$2:$A$6092,[1]PlanCuentas!AE$2:AE$6092)</f>
        <v>1485101981</v>
      </c>
      <c r="Q405" s="13">
        <f t="shared" si="18"/>
        <v>3409457600</v>
      </c>
    </row>
    <row r="406" spans="1:17" x14ac:dyDescent="0.2">
      <c r="A406" s="10">
        <v>30</v>
      </c>
      <c r="B406" s="11" t="str">
        <f>[1]Aseguradoras!B31</f>
        <v>Aseguradora Tajy Propiedad Cooperativa S.A. de Seguros</v>
      </c>
      <c r="C406" s="12">
        <f>LOOKUP(405030100,[1]PlanCuentas!$A$2:$A$6092,[1]PlanCuentas!AF$2:AF$6092)</f>
        <v>0</v>
      </c>
      <c r="D406" s="12">
        <f>LOOKUP(405030200,[1]PlanCuentas!$A$2:$A$6092,[1]PlanCuentas!AF$2:AF$6092)</f>
        <v>0</v>
      </c>
      <c r="E406" s="12">
        <f>LOOKUP(405030300,[1]PlanCuentas!$A$2:$A$6092,[1]PlanCuentas!AF$2:AF$6092)</f>
        <v>0</v>
      </c>
      <c r="F406" s="12">
        <f>LOOKUP(405030400,[1]PlanCuentas!$A$2:$A$6092,[1]PlanCuentas!AF$2:AF$6092)</f>
        <v>0</v>
      </c>
      <c r="G406" s="12">
        <f>LOOKUP(405030500,[1]PlanCuentas!$A$2:$A$6092,[1]PlanCuentas!AF$2:AF$6092)</f>
        <v>0</v>
      </c>
      <c r="H406" s="12">
        <f>LOOKUP(405030600,[1]PlanCuentas!$A$2:$A$6092,[1]PlanCuentas!AF$2:AF$6092)</f>
        <v>0</v>
      </c>
      <c r="I406" s="12">
        <f>LOOKUP(405030700,[1]PlanCuentas!$A$2:$A$6092,[1]PlanCuentas!AF$2:AF$6092)</f>
        <v>0</v>
      </c>
      <c r="J406" s="12">
        <f>LOOKUP(405030800,[1]PlanCuentas!$A$2:$A$6092,[1]PlanCuentas!AF$2:AF$6092)</f>
        <v>0</v>
      </c>
      <c r="K406" s="12">
        <f>LOOKUP(405030900,[1]PlanCuentas!$A$2:$A$6092,[1]PlanCuentas!AF$2:AF$6092)</f>
        <v>0</v>
      </c>
      <c r="L406" s="12">
        <f>LOOKUP(405031000,[1]PlanCuentas!$A$2:$A$6092,[1]PlanCuentas!AF$2:AF$6092)</f>
        <v>1075</v>
      </c>
      <c r="M406" s="12">
        <f>LOOKUP(405031100,[1]PlanCuentas!$A$2:$A$6092,[1]PlanCuentas!AF$2:AF$6092)</f>
        <v>0</v>
      </c>
      <c r="N406" s="12">
        <f>LOOKUP(405031200,[1]PlanCuentas!$A$2:$A$6092,[1]PlanCuentas!AF$2:AF$6092)</f>
        <v>0</v>
      </c>
      <c r="O406" s="12">
        <f>LOOKUP(405031300,[1]PlanCuentas!$A$2:$A$6092,[1]PlanCuentas!AF$2:AF$6092)</f>
        <v>0</v>
      </c>
      <c r="P406" s="12">
        <f>LOOKUP(405032000,[1]PlanCuentas!$A$2:$A$6092,[1]PlanCuentas!AF$2:AF$6092)</f>
        <v>0</v>
      </c>
      <c r="Q406" s="13">
        <f t="shared" si="18"/>
        <v>1075</v>
      </c>
    </row>
    <row r="407" spans="1:17" x14ac:dyDescent="0.2">
      <c r="A407" s="10">
        <v>31</v>
      </c>
      <c r="B407" s="11" t="str">
        <f>[1]Aseguradoras!B32</f>
        <v>Aseguradora del Sur S.A. Seguros Generales - ASUR</v>
      </c>
      <c r="C407" s="12">
        <f>LOOKUP(405030100,[1]PlanCuentas!$A$2:$A$6092,[1]PlanCuentas!AG$2:AG$6092)</f>
        <v>0</v>
      </c>
      <c r="D407" s="12">
        <f>LOOKUP(405030200,[1]PlanCuentas!$A$2:$A$6092,[1]PlanCuentas!AG$2:AG$6092)</f>
        <v>0</v>
      </c>
      <c r="E407" s="12">
        <f>LOOKUP(405030300,[1]PlanCuentas!$A$2:$A$6092,[1]PlanCuentas!AG$2:AG$6092)</f>
        <v>0</v>
      </c>
      <c r="F407" s="12">
        <f>LOOKUP(405030400,[1]PlanCuentas!$A$2:$A$6092,[1]PlanCuentas!AG$2:AG$6092)</f>
        <v>0</v>
      </c>
      <c r="G407" s="12">
        <f>LOOKUP(405030500,[1]PlanCuentas!$A$2:$A$6092,[1]PlanCuentas!AG$2:AG$6092)</f>
        <v>2212866</v>
      </c>
      <c r="H407" s="12">
        <f>LOOKUP(405030600,[1]PlanCuentas!$A$2:$A$6092,[1]PlanCuentas!AG$2:AG$6092)</f>
        <v>0</v>
      </c>
      <c r="I407" s="12">
        <f>LOOKUP(405030700,[1]PlanCuentas!$A$2:$A$6092,[1]PlanCuentas!AG$2:AG$6092)</f>
        <v>0</v>
      </c>
      <c r="J407" s="12">
        <f>LOOKUP(405030800,[1]PlanCuentas!$A$2:$A$6092,[1]PlanCuentas!AG$2:AG$6092)</f>
        <v>0</v>
      </c>
      <c r="K407" s="12">
        <f>LOOKUP(405030900,[1]PlanCuentas!$A$2:$A$6092,[1]PlanCuentas!AG$2:AG$6092)</f>
        <v>0</v>
      </c>
      <c r="L407" s="12">
        <f>LOOKUP(405031000,[1]PlanCuentas!$A$2:$A$6092,[1]PlanCuentas!AG$2:AG$6092)</f>
        <v>1075</v>
      </c>
      <c r="M407" s="12">
        <f>LOOKUP(405031100,[1]PlanCuentas!$A$2:$A$6092,[1]PlanCuentas!AG$2:AG$6092)</f>
        <v>0</v>
      </c>
      <c r="N407" s="12">
        <f>LOOKUP(405031200,[1]PlanCuentas!$A$2:$A$6092,[1]PlanCuentas!AG$2:AG$6092)</f>
        <v>0</v>
      </c>
      <c r="O407" s="12">
        <f>LOOKUP(405031300,[1]PlanCuentas!$A$2:$A$6092,[1]PlanCuentas!AG$2:AG$6092)</f>
        <v>0</v>
      </c>
      <c r="P407" s="12">
        <f>LOOKUP(405032000,[1]PlanCuentas!$A$2:$A$6092,[1]PlanCuentas!AG$2:AG$6092)</f>
        <v>0</v>
      </c>
      <c r="Q407" s="13">
        <f t="shared" si="18"/>
        <v>2213941</v>
      </c>
    </row>
    <row r="408" spans="1:17" x14ac:dyDescent="0.2">
      <c r="A408" s="10">
        <v>32</v>
      </c>
      <c r="B408" s="11" t="str">
        <f>[1]Aseguradoras!B33</f>
        <v>Panal Compañía De Seguros Generales S.A.</v>
      </c>
      <c r="C408" s="12">
        <f>LOOKUP(405030100,[1]PlanCuentas!$A$2:$A$6092,[1]PlanCuentas!AH$2:AH$6092)</f>
        <v>0</v>
      </c>
      <c r="D408" s="12">
        <f>LOOKUP(405030200,[1]PlanCuentas!$A$2:$A$6092,[1]PlanCuentas!AH$2:AH$6092)</f>
        <v>0</v>
      </c>
      <c r="E408" s="12">
        <f>LOOKUP(405030300,[1]PlanCuentas!$A$2:$A$6092,[1]PlanCuentas!AH$2:AH$6092)</f>
        <v>0</v>
      </c>
      <c r="F408" s="12">
        <f>LOOKUP(405030400,[1]PlanCuentas!$A$2:$A$6092,[1]PlanCuentas!AH$2:AH$6092)</f>
        <v>0</v>
      </c>
      <c r="G408" s="12">
        <f>LOOKUP(405030500,[1]PlanCuentas!$A$2:$A$6092,[1]PlanCuentas!AH$2:AH$6092)</f>
        <v>0</v>
      </c>
      <c r="H408" s="12">
        <f>LOOKUP(405030600,[1]PlanCuentas!$A$2:$A$6092,[1]PlanCuentas!AH$2:AH$6092)</f>
        <v>0</v>
      </c>
      <c r="I408" s="12">
        <f>LOOKUP(405030700,[1]PlanCuentas!$A$2:$A$6092,[1]PlanCuentas!AH$2:AH$6092)</f>
        <v>0</v>
      </c>
      <c r="J408" s="12">
        <f>LOOKUP(405030800,[1]PlanCuentas!$A$2:$A$6092,[1]PlanCuentas!AH$2:AH$6092)</f>
        <v>0</v>
      </c>
      <c r="K408" s="12">
        <f>LOOKUP(405030900,[1]PlanCuentas!$A$2:$A$6092,[1]PlanCuentas!AH$2:AH$6092)</f>
        <v>0</v>
      </c>
      <c r="L408" s="12">
        <f>LOOKUP(405031000,[1]PlanCuentas!$A$2:$A$6092,[1]PlanCuentas!AH$2:AH$6092)</f>
        <v>0</v>
      </c>
      <c r="M408" s="12">
        <f>LOOKUP(405031100,[1]PlanCuentas!$A$2:$A$6092,[1]PlanCuentas!AH$2:AH$6092)</f>
        <v>0</v>
      </c>
      <c r="N408" s="12">
        <f>LOOKUP(405031200,[1]PlanCuentas!$A$2:$A$6092,[1]PlanCuentas!AH$2:AH$6092)</f>
        <v>0</v>
      </c>
      <c r="O408" s="12">
        <f>LOOKUP(405031300,[1]PlanCuentas!$A$2:$A$6092,[1]PlanCuentas!AH$2:AH$6092)</f>
        <v>0</v>
      </c>
      <c r="P408" s="12">
        <f>LOOKUP(405032000,[1]PlanCuentas!$A$2:$A$6092,[1]PlanCuentas!AH$2:AH$6092)</f>
        <v>0</v>
      </c>
      <c r="Q408" s="13">
        <f t="shared" si="18"/>
        <v>0</v>
      </c>
    </row>
    <row r="409" spans="1:17" x14ac:dyDescent="0.2">
      <c r="A409" s="10">
        <v>33</v>
      </c>
      <c r="B409" s="11" t="str">
        <f>[1]Aseguradoras!B34</f>
        <v>Sancor Seguros del Paraguay S.A.</v>
      </c>
      <c r="C409" s="12">
        <f>LOOKUP(405030100,[1]PlanCuentas!$A$2:$A$6092,[1]PlanCuentas!AI$2:AI$6092)</f>
        <v>0</v>
      </c>
      <c r="D409" s="12">
        <f>LOOKUP(405030200,[1]PlanCuentas!$A$2:$A$6092,[1]PlanCuentas!AI$2:AI$6092)</f>
        <v>0</v>
      </c>
      <c r="E409" s="12">
        <f>LOOKUP(405030300,[1]PlanCuentas!$A$2:$A$6092,[1]PlanCuentas!AI$2:AI$6092)</f>
        <v>0</v>
      </c>
      <c r="F409" s="12">
        <f>LOOKUP(405030400,[1]PlanCuentas!$A$2:$A$6092,[1]PlanCuentas!AI$2:AI$6092)</f>
        <v>0</v>
      </c>
      <c r="G409" s="12">
        <f>LOOKUP(405030500,[1]PlanCuentas!$A$2:$A$6092,[1]PlanCuentas!AI$2:AI$6092)</f>
        <v>0</v>
      </c>
      <c r="H409" s="12">
        <f>LOOKUP(405030600,[1]PlanCuentas!$A$2:$A$6092,[1]PlanCuentas!AI$2:AI$6092)</f>
        <v>0</v>
      </c>
      <c r="I409" s="12">
        <f>LOOKUP(405030700,[1]PlanCuentas!$A$2:$A$6092,[1]PlanCuentas!AI$2:AI$6092)</f>
        <v>0</v>
      </c>
      <c r="J409" s="12">
        <f>LOOKUP(405030800,[1]PlanCuentas!$A$2:$A$6092,[1]PlanCuentas!AI$2:AI$6092)</f>
        <v>0</v>
      </c>
      <c r="K409" s="12">
        <f>LOOKUP(405030900,[1]PlanCuentas!$A$2:$A$6092,[1]PlanCuentas!AI$2:AI$6092)</f>
        <v>0</v>
      </c>
      <c r="L409" s="12">
        <f>LOOKUP(405031000,[1]PlanCuentas!$A$2:$A$6092,[1]PlanCuentas!AI$2:AI$6092)</f>
        <v>0</v>
      </c>
      <c r="M409" s="12">
        <f>LOOKUP(405031100,[1]PlanCuentas!$A$2:$A$6092,[1]PlanCuentas!AI$2:AI$6092)</f>
        <v>0</v>
      </c>
      <c r="N409" s="12">
        <f>LOOKUP(405031200,[1]PlanCuentas!$A$2:$A$6092,[1]PlanCuentas!AI$2:AI$6092)</f>
        <v>0</v>
      </c>
      <c r="O409" s="12">
        <f>LOOKUP(405031300,[1]PlanCuentas!$A$2:$A$6092,[1]PlanCuentas!AI$2:AI$6092)</f>
        <v>0</v>
      </c>
      <c r="P409" s="12">
        <f>LOOKUP(405032000,[1]PlanCuentas!$A$2:$A$6092,[1]PlanCuentas!AI$2:AI$6092)</f>
        <v>0</v>
      </c>
      <c r="Q409" s="13">
        <f>SUM(C409:P409)</f>
        <v>0</v>
      </c>
    </row>
    <row r="410" spans="1:17" x14ac:dyDescent="0.2">
      <c r="A410" s="14"/>
      <c r="B410" s="15" t="s">
        <v>18</v>
      </c>
      <c r="C410" s="16">
        <f t="shared" ref="C410:Q410" si="19">SUBTOTAL(109,C377:C409)</f>
        <v>32844102</v>
      </c>
      <c r="D410" s="16">
        <f t="shared" si="19"/>
        <v>1766065</v>
      </c>
      <c r="E410" s="16">
        <f t="shared" si="19"/>
        <v>2545124</v>
      </c>
      <c r="F410" s="16">
        <f t="shared" si="19"/>
        <v>224015175</v>
      </c>
      <c r="G410" s="16">
        <f t="shared" si="19"/>
        <v>75159444</v>
      </c>
      <c r="H410" s="16">
        <f t="shared" si="19"/>
        <v>1917051167</v>
      </c>
      <c r="I410" s="16">
        <f t="shared" si="19"/>
        <v>408336</v>
      </c>
      <c r="J410" s="16">
        <f t="shared" si="19"/>
        <v>0</v>
      </c>
      <c r="K410" s="16">
        <f t="shared" si="19"/>
        <v>67205</v>
      </c>
      <c r="L410" s="16">
        <f t="shared" si="19"/>
        <v>1587165</v>
      </c>
      <c r="M410" s="16">
        <f t="shared" si="19"/>
        <v>0</v>
      </c>
      <c r="N410" s="16">
        <f t="shared" si="19"/>
        <v>2637997</v>
      </c>
      <c r="O410" s="16">
        <f t="shared" si="19"/>
        <v>2532424</v>
      </c>
      <c r="P410" s="16">
        <f t="shared" si="19"/>
        <v>1485139816</v>
      </c>
      <c r="Q410" s="16">
        <f t="shared" si="19"/>
        <v>3745754020</v>
      </c>
    </row>
    <row r="411" spans="1:17" x14ac:dyDescent="0.2"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</row>
    <row r="412" spans="1:17" ht="28.35" customHeight="1" x14ac:dyDescent="0.2">
      <c r="A412" s="1" t="s">
        <v>34</v>
      </c>
      <c r="B412" s="47" t="s">
        <v>35</v>
      </c>
      <c r="C412" s="47"/>
      <c r="D412" s="2"/>
      <c r="E412" s="3"/>
      <c r="F412" s="4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</row>
    <row r="413" spans="1:17" ht="24" x14ac:dyDescent="0.2">
      <c r="A413" s="7" t="s">
        <v>2</v>
      </c>
      <c r="B413" s="8" t="s">
        <v>3</v>
      </c>
      <c r="C413" s="9" t="s">
        <v>4</v>
      </c>
      <c r="D413" s="9" t="s">
        <v>5</v>
      </c>
      <c r="E413" s="9" t="s">
        <v>6</v>
      </c>
      <c r="F413" s="9" t="s">
        <v>7</v>
      </c>
      <c r="G413" s="9" t="s">
        <v>8</v>
      </c>
      <c r="H413" s="9" t="s">
        <v>9</v>
      </c>
      <c r="I413" s="9" t="s">
        <v>10</v>
      </c>
      <c r="J413" s="9" t="s">
        <v>11</v>
      </c>
      <c r="K413" s="9" t="s">
        <v>12</v>
      </c>
      <c r="L413" s="9" t="s">
        <v>13</v>
      </c>
      <c r="M413" s="9" t="s">
        <v>14</v>
      </c>
      <c r="N413" s="9" t="s">
        <v>15</v>
      </c>
      <c r="O413" s="9" t="s">
        <v>16</v>
      </c>
      <c r="P413" s="9" t="s">
        <v>17</v>
      </c>
      <c r="Q413" s="8" t="s">
        <v>18</v>
      </c>
    </row>
    <row r="414" spans="1:17" x14ac:dyDescent="0.2">
      <c r="A414" s="10">
        <v>1</v>
      </c>
      <c r="B414" s="11" t="str">
        <f>[1]Aseguradoras!B2</f>
        <v>El Comercio Paraguayo S.A. de Seguros</v>
      </c>
      <c r="C414" s="12">
        <f>LOOKUP(406010100,[1]PlanCuentas!$A$2:$A$6092,[1]PlanCuentas!C$2:C$6092)</f>
        <v>87525044</v>
      </c>
      <c r="D414" s="12">
        <f>LOOKUP(406010200,[1]PlanCuentas!$A$2:$A$6092,[1]PlanCuentas!C$2:C$6092)</f>
        <v>39139156</v>
      </c>
      <c r="E414" s="12">
        <f>LOOKUP(406010300,[1]PlanCuentas!$A$2:$A$6092,[1]PlanCuentas!C$2:C$6092)</f>
        <v>0</v>
      </c>
      <c r="F414" s="12">
        <f>LOOKUP(406010400,[1]PlanCuentas!$A$2:$A$6092,[1]PlanCuentas!C$2:C$6092)</f>
        <v>559672493</v>
      </c>
      <c r="G414" s="12">
        <f>LOOKUP(406010500,[1]PlanCuentas!$A$2:$A$6092,[1]PlanCuentas!C$2:C$6092)</f>
        <v>4569584</v>
      </c>
      <c r="H414" s="12">
        <f>LOOKUP(406010600,[1]PlanCuentas!$A$2:$A$6092,[1]PlanCuentas!C$2:C$6092)</f>
        <v>402320864</v>
      </c>
      <c r="I414" s="12">
        <f>LOOKUP(406010700,[1]PlanCuentas!$A$2:$A$6092,[1]PlanCuentas!C$2:C$6092)</f>
        <v>766545</v>
      </c>
      <c r="J414" s="12">
        <f>LOOKUP(406010800,[1]PlanCuentas!$A$2:$A$6092,[1]PlanCuentas!C$2:C$6092)</f>
        <v>0</v>
      </c>
      <c r="K414" s="12">
        <f>LOOKUP(406010900,[1]PlanCuentas!$A$2:$A$6092,[1]PlanCuentas!C$2:C$6092)</f>
        <v>18238725</v>
      </c>
      <c r="L414" s="12">
        <f>LOOKUP(406011000,[1]PlanCuentas!$A$2:$A$6092,[1]PlanCuentas!C$2:C$6092)</f>
        <v>100577209</v>
      </c>
      <c r="M414" s="12">
        <f>LOOKUP(406011100,[1]PlanCuentas!$A$2:$A$6092,[1]PlanCuentas!C$2:C$6092)</f>
        <v>0</v>
      </c>
      <c r="N414" s="12">
        <f>LOOKUP(406011200,[1]PlanCuentas!$A$2:$A$6092,[1]PlanCuentas!C$2:C$6092)</f>
        <v>388806626</v>
      </c>
      <c r="O414" s="12">
        <f>LOOKUP(406011300,[1]PlanCuentas!$A$2:$A$6092,[1]PlanCuentas!C$2:C$6092)</f>
        <v>50944</v>
      </c>
      <c r="P414" s="12">
        <f>LOOKUP(406012000,[1]PlanCuentas!$A$2:$A$6092,[1]PlanCuentas!C$2:C$6092)</f>
        <v>7921390</v>
      </c>
      <c r="Q414" s="13">
        <f t="shared" ref="Q414:Q445" si="20">SUM(C414:P414)</f>
        <v>1609588580</v>
      </c>
    </row>
    <row r="415" spans="1:17" x14ac:dyDescent="0.2">
      <c r="A415" s="10">
        <v>2</v>
      </c>
      <c r="B415" s="11" t="str">
        <f>[1]Aseguradoras!B3</f>
        <v>La Rural S.A de Seguros</v>
      </c>
      <c r="C415" s="12">
        <f>LOOKUP(406010100,[1]PlanCuentas!$A$2:$A$6092,[1]PlanCuentas!D$2:D$6092)</f>
        <v>644043563</v>
      </c>
      <c r="D415" s="12">
        <f>LOOKUP(406010200,[1]PlanCuentas!$A$2:$A$6092,[1]PlanCuentas!D$2:D$6092)</f>
        <v>156481533</v>
      </c>
      <c r="E415" s="12">
        <f>LOOKUP(406010300,[1]PlanCuentas!$A$2:$A$6092,[1]PlanCuentas!D$2:D$6092)</f>
        <v>42100000</v>
      </c>
      <c r="F415" s="12">
        <f>LOOKUP(406010400,[1]PlanCuentas!$A$2:$A$6092,[1]PlanCuentas!D$2:D$6092)</f>
        <v>550109858</v>
      </c>
      <c r="G415" s="12">
        <f>LOOKUP(406010500,[1]PlanCuentas!$A$2:$A$6092,[1]PlanCuentas!D$2:D$6092)</f>
        <v>0</v>
      </c>
      <c r="H415" s="12">
        <f>LOOKUP(406010600,[1]PlanCuentas!$A$2:$A$6092,[1]PlanCuentas!D$2:D$6092)</f>
        <v>206067887</v>
      </c>
      <c r="I415" s="12">
        <f>LOOKUP(406010700,[1]PlanCuentas!$A$2:$A$6092,[1]PlanCuentas!D$2:D$6092)</f>
        <v>52805606</v>
      </c>
      <c r="J415" s="12">
        <f>LOOKUP(406010800,[1]PlanCuentas!$A$2:$A$6092,[1]PlanCuentas!D$2:D$6092)</f>
        <v>0</v>
      </c>
      <c r="K415" s="12">
        <f>LOOKUP(406010900,[1]PlanCuentas!$A$2:$A$6092,[1]PlanCuentas!D$2:D$6092)</f>
        <v>134451620</v>
      </c>
      <c r="L415" s="12">
        <f>LOOKUP(406011000,[1]PlanCuentas!$A$2:$A$6092,[1]PlanCuentas!D$2:D$6092)</f>
        <v>50279595</v>
      </c>
      <c r="M415" s="12">
        <f>LOOKUP(406011100,[1]PlanCuentas!$A$2:$A$6092,[1]PlanCuentas!D$2:D$6092)</f>
        <v>0</v>
      </c>
      <c r="N415" s="12">
        <f>LOOKUP(406011200,[1]PlanCuentas!$A$2:$A$6092,[1]PlanCuentas!D$2:D$6092)</f>
        <v>469278812</v>
      </c>
      <c r="O415" s="12">
        <f>LOOKUP(406011300,[1]PlanCuentas!$A$2:$A$6092,[1]PlanCuentas!D$2:D$6092)</f>
        <v>100000000</v>
      </c>
      <c r="P415" s="12">
        <f>LOOKUP(406012000,[1]PlanCuentas!$A$2:$A$6092,[1]PlanCuentas!D$2:D$6092)</f>
        <v>55230737</v>
      </c>
      <c r="Q415" s="13">
        <f t="shared" si="20"/>
        <v>2460849211</v>
      </c>
    </row>
    <row r="416" spans="1:17" x14ac:dyDescent="0.2">
      <c r="A416" s="10">
        <v>3</v>
      </c>
      <c r="B416" s="11" t="str">
        <f>[1]Aseguradoras!B4</f>
        <v>La Paraguaya S.A de Seguros</v>
      </c>
      <c r="C416" s="12">
        <f>LOOKUP(406010100,[1]PlanCuentas!$A$2:$A$6092,[1]PlanCuentas!E$2:E$6092)</f>
        <v>653279238</v>
      </c>
      <c r="D416" s="12">
        <f>LOOKUP(406010200,[1]PlanCuentas!$A$2:$A$6092,[1]PlanCuentas!E$2:E$6092)</f>
        <v>229326000</v>
      </c>
      <c r="E416" s="12">
        <f>LOOKUP(406010300,[1]PlanCuentas!$A$2:$A$6092,[1]PlanCuentas!E$2:E$6092)</f>
        <v>231722222</v>
      </c>
      <c r="F416" s="12">
        <f>LOOKUP(406010400,[1]PlanCuentas!$A$2:$A$6092,[1]PlanCuentas!E$2:E$6092)</f>
        <v>418565767</v>
      </c>
      <c r="G416" s="12">
        <f>LOOKUP(406010500,[1]PlanCuentas!$A$2:$A$6092,[1]PlanCuentas!E$2:E$6092)</f>
        <v>0</v>
      </c>
      <c r="H416" s="12">
        <f>LOOKUP(406010600,[1]PlanCuentas!$A$2:$A$6092,[1]PlanCuentas!E$2:E$6092)</f>
        <v>66897943</v>
      </c>
      <c r="I416" s="12">
        <f>LOOKUP(406010700,[1]PlanCuentas!$A$2:$A$6092,[1]PlanCuentas!E$2:E$6092)</f>
        <v>0</v>
      </c>
      <c r="J416" s="12">
        <f>LOOKUP(406010800,[1]PlanCuentas!$A$2:$A$6092,[1]PlanCuentas!E$2:E$6092)</f>
        <v>0</v>
      </c>
      <c r="K416" s="12">
        <f>LOOKUP(406010900,[1]PlanCuentas!$A$2:$A$6092,[1]PlanCuentas!E$2:E$6092)</f>
        <v>12402760</v>
      </c>
      <c r="L416" s="12">
        <f>LOOKUP(406011000,[1]PlanCuentas!$A$2:$A$6092,[1]PlanCuentas!E$2:E$6092)</f>
        <v>399026976</v>
      </c>
      <c r="M416" s="12">
        <f>LOOKUP(406011100,[1]PlanCuentas!$A$2:$A$6092,[1]PlanCuentas!E$2:E$6092)</f>
        <v>0</v>
      </c>
      <c r="N416" s="12">
        <f>LOOKUP(406011200,[1]PlanCuentas!$A$2:$A$6092,[1]PlanCuentas!E$2:E$6092)</f>
        <v>111300000</v>
      </c>
      <c r="O416" s="12">
        <f>LOOKUP(406011300,[1]PlanCuentas!$A$2:$A$6092,[1]PlanCuentas!E$2:E$6092)</f>
        <v>0</v>
      </c>
      <c r="P416" s="12">
        <f>LOOKUP(406012000,[1]PlanCuentas!$A$2:$A$6092,[1]PlanCuentas!E$2:E$6092)</f>
        <v>64408119</v>
      </c>
      <c r="Q416" s="13">
        <f t="shared" si="20"/>
        <v>2186929025</v>
      </c>
    </row>
    <row r="417" spans="1:17" x14ac:dyDescent="0.2">
      <c r="A417" s="10">
        <v>4</v>
      </c>
      <c r="B417" s="11" t="str">
        <f>[1]Aseguradoras!B5</f>
        <v>Seguros Generales S. A (SEGESA)</v>
      </c>
      <c r="C417" s="12">
        <f>LOOKUP(406010100,[1]PlanCuentas!$A$2:$A$6092,[1]PlanCuentas!F$2:F$6092)</f>
        <v>75406289</v>
      </c>
      <c r="D417" s="12">
        <f>LOOKUP(406010200,[1]PlanCuentas!$A$2:$A$6092,[1]PlanCuentas!F$2:F$6092)</f>
        <v>10370671</v>
      </c>
      <c r="E417" s="12">
        <f>LOOKUP(406010300,[1]PlanCuentas!$A$2:$A$6092,[1]PlanCuentas!F$2:F$6092)</f>
        <v>5556</v>
      </c>
      <c r="F417" s="12">
        <f>LOOKUP(406010400,[1]PlanCuentas!$A$2:$A$6092,[1]PlanCuentas!F$2:F$6092)</f>
        <v>361517874</v>
      </c>
      <c r="G417" s="12">
        <f>LOOKUP(406010500,[1]PlanCuentas!$A$2:$A$6092,[1]PlanCuentas!F$2:F$6092)</f>
        <v>4569584</v>
      </c>
      <c r="H417" s="12">
        <f>LOOKUP(406010600,[1]PlanCuentas!$A$2:$A$6092,[1]PlanCuentas!F$2:F$6092)</f>
        <v>40517009</v>
      </c>
      <c r="I417" s="12">
        <f>LOOKUP(406010700,[1]PlanCuentas!$A$2:$A$6092,[1]PlanCuentas!F$2:F$6092)</f>
        <v>2359426</v>
      </c>
      <c r="J417" s="12">
        <f>LOOKUP(406010800,[1]PlanCuentas!$A$2:$A$6092,[1]PlanCuentas!F$2:F$6092)</f>
        <v>0</v>
      </c>
      <c r="K417" s="12">
        <f>LOOKUP(406010900,[1]PlanCuentas!$A$2:$A$6092,[1]PlanCuentas!F$2:F$6092)</f>
        <v>749805</v>
      </c>
      <c r="L417" s="12">
        <f>LOOKUP(406011000,[1]PlanCuentas!$A$2:$A$6092,[1]PlanCuentas!F$2:F$6092)</f>
        <v>29211367</v>
      </c>
      <c r="M417" s="12">
        <f>LOOKUP(406011100,[1]PlanCuentas!$A$2:$A$6092,[1]PlanCuentas!F$2:F$6092)</f>
        <v>0</v>
      </c>
      <c r="N417" s="12">
        <f>LOOKUP(406011200,[1]PlanCuentas!$A$2:$A$6092,[1]PlanCuentas!F$2:F$6092)</f>
        <v>420700</v>
      </c>
      <c r="O417" s="12">
        <f>LOOKUP(406011300,[1]PlanCuentas!$A$2:$A$6092,[1]PlanCuentas!F$2:F$6092)</f>
        <v>1301476</v>
      </c>
      <c r="P417" s="12">
        <f>LOOKUP(406012000,[1]PlanCuentas!$A$2:$A$6092,[1]PlanCuentas!F$2:F$6092)</f>
        <v>6694663</v>
      </c>
      <c r="Q417" s="13">
        <f t="shared" si="20"/>
        <v>533124420</v>
      </c>
    </row>
    <row r="418" spans="1:17" x14ac:dyDescent="0.2">
      <c r="A418" s="10">
        <v>5</v>
      </c>
      <c r="B418" s="11" t="str">
        <f>[1]Aseguradoras!B6</f>
        <v>Rumbos S.A de Seguros</v>
      </c>
      <c r="C418" s="12">
        <f>LOOKUP(406010100,[1]PlanCuentas!$A$2:$A$6092,[1]PlanCuentas!G$2:G$6092)</f>
        <v>334561317</v>
      </c>
      <c r="D418" s="12">
        <f>LOOKUP(406010200,[1]PlanCuentas!$A$2:$A$6092,[1]PlanCuentas!G$2:G$6092)</f>
        <v>10625000</v>
      </c>
      <c r="E418" s="12">
        <f>LOOKUP(406010300,[1]PlanCuentas!$A$2:$A$6092,[1]PlanCuentas!G$2:G$6092)</f>
        <v>0</v>
      </c>
      <c r="F418" s="12">
        <f>LOOKUP(406010400,[1]PlanCuentas!$A$2:$A$6092,[1]PlanCuentas!G$2:G$6092)</f>
        <v>4519882</v>
      </c>
      <c r="G418" s="12">
        <f>LOOKUP(406010500,[1]PlanCuentas!$A$2:$A$6092,[1]PlanCuentas!G$2:G$6092)</f>
        <v>174305341</v>
      </c>
      <c r="H418" s="12">
        <f>LOOKUP(406010600,[1]PlanCuentas!$A$2:$A$6092,[1]PlanCuentas!G$2:G$6092)</f>
        <v>63834423</v>
      </c>
      <c r="I418" s="12">
        <f>LOOKUP(406010700,[1]PlanCuentas!$A$2:$A$6092,[1]PlanCuentas!G$2:G$6092)</f>
        <v>6800000</v>
      </c>
      <c r="J418" s="12">
        <f>LOOKUP(406010800,[1]PlanCuentas!$A$2:$A$6092,[1]PlanCuentas!G$2:G$6092)</f>
        <v>0</v>
      </c>
      <c r="K418" s="12">
        <f>LOOKUP(406010900,[1]PlanCuentas!$A$2:$A$6092,[1]PlanCuentas!G$2:G$6092)</f>
        <v>40606909</v>
      </c>
      <c r="L418" s="12">
        <f>LOOKUP(406011000,[1]PlanCuentas!$A$2:$A$6092,[1]PlanCuentas!G$2:G$6092)</f>
        <v>29345561</v>
      </c>
      <c r="M418" s="12">
        <f>LOOKUP(406011100,[1]PlanCuentas!$A$2:$A$6092,[1]PlanCuentas!G$2:G$6092)</f>
        <v>0</v>
      </c>
      <c r="N418" s="12">
        <f>LOOKUP(406011200,[1]PlanCuentas!$A$2:$A$6092,[1]PlanCuentas!G$2:G$6092)</f>
        <v>24975000</v>
      </c>
      <c r="O418" s="12">
        <f>LOOKUP(406011300,[1]PlanCuentas!$A$2:$A$6092,[1]PlanCuentas!G$2:G$6092)</f>
        <v>259482932</v>
      </c>
      <c r="P418" s="12">
        <f>LOOKUP(406012000,[1]PlanCuentas!$A$2:$A$6092,[1]PlanCuentas!G$2:G$6092)</f>
        <v>734083739</v>
      </c>
      <c r="Q418" s="13">
        <f t="shared" si="20"/>
        <v>1683140104</v>
      </c>
    </row>
    <row r="419" spans="1:17" x14ac:dyDescent="0.2">
      <c r="A419" s="10">
        <v>6</v>
      </c>
      <c r="B419" s="11" t="str">
        <f>[1]Aseguradoras!B7</f>
        <v>La Consolidada S.A de Seguros</v>
      </c>
      <c r="C419" s="12">
        <f>LOOKUP(406010100,[1]PlanCuentas!$A$2:$A$6092,[1]PlanCuentas!H$2:H$6092)</f>
        <v>607825401</v>
      </c>
      <c r="D419" s="12">
        <f>LOOKUP(406010200,[1]PlanCuentas!$A$2:$A$6092,[1]PlanCuentas!H$2:H$6092)</f>
        <v>122824361</v>
      </c>
      <c r="E419" s="12">
        <f>LOOKUP(406010300,[1]PlanCuentas!$A$2:$A$6092,[1]PlanCuentas!H$2:H$6092)</f>
        <v>2000000</v>
      </c>
      <c r="F419" s="12">
        <f>LOOKUP(406010400,[1]PlanCuentas!$A$2:$A$6092,[1]PlanCuentas!H$2:H$6092)</f>
        <v>1278229945</v>
      </c>
      <c r="G419" s="12">
        <f>LOOKUP(406010500,[1]PlanCuentas!$A$2:$A$6092,[1]PlanCuentas!H$2:H$6092)</f>
        <v>4569590</v>
      </c>
      <c r="H419" s="12">
        <f>LOOKUP(406010600,[1]PlanCuentas!$A$2:$A$6092,[1]PlanCuentas!H$2:H$6092)</f>
        <v>36933835</v>
      </c>
      <c r="I419" s="12">
        <f>LOOKUP(406010700,[1]PlanCuentas!$A$2:$A$6092,[1]PlanCuentas!H$2:H$6092)</f>
        <v>35469998</v>
      </c>
      <c r="J419" s="12">
        <f>LOOKUP(406010800,[1]PlanCuentas!$A$2:$A$6092,[1]PlanCuentas!H$2:H$6092)</f>
        <v>0</v>
      </c>
      <c r="K419" s="12">
        <f>LOOKUP(406010900,[1]PlanCuentas!$A$2:$A$6092,[1]PlanCuentas!H$2:H$6092)</f>
        <v>40716905</v>
      </c>
      <c r="L419" s="12">
        <f>LOOKUP(406011000,[1]PlanCuentas!$A$2:$A$6092,[1]PlanCuentas!H$2:H$6092)</f>
        <v>109169340</v>
      </c>
      <c r="M419" s="12">
        <f>LOOKUP(406011100,[1]PlanCuentas!$A$2:$A$6092,[1]PlanCuentas!H$2:H$6092)</f>
        <v>37200000</v>
      </c>
      <c r="N419" s="12">
        <f>LOOKUP(406011200,[1]PlanCuentas!$A$2:$A$6092,[1]PlanCuentas!H$2:H$6092)</f>
        <v>76320546</v>
      </c>
      <c r="O419" s="12">
        <f>LOOKUP(406011300,[1]PlanCuentas!$A$2:$A$6092,[1]PlanCuentas!H$2:H$6092)</f>
        <v>293445382</v>
      </c>
      <c r="P419" s="12">
        <f>LOOKUP(406012000,[1]PlanCuentas!$A$2:$A$6092,[1]PlanCuentas!H$2:H$6092)</f>
        <v>230172008</v>
      </c>
      <c r="Q419" s="13">
        <f t="shared" si="20"/>
        <v>2874877311</v>
      </c>
    </row>
    <row r="420" spans="1:17" x14ac:dyDescent="0.2">
      <c r="A420" s="10">
        <v>7</v>
      </c>
      <c r="B420" s="11" t="str">
        <f>[1]Aseguradoras!B8</f>
        <v>El Productor S.A de Seguros y Reaseguros</v>
      </c>
      <c r="C420" s="12">
        <f>LOOKUP(406010100,[1]PlanCuentas!$A$2:$A$6092,[1]PlanCuentas!I$2:I$6092)</f>
        <v>911268456</v>
      </c>
      <c r="D420" s="12">
        <f>LOOKUP(406010200,[1]PlanCuentas!$A$2:$A$6092,[1]PlanCuentas!I$2:I$6092)</f>
        <v>2900000</v>
      </c>
      <c r="E420" s="12">
        <f>LOOKUP(406010300,[1]PlanCuentas!$A$2:$A$6092,[1]PlanCuentas!I$2:I$6092)</f>
        <v>0</v>
      </c>
      <c r="F420" s="12">
        <f>LOOKUP(406010400,[1]PlanCuentas!$A$2:$A$6092,[1]PlanCuentas!I$2:I$6092)</f>
        <v>1095826663</v>
      </c>
      <c r="G420" s="12">
        <f>LOOKUP(406010500,[1]PlanCuentas!$A$2:$A$6092,[1]PlanCuentas!I$2:I$6092)</f>
        <v>4189427</v>
      </c>
      <c r="H420" s="12">
        <f>LOOKUP(406010600,[1]PlanCuentas!$A$2:$A$6092,[1]PlanCuentas!I$2:I$6092)</f>
        <v>21344765</v>
      </c>
      <c r="I420" s="12">
        <f>LOOKUP(406010700,[1]PlanCuentas!$A$2:$A$6092,[1]PlanCuentas!I$2:I$6092)</f>
        <v>1244000</v>
      </c>
      <c r="J420" s="12">
        <f>LOOKUP(406010800,[1]PlanCuentas!$A$2:$A$6092,[1]PlanCuentas!I$2:I$6092)</f>
        <v>0</v>
      </c>
      <c r="K420" s="12">
        <f>LOOKUP(406010900,[1]PlanCuentas!$A$2:$A$6092,[1]PlanCuentas!I$2:I$6092)</f>
        <v>8527400</v>
      </c>
      <c r="L420" s="12">
        <f>LOOKUP(406011000,[1]PlanCuentas!$A$2:$A$6092,[1]PlanCuentas!I$2:I$6092)</f>
        <v>50043781</v>
      </c>
      <c r="M420" s="12">
        <f>LOOKUP(406011100,[1]PlanCuentas!$A$2:$A$6092,[1]PlanCuentas!I$2:I$6092)</f>
        <v>2621636</v>
      </c>
      <c r="N420" s="12">
        <f>LOOKUP(406011200,[1]PlanCuentas!$A$2:$A$6092,[1]PlanCuentas!I$2:I$6092)</f>
        <v>17808185</v>
      </c>
      <c r="O420" s="12">
        <f>LOOKUP(406011300,[1]PlanCuentas!$A$2:$A$6092,[1]PlanCuentas!I$2:I$6092)</f>
        <v>0</v>
      </c>
      <c r="P420" s="12">
        <f>LOOKUP(406012000,[1]PlanCuentas!$A$2:$A$6092,[1]PlanCuentas!I$2:I$6092)</f>
        <v>1820000</v>
      </c>
      <c r="Q420" s="13">
        <f t="shared" si="20"/>
        <v>2117594313</v>
      </c>
    </row>
    <row r="421" spans="1:17" x14ac:dyDescent="0.2">
      <c r="A421" s="10">
        <v>8</v>
      </c>
      <c r="B421" s="11" t="str">
        <f>[1]Aseguradoras!B9</f>
        <v>Atalaya S.A de Seguros Generales</v>
      </c>
      <c r="C421" s="12">
        <f>LOOKUP(406010100,[1]PlanCuentas!$A$2:$A$6092,[1]PlanCuentas!J$2:J$6092)</f>
        <v>15020000</v>
      </c>
      <c r="D421" s="12">
        <f>LOOKUP(406010200,[1]PlanCuentas!$A$2:$A$6092,[1]PlanCuentas!J$2:J$6092)</f>
        <v>268158626</v>
      </c>
      <c r="E421" s="12">
        <f>LOOKUP(406010300,[1]PlanCuentas!$A$2:$A$6092,[1]PlanCuentas!J$2:J$6092)</f>
        <v>11516000</v>
      </c>
      <c r="F421" s="12">
        <f>LOOKUP(406010400,[1]PlanCuentas!$A$2:$A$6092,[1]PlanCuentas!J$2:J$6092)</f>
        <v>387769895</v>
      </c>
      <c r="G421" s="12">
        <f>LOOKUP(406010500,[1]PlanCuentas!$A$2:$A$6092,[1]PlanCuentas!J$2:J$6092)</f>
        <v>2459754</v>
      </c>
      <c r="H421" s="12">
        <f>LOOKUP(406010600,[1]PlanCuentas!$A$2:$A$6092,[1]PlanCuentas!J$2:J$6092)</f>
        <v>25908080</v>
      </c>
      <c r="I421" s="12">
        <f>LOOKUP(406010700,[1]PlanCuentas!$A$2:$A$6092,[1]PlanCuentas!J$2:J$6092)</f>
        <v>1400000</v>
      </c>
      <c r="J421" s="12">
        <f>LOOKUP(406010800,[1]PlanCuentas!$A$2:$A$6092,[1]PlanCuentas!J$2:J$6092)</f>
        <v>0</v>
      </c>
      <c r="K421" s="12">
        <f>LOOKUP(406010900,[1]PlanCuentas!$A$2:$A$6092,[1]PlanCuentas!J$2:J$6092)</f>
        <v>0</v>
      </c>
      <c r="L421" s="12">
        <f>LOOKUP(406011000,[1]PlanCuentas!$A$2:$A$6092,[1]PlanCuentas!J$2:J$6092)</f>
        <v>29447833</v>
      </c>
      <c r="M421" s="12">
        <f>LOOKUP(406011100,[1]PlanCuentas!$A$2:$A$6092,[1]PlanCuentas!J$2:J$6092)</f>
        <v>0</v>
      </c>
      <c r="N421" s="12">
        <f>LOOKUP(406011200,[1]PlanCuentas!$A$2:$A$6092,[1]PlanCuentas!J$2:J$6092)</f>
        <v>0</v>
      </c>
      <c r="O421" s="12">
        <f>LOOKUP(406011300,[1]PlanCuentas!$A$2:$A$6092,[1]PlanCuentas!J$2:J$6092)</f>
        <v>3100000</v>
      </c>
      <c r="P421" s="12">
        <f>LOOKUP(406012000,[1]PlanCuentas!$A$2:$A$6092,[1]PlanCuentas!J$2:J$6092)</f>
        <v>0</v>
      </c>
      <c r="Q421" s="13">
        <f t="shared" si="20"/>
        <v>744780188</v>
      </c>
    </row>
    <row r="422" spans="1:17" x14ac:dyDescent="0.2">
      <c r="A422" s="10">
        <v>9</v>
      </c>
      <c r="B422" s="11" t="str">
        <f>[1]Aseguradoras!B10</f>
        <v>La Independencia de Seguros S.A.</v>
      </c>
      <c r="C422" s="12">
        <f>LOOKUP(406010100,[1]PlanCuentas!$A$2:$A$6092,[1]PlanCuentas!K$2:K$6092)</f>
        <v>9266313</v>
      </c>
      <c r="D422" s="12">
        <f>LOOKUP(406010200,[1]PlanCuentas!$A$2:$A$6092,[1]PlanCuentas!K$2:K$6092)</f>
        <v>0</v>
      </c>
      <c r="E422" s="12">
        <f>LOOKUP(406010300,[1]PlanCuentas!$A$2:$A$6092,[1]PlanCuentas!K$2:K$6092)</f>
        <v>0</v>
      </c>
      <c r="F422" s="12">
        <f>LOOKUP(406010400,[1]PlanCuentas!$A$2:$A$6092,[1]PlanCuentas!K$2:K$6092)</f>
        <v>210830290</v>
      </c>
      <c r="G422" s="12">
        <f>LOOKUP(406010500,[1]PlanCuentas!$A$2:$A$6092,[1]PlanCuentas!K$2:K$6092)</f>
        <v>4569584</v>
      </c>
      <c r="H422" s="12">
        <f>LOOKUP(406010600,[1]PlanCuentas!$A$2:$A$6092,[1]PlanCuentas!K$2:K$6092)</f>
        <v>303104</v>
      </c>
      <c r="I422" s="12">
        <f>LOOKUP(406010700,[1]PlanCuentas!$A$2:$A$6092,[1]PlanCuentas!K$2:K$6092)</f>
        <v>0</v>
      </c>
      <c r="J422" s="12">
        <f>LOOKUP(406010800,[1]PlanCuentas!$A$2:$A$6092,[1]PlanCuentas!K$2:K$6092)</f>
        <v>0</v>
      </c>
      <c r="K422" s="12">
        <f>LOOKUP(406010900,[1]PlanCuentas!$A$2:$A$6092,[1]PlanCuentas!K$2:K$6092)</f>
        <v>2305599</v>
      </c>
      <c r="L422" s="12">
        <f>LOOKUP(406011000,[1]PlanCuentas!$A$2:$A$6092,[1]PlanCuentas!K$2:K$6092)</f>
        <v>28947833</v>
      </c>
      <c r="M422" s="12">
        <f>LOOKUP(406011100,[1]PlanCuentas!$A$2:$A$6092,[1]PlanCuentas!K$2:K$6092)</f>
        <v>0</v>
      </c>
      <c r="N422" s="12">
        <f>LOOKUP(406011200,[1]PlanCuentas!$A$2:$A$6092,[1]PlanCuentas!K$2:K$6092)</f>
        <v>6450</v>
      </c>
      <c r="O422" s="12">
        <f>LOOKUP(406011300,[1]PlanCuentas!$A$2:$A$6092,[1]PlanCuentas!K$2:K$6092)</f>
        <v>0</v>
      </c>
      <c r="P422" s="12">
        <f>LOOKUP(406012000,[1]PlanCuentas!$A$2:$A$6092,[1]PlanCuentas!K$2:K$6092)</f>
        <v>55356086</v>
      </c>
      <c r="Q422" s="13">
        <f t="shared" si="20"/>
        <v>311585259</v>
      </c>
    </row>
    <row r="423" spans="1:17" x14ac:dyDescent="0.2">
      <c r="A423" s="10">
        <v>10</v>
      </c>
      <c r="B423" s="11" t="str">
        <f>[1]Aseguradoras!B11</f>
        <v>Patria S.A de Seguros y Reaseguros</v>
      </c>
      <c r="C423" s="12">
        <f>LOOKUP(406010100,[1]PlanCuentas!$A$2:$A$6092,[1]PlanCuentas!L$2:L$6092)</f>
        <v>15035577</v>
      </c>
      <c r="D423" s="12">
        <f>LOOKUP(406010200,[1]PlanCuentas!$A$2:$A$6092,[1]PlanCuentas!L$2:L$6092)</f>
        <v>0</v>
      </c>
      <c r="E423" s="12">
        <f>LOOKUP(406010300,[1]PlanCuentas!$A$2:$A$6092,[1]PlanCuentas!L$2:L$6092)</f>
        <v>23000000</v>
      </c>
      <c r="F423" s="12">
        <f>LOOKUP(406010400,[1]PlanCuentas!$A$2:$A$6092,[1]PlanCuentas!L$2:L$6092)</f>
        <v>75978720</v>
      </c>
      <c r="G423" s="12">
        <f>LOOKUP(406010500,[1]PlanCuentas!$A$2:$A$6092,[1]PlanCuentas!L$2:L$6092)</f>
        <v>4569584</v>
      </c>
      <c r="H423" s="12">
        <f>LOOKUP(406010600,[1]PlanCuentas!$A$2:$A$6092,[1]PlanCuentas!L$2:L$6092)</f>
        <v>1628964</v>
      </c>
      <c r="I423" s="12">
        <f>LOOKUP(406010700,[1]PlanCuentas!$A$2:$A$6092,[1]PlanCuentas!L$2:L$6092)</f>
        <v>0</v>
      </c>
      <c r="J423" s="12">
        <f>LOOKUP(406010800,[1]PlanCuentas!$A$2:$A$6092,[1]PlanCuentas!L$2:L$6092)</f>
        <v>0</v>
      </c>
      <c r="K423" s="12">
        <f>LOOKUP(406010900,[1]PlanCuentas!$A$2:$A$6092,[1]PlanCuentas!L$2:L$6092)</f>
        <v>524673</v>
      </c>
      <c r="L423" s="12">
        <f>LOOKUP(406011000,[1]PlanCuentas!$A$2:$A$6092,[1]PlanCuentas!L$2:L$6092)</f>
        <v>28997833</v>
      </c>
      <c r="M423" s="12">
        <f>LOOKUP(406011100,[1]PlanCuentas!$A$2:$A$6092,[1]PlanCuentas!L$2:L$6092)</f>
        <v>0</v>
      </c>
      <c r="N423" s="12">
        <f>LOOKUP(406011200,[1]PlanCuentas!$A$2:$A$6092,[1]PlanCuentas!L$2:L$6092)</f>
        <v>1357447</v>
      </c>
      <c r="O423" s="12">
        <f>LOOKUP(406011300,[1]PlanCuentas!$A$2:$A$6092,[1]PlanCuentas!L$2:L$6092)</f>
        <v>0</v>
      </c>
      <c r="P423" s="12">
        <f>LOOKUP(406012000,[1]PlanCuentas!$A$2:$A$6092,[1]PlanCuentas!L$2:L$6092)</f>
        <v>80000000</v>
      </c>
      <c r="Q423" s="13">
        <f t="shared" si="20"/>
        <v>231092798</v>
      </c>
    </row>
    <row r="424" spans="1:17" x14ac:dyDescent="0.2">
      <c r="A424" s="10">
        <v>11</v>
      </c>
      <c r="B424" s="11" t="str">
        <f>[1]Aseguradoras!B12</f>
        <v>Garantía S.A de Seguros y Reaseguros</v>
      </c>
      <c r="C424" s="12">
        <f>LOOKUP(406010100,[1]PlanCuentas!$A$2:$A$6092,[1]PlanCuentas!M$2:M$6092)</f>
        <v>2020000</v>
      </c>
      <c r="D424" s="12">
        <f>LOOKUP(406010200,[1]PlanCuentas!$A$2:$A$6092,[1]PlanCuentas!M$2:M$6092)</f>
        <v>4621920</v>
      </c>
      <c r="E424" s="12">
        <f>LOOKUP(406010300,[1]PlanCuentas!$A$2:$A$6092,[1]PlanCuentas!M$2:M$6092)</f>
        <v>0</v>
      </c>
      <c r="F424" s="12">
        <f>LOOKUP(406010400,[1]PlanCuentas!$A$2:$A$6092,[1]PlanCuentas!M$2:M$6092)</f>
        <v>528093599</v>
      </c>
      <c r="G424" s="12">
        <f>LOOKUP(406010500,[1]PlanCuentas!$A$2:$A$6092,[1]PlanCuentas!M$2:M$6092)</f>
        <v>3447699</v>
      </c>
      <c r="H424" s="12">
        <f>LOOKUP(406010600,[1]PlanCuentas!$A$2:$A$6092,[1]PlanCuentas!M$2:M$6092)</f>
        <v>36951480</v>
      </c>
      <c r="I424" s="12">
        <f>LOOKUP(406010700,[1]PlanCuentas!$A$2:$A$6092,[1]PlanCuentas!M$2:M$6092)</f>
        <v>0</v>
      </c>
      <c r="J424" s="12">
        <f>LOOKUP(406010800,[1]PlanCuentas!$A$2:$A$6092,[1]PlanCuentas!M$2:M$6092)</f>
        <v>9494600</v>
      </c>
      <c r="K424" s="12">
        <f>LOOKUP(406010900,[1]PlanCuentas!$A$2:$A$6092,[1]PlanCuentas!M$2:M$6092)</f>
        <v>0</v>
      </c>
      <c r="L424" s="12">
        <f>LOOKUP(406011000,[1]PlanCuentas!$A$2:$A$6092,[1]PlanCuentas!M$2:M$6092)</f>
        <v>28947833</v>
      </c>
      <c r="M424" s="12">
        <f>LOOKUP(406011100,[1]PlanCuentas!$A$2:$A$6092,[1]PlanCuentas!M$2:M$6092)</f>
        <v>0</v>
      </c>
      <c r="N424" s="12">
        <f>LOOKUP(406011200,[1]PlanCuentas!$A$2:$A$6092,[1]PlanCuentas!M$2:M$6092)</f>
        <v>0</v>
      </c>
      <c r="O424" s="12">
        <f>LOOKUP(406011300,[1]PlanCuentas!$A$2:$A$6092,[1]PlanCuentas!M$2:M$6092)</f>
        <v>0</v>
      </c>
      <c r="P424" s="12">
        <f>LOOKUP(406012000,[1]PlanCuentas!$A$2:$A$6092,[1]PlanCuentas!M$2:M$6092)</f>
        <v>0</v>
      </c>
      <c r="Q424" s="13">
        <f t="shared" si="20"/>
        <v>613577131</v>
      </c>
    </row>
    <row r="425" spans="1:17" x14ac:dyDescent="0.2">
      <c r="A425" s="10">
        <v>12</v>
      </c>
      <c r="B425" s="11" t="str">
        <f>[1]Aseguradoras!B13</f>
        <v>Aseguradora Paraguaya S.A.</v>
      </c>
      <c r="C425" s="12">
        <f>LOOKUP(406010100,[1]PlanCuentas!$A$2:$A$6092,[1]PlanCuentas!N$2:N$6092)</f>
        <v>1010165218</v>
      </c>
      <c r="D425" s="12">
        <f>LOOKUP(406010200,[1]PlanCuentas!$A$2:$A$6092,[1]PlanCuentas!N$2:N$6092)</f>
        <v>243049029</v>
      </c>
      <c r="E425" s="12">
        <f>LOOKUP(406010300,[1]PlanCuentas!$A$2:$A$6092,[1]PlanCuentas!N$2:N$6092)</f>
        <v>1678230</v>
      </c>
      <c r="F425" s="12">
        <f>LOOKUP(406010400,[1]PlanCuentas!$A$2:$A$6092,[1]PlanCuentas!N$2:N$6092)</f>
        <v>4469347062</v>
      </c>
      <c r="G425" s="12">
        <f>LOOKUP(406010500,[1]PlanCuentas!$A$2:$A$6092,[1]PlanCuentas!N$2:N$6092)</f>
        <v>0</v>
      </c>
      <c r="H425" s="12">
        <f>LOOKUP(406010600,[1]PlanCuentas!$A$2:$A$6092,[1]PlanCuentas!N$2:N$6092)</f>
        <v>488854908</v>
      </c>
      <c r="I425" s="12">
        <f>LOOKUP(406010700,[1]PlanCuentas!$A$2:$A$6092,[1]PlanCuentas!N$2:N$6092)</f>
        <v>11324140</v>
      </c>
      <c r="J425" s="12">
        <f>LOOKUP(406010800,[1]PlanCuentas!$A$2:$A$6092,[1]PlanCuentas!N$2:N$6092)</f>
        <v>1226888725</v>
      </c>
      <c r="K425" s="12">
        <f>LOOKUP(406010900,[1]PlanCuentas!$A$2:$A$6092,[1]PlanCuentas!N$2:N$6092)</f>
        <v>428618238</v>
      </c>
      <c r="L425" s="12">
        <f>LOOKUP(406011000,[1]PlanCuentas!$A$2:$A$6092,[1]PlanCuentas!N$2:N$6092)</f>
        <v>110510103</v>
      </c>
      <c r="M425" s="12">
        <f>LOOKUP(406011100,[1]PlanCuentas!$A$2:$A$6092,[1]PlanCuentas!N$2:N$6092)</f>
        <v>0</v>
      </c>
      <c r="N425" s="12">
        <f>LOOKUP(406011200,[1]PlanCuentas!$A$2:$A$6092,[1]PlanCuentas!N$2:N$6092)</f>
        <v>58186988</v>
      </c>
      <c r="O425" s="12">
        <f>LOOKUP(406011300,[1]PlanCuentas!$A$2:$A$6092,[1]PlanCuentas!N$2:N$6092)</f>
        <v>0</v>
      </c>
      <c r="P425" s="12">
        <f>LOOKUP(406012000,[1]PlanCuentas!$A$2:$A$6092,[1]PlanCuentas!N$2:N$6092)</f>
        <v>645059320</v>
      </c>
      <c r="Q425" s="13">
        <f t="shared" si="20"/>
        <v>8693681961</v>
      </c>
    </row>
    <row r="426" spans="1:17" x14ac:dyDescent="0.2">
      <c r="A426" s="10">
        <v>13</v>
      </c>
      <c r="B426" s="11" t="str">
        <f>[1]Aseguradoras!B14</f>
        <v>Fénix S.A de Seguros y Reaseguros</v>
      </c>
      <c r="C426" s="12">
        <f>LOOKUP(406010100,[1]PlanCuentas!$A$2:$A$6092,[1]PlanCuentas!O$2:O$6092)</f>
        <v>75057409</v>
      </c>
      <c r="D426" s="12">
        <f>LOOKUP(406010200,[1]PlanCuentas!$A$2:$A$6092,[1]PlanCuentas!O$2:O$6092)</f>
        <v>7009880</v>
      </c>
      <c r="E426" s="12">
        <f>LOOKUP(406010300,[1]PlanCuentas!$A$2:$A$6092,[1]PlanCuentas!O$2:O$6092)</f>
        <v>3695177</v>
      </c>
      <c r="F426" s="12">
        <f>LOOKUP(406010400,[1]PlanCuentas!$A$2:$A$6092,[1]PlanCuentas!O$2:O$6092)</f>
        <v>273129564</v>
      </c>
      <c r="G426" s="12">
        <f>LOOKUP(406010500,[1]PlanCuentas!$A$2:$A$6092,[1]PlanCuentas!O$2:O$6092)</f>
        <v>0</v>
      </c>
      <c r="H426" s="12">
        <f>LOOKUP(406010600,[1]PlanCuentas!$A$2:$A$6092,[1]PlanCuentas!O$2:O$6092)</f>
        <v>30721519</v>
      </c>
      <c r="I426" s="12">
        <f>LOOKUP(406010700,[1]PlanCuentas!$A$2:$A$6092,[1]PlanCuentas!O$2:O$6092)</f>
        <v>665688</v>
      </c>
      <c r="J426" s="12">
        <f>LOOKUP(406010800,[1]PlanCuentas!$A$2:$A$6092,[1]PlanCuentas!O$2:O$6092)</f>
        <v>0</v>
      </c>
      <c r="K426" s="12">
        <f>LOOKUP(406010900,[1]PlanCuentas!$A$2:$A$6092,[1]PlanCuentas!O$2:O$6092)</f>
        <v>40408918</v>
      </c>
      <c r="L426" s="12">
        <f>LOOKUP(406011000,[1]PlanCuentas!$A$2:$A$6092,[1]PlanCuentas!O$2:O$6092)</f>
        <v>32929881</v>
      </c>
      <c r="M426" s="12">
        <f>LOOKUP(406011100,[1]PlanCuentas!$A$2:$A$6092,[1]PlanCuentas!O$2:O$6092)</f>
        <v>0</v>
      </c>
      <c r="N426" s="12">
        <f>LOOKUP(406011200,[1]PlanCuentas!$A$2:$A$6092,[1]PlanCuentas!O$2:O$6092)</f>
        <v>56127212</v>
      </c>
      <c r="O426" s="12">
        <f>LOOKUP(406011300,[1]PlanCuentas!$A$2:$A$6092,[1]PlanCuentas!O$2:O$6092)</f>
        <v>43217</v>
      </c>
      <c r="P426" s="12">
        <f>LOOKUP(406012000,[1]PlanCuentas!$A$2:$A$6092,[1]PlanCuentas!O$2:O$6092)</f>
        <v>3955263</v>
      </c>
      <c r="Q426" s="13">
        <f t="shared" si="20"/>
        <v>523743728</v>
      </c>
    </row>
    <row r="427" spans="1:17" x14ac:dyDescent="0.2">
      <c r="A427" s="10">
        <v>14</v>
      </c>
      <c r="B427" s="11" t="str">
        <f>[1]Aseguradoras!B15</f>
        <v>Central S.A de Seguros</v>
      </c>
      <c r="C427" s="12">
        <f>LOOKUP(406010100,[1]PlanCuentas!$A$2:$A$6092,[1]PlanCuentas!P$2:P$6092)</f>
        <v>156860121</v>
      </c>
      <c r="D427" s="12">
        <f>LOOKUP(406010200,[1]PlanCuentas!$A$2:$A$6092,[1]PlanCuentas!P$2:P$6092)</f>
        <v>203300624</v>
      </c>
      <c r="E427" s="12">
        <f>LOOKUP(406010300,[1]PlanCuentas!$A$2:$A$6092,[1]PlanCuentas!P$2:P$6092)</f>
        <v>24973026</v>
      </c>
      <c r="F427" s="12">
        <f>LOOKUP(406010400,[1]PlanCuentas!$A$2:$A$6092,[1]PlanCuentas!P$2:P$6092)</f>
        <v>481551944</v>
      </c>
      <c r="G427" s="12">
        <f>LOOKUP(406010500,[1]PlanCuentas!$A$2:$A$6092,[1]PlanCuentas!P$2:P$6092)</f>
        <v>4569584</v>
      </c>
      <c r="H427" s="12">
        <f>LOOKUP(406010600,[1]PlanCuentas!$A$2:$A$6092,[1]PlanCuentas!P$2:P$6092)</f>
        <v>56790877</v>
      </c>
      <c r="I427" s="12">
        <f>LOOKUP(406010700,[1]PlanCuentas!$A$2:$A$6092,[1]PlanCuentas!P$2:P$6092)</f>
        <v>15295</v>
      </c>
      <c r="J427" s="12">
        <f>LOOKUP(406010800,[1]PlanCuentas!$A$2:$A$6092,[1]PlanCuentas!P$2:P$6092)</f>
        <v>0</v>
      </c>
      <c r="K427" s="12">
        <f>LOOKUP(406010900,[1]PlanCuentas!$A$2:$A$6092,[1]PlanCuentas!P$2:P$6092)</f>
        <v>21943</v>
      </c>
      <c r="L427" s="12">
        <f>LOOKUP(406011000,[1]PlanCuentas!$A$2:$A$6092,[1]PlanCuentas!P$2:P$6092)</f>
        <v>32615237</v>
      </c>
      <c r="M427" s="12">
        <f>LOOKUP(406011100,[1]PlanCuentas!$A$2:$A$6092,[1]PlanCuentas!P$2:P$6092)</f>
        <v>0</v>
      </c>
      <c r="N427" s="12">
        <f>LOOKUP(406011200,[1]PlanCuentas!$A$2:$A$6092,[1]PlanCuentas!P$2:P$6092)</f>
        <v>3343839</v>
      </c>
      <c r="O427" s="12">
        <f>LOOKUP(406011300,[1]PlanCuentas!$A$2:$A$6092,[1]PlanCuentas!P$2:P$6092)</f>
        <v>0</v>
      </c>
      <c r="P427" s="12">
        <f>LOOKUP(406012000,[1]PlanCuentas!$A$2:$A$6092,[1]PlanCuentas!P$2:P$6092)</f>
        <v>0</v>
      </c>
      <c r="Q427" s="13">
        <f t="shared" si="20"/>
        <v>964042490</v>
      </c>
    </row>
    <row r="428" spans="1:17" x14ac:dyDescent="0.2">
      <c r="A428" s="10">
        <v>15</v>
      </c>
      <c r="B428" s="11" t="str">
        <f>[1]Aseguradoras!B16</f>
        <v>Seguros Chaco S.A de Seguros y Reaseguros</v>
      </c>
      <c r="C428" s="12">
        <f>LOOKUP(406010100,[1]PlanCuentas!$A$2:$A$6092,[1]PlanCuentas!Q$2:Q$6092)</f>
        <v>1029649500</v>
      </c>
      <c r="D428" s="12">
        <f>LOOKUP(406010200,[1]PlanCuentas!$A$2:$A$6092,[1]PlanCuentas!Q$2:Q$6092)</f>
        <v>253498733</v>
      </c>
      <c r="E428" s="12">
        <f>LOOKUP(406010300,[1]PlanCuentas!$A$2:$A$6092,[1]PlanCuentas!Q$2:Q$6092)</f>
        <v>27000000</v>
      </c>
      <c r="F428" s="12">
        <f>LOOKUP(406010400,[1]PlanCuentas!$A$2:$A$6092,[1]PlanCuentas!Q$2:Q$6092)</f>
        <v>393167960</v>
      </c>
      <c r="G428" s="12">
        <f>LOOKUP(406010500,[1]PlanCuentas!$A$2:$A$6092,[1]PlanCuentas!Q$2:Q$6092)</f>
        <v>0</v>
      </c>
      <c r="H428" s="12">
        <f>LOOKUP(406010600,[1]PlanCuentas!$A$2:$A$6092,[1]PlanCuentas!Q$2:Q$6092)</f>
        <v>126750000</v>
      </c>
      <c r="I428" s="12">
        <f>LOOKUP(406010700,[1]PlanCuentas!$A$2:$A$6092,[1]PlanCuentas!Q$2:Q$6092)</f>
        <v>6300000</v>
      </c>
      <c r="J428" s="12">
        <f>LOOKUP(406010800,[1]PlanCuentas!$A$2:$A$6092,[1]PlanCuentas!Q$2:Q$6092)</f>
        <v>0</v>
      </c>
      <c r="K428" s="12">
        <f>LOOKUP(406010900,[1]PlanCuentas!$A$2:$A$6092,[1]PlanCuentas!Q$2:Q$6092)</f>
        <v>524673</v>
      </c>
      <c r="L428" s="12">
        <f>LOOKUP(406011000,[1]PlanCuentas!$A$2:$A$6092,[1]PlanCuentas!Q$2:Q$6092)</f>
        <v>298097624</v>
      </c>
      <c r="M428" s="12">
        <f>LOOKUP(406011100,[1]PlanCuentas!$A$2:$A$6092,[1]PlanCuentas!Q$2:Q$6092)</f>
        <v>0</v>
      </c>
      <c r="N428" s="12">
        <f>LOOKUP(406011200,[1]PlanCuentas!$A$2:$A$6092,[1]PlanCuentas!Q$2:Q$6092)</f>
        <v>103884081</v>
      </c>
      <c r="O428" s="12">
        <f>LOOKUP(406011300,[1]PlanCuentas!$A$2:$A$6092,[1]PlanCuentas!Q$2:Q$6092)</f>
        <v>100000000</v>
      </c>
      <c r="P428" s="12">
        <f>LOOKUP(406012000,[1]PlanCuentas!$A$2:$A$6092,[1]PlanCuentas!Q$2:Q$6092)</f>
        <v>0</v>
      </c>
      <c r="Q428" s="13">
        <f t="shared" si="20"/>
        <v>2338872571</v>
      </c>
    </row>
    <row r="429" spans="1:17" x14ac:dyDescent="0.2">
      <c r="A429" s="10">
        <v>16</v>
      </c>
      <c r="B429" s="11" t="str">
        <f>[1]Aseguradoras!B17</f>
        <v>El Sol Del Paraguay Compañía de Seguros y Reaseguros S.A.</v>
      </c>
      <c r="C429" s="12">
        <f>LOOKUP(406010100,[1]PlanCuentas!$A$2:$A$6092,[1]PlanCuentas!R$2:R$6092)</f>
        <v>180460627</v>
      </c>
      <c r="D429" s="12">
        <f>LOOKUP(406010200,[1]PlanCuentas!$A$2:$A$6092,[1]PlanCuentas!R$2:R$6092)</f>
        <v>55686000</v>
      </c>
      <c r="E429" s="12">
        <f>LOOKUP(406010300,[1]PlanCuentas!$A$2:$A$6092,[1]PlanCuentas!R$2:R$6092)</f>
        <v>19807165</v>
      </c>
      <c r="F429" s="12">
        <f>LOOKUP(406010400,[1]PlanCuentas!$A$2:$A$6092,[1]PlanCuentas!R$2:R$6092)</f>
        <v>289985086</v>
      </c>
      <c r="G429" s="12">
        <f>LOOKUP(406010500,[1]PlanCuentas!$A$2:$A$6092,[1]PlanCuentas!R$2:R$6092)</f>
        <v>4569661</v>
      </c>
      <c r="H429" s="12">
        <f>LOOKUP(406010600,[1]PlanCuentas!$A$2:$A$6092,[1]PlanCuentas!R$2:R$6092)</f>
        <v>469559618</v>
      </c>
      <c r="I429" s="12">
        <f>LOOKUP(406010700,[1]PlanCuentas!$A$2:$A$6092,[1]PlanCuentas!R$2:R$6092)</f>
        <v>4711818</v>
      </c>
      <c r="J429" s="12">
        <f>LOOKUP(406010800,[1]PlanCuentas!$A$2:$A$6092,[1]PlanCuentas!R$2:R$6092)</f>
        <v>0</v>
      </c>
      <c r="K429" s="12">
        <f>LOOKUP(406010900,[1]PlanCuentas!$A$2:$A$6092,[1]PlanCuentas!R$2:R$6092)</f>
        <v>0</v>
      </c>
      <c r="L429" s="12">
        <f>LOOKUP(406011000,[1]PlanCuentas!$A$2:$A$6092,[1]PlanCuentas!R$2:R$6092)</f>
        <v>49332833</v>
      </c>
      <c r="M429" s="12">
        <f>LOOKUP(406011100,[1]PlanCuentas!$A$2:$A$6092,[1]PlanCuentas!R$2:R$6092)</f>
        <v>0</v>
      </c>
      <c r="N429" s="12">
        <f>LOOKUP(406011200,[1]PlanCuentas!$A$2:$A$6092,[1]PlanCuentas!R$2:R$6092)</f>
        <v>126345140</v>
      </c>
      <c r="O429" s="12">
        <f>LOOKUP(406011300,[1]PlanCuentas!$A$2:$A$6092,[1]PlanCuentas!R$2:R$6092)</f>
        <v>22261928</v>
      </c>
      <c r="P429" s="12">
        <f>LOOKUP(406012000,[1]PlanCuentas!$A$2:$A$6092,[1]PlanCuentas!R$2:R$6092)</f>
        <v>296582574</v>
      </c>
      <c r="Q429" s="13">
        <f t="shared" si="20"/>
        <v>1519302450</v>
      </c>
    </row>
    <row r="430" spans="1:17" x14ac:dyDescent="0.2">
      <c r="A430" s="10">
        <v>17</v>
      </c>
      <c r="B430" s="11" t="str">
        <f>[1]Aseguradoras!B18</f>
        <v>Intercontinental de Seguros y Reaseguros S.A.</v>
      </c>
      <c r="C430" s="12">
        <f>LOOKUP(406010100,[1]PlanCuentas!$A$2:$A$6092,[1]PlanCuentas!S$2:S$6092)</f>
        <v>1100000</v>
      </c>
      <c r="D430" s="12">
        <f>LOOKUP(406010200,[1]PlanCuentas!$A$2:$A$6092,[1]PlanCuentas!S$2:S$6092)</f>
        <v>0</v>
      </c>
      <c r="E430" s="12">
        <f>LOOKUP(406010300,[1]PlanCuentas!$A$2:$A$6092,[1]PlanCuentas!S$2:S$6092)</f>
        <v>2300000</v>
      </c>
      <c r="F430" s="12">
        <f>LOOKUP(406010400,[1]PlanCuentas!$A$2:$A$6092,[1]PlanCuentas!S$2:S$6092)</f>
        <v>901370000</v>
      </c>
      <c r="G430" s="12">
        <f>LOOKUP(406010500,[1]PlanCuentas!$A$2:$A$6092,[1]PlanCuentas!S$2:S$6092)</f>
        <v>4569584</v>
      </c>
      <c r="H430" s="12">
        <f>LOOKUP(406010600,[1]PlanCuentas!$A$2:$A$6092,[1]PlanCuentas!S$2:S$6092)</f>
        <v>19000000</v>
      </c>
      <c r="I430" s="12">
        <f>LOOKUP(406010700,[1]PlanCuentas!$A$2:$A$6092,[1]PlanCuentas!S$2:S$6092)</f>
        <v>0</v>
      </c>
      <c r="J430" s="12">
        <f>LOOKUP(406010800,[1]PlanCuentas!$A$2:$A$6092,[1]PlanCuentas!S$2:S$6092)</f>
        <v>0</v>
      </c>
      <c r="K430" s="12">
        <f>LOOKUP(406010900,[1]PlanCuentas!$A$2:$A$6092,[1]PlanCuentas!S$2:S$6092)</f>
        <v>20827160</v>
      </c>
      <c r="L430" s="12">
        <f>LOOKUP(406011000,[1]PlanCuentas!$A$2:$A$6092,[1]PlanCuentas!S$2:S$6092)</f>
        <v>30197833</v>
      </c>
      <c r="M430" s="12">
        <f>LOOKUP(406011100,[1]PlanCuentas!$A$2:$A$6092,[1]PlanCuentas!S$2:S$6092)</f>
        <v>0</v>
      </c>
      <c r="N430" s="12">
        <f>LOOKUP(406011200,[1]PlanCuentas!$A$2:$A$6092,[1]PlanCuentas!S$2:S$6092)</f>
        <v>3000000</v>
      </c>
      <c r="O430" s="12">
        <f>LOOKUP(406011300,[1]PlanCuentas!$A$2:$A$6092,[1]PlanCuentas!S$2:S$6092)</f>
        <v>28752109</v>
      </c>
      <c r="P430" s="12">
        <f>LOOKUP(406012000,[1]PlanCuentas!$A$2:$A$6092,[1]PlanCuentas!S$2:S$6092)</f>
        <v>0</v>
      </c>
      <c r="Q430" s="13">
        <f t="shared" si="20"/>
        <v>1011116686</v>
      </c>
    </row>
    <row r="431" spans="1:17" x14ac:dyDescent="0.2">
      <c r="A431" s="10">
        <v>18</v>
      </c>
      <c r="B431" s="11" t="str">
        <f>[1]Aseguradoras!B19</f>
        <v>Seguridad S.A Compañía de Seguros</v>
      </c>
      <c r="C431" s="12">
        <f>LOOKUP(406010100,[1]PlanCuentas!$A$2:$A$6092,[1]PlanCuentas!T$2:T$6092)</f>
        <v>276158727</v>
      </c>
      <c r="D431" s="12">
        <f>LOOKUP(406010200,[1]PlanCuentas!$A$2:$A$6092,[1]PlanCuentas!T$2:T$6092)</f>
        <v>28517846</v>
      </c>
      <c r="E431" s="12">
        <f>LOOKUP(406010300,[1]PlanCuentas!$A$2:$A$6092,[1]PlanCuentas!T$2:T$6092)</f>
        <v>263200000</v>
      </c>
      <c r="F431" s="12">
        <f>LOOKUP(406010400,[1]PlanCuentas!$A$2:$A$6092,[1]PlanCuentas!T$2:T$6092)</f>
        <v>775185939</v>
      </c>
      <c r="G431" s="12">
        <f>LOOKUP(406010500,[1]PlanCuentas!$A$2:$A$6092,[1]PlanCuentas!T$2:T$6092)</f>
        <v>0</v>
      </c>
      <c r="H431" s="12">
        <f>LOOKUP(406010600,[1]PlanCuentas!$A$2:$A$6092,[1]PlanCuentas!T$2:T$6092)</f>
        <v>73013000</v>
      </c>
      <c r="I431" s="12">
        <f>LOOKUP(406010700,[1]PlanCuentas!$A$2:$A$6092,[1]PlanCuentas!T$2:T$6092)</f>
        <v>0</v>
      </c>
      <c r="J431" s="12">
        <f>LOOKUP(406010800,[1]PlanCuentas!$A$2:$A$6092,[1]PlanCuentas!T$2:T$6092)</f>
        <v>316573554</v>
      </c>
      <c r="K431" s="12">
        <f>LOOKUP(406010900,[1]PlanCuentas!$A$2:$A$6092,[1]PlanCuentas!T$2:T$6092)</f>
        <v>6946364</v>
      </c>
      <c r="L431" s="12">
        <f>LOOKUP(406011000,[1]PlanCuentas!$A$2:$A$6092,[1]PlanCuentas!T$2:T$6092)</f>
        <v>16096097</v>
      </c>
      <c r="M431" s="12">
        <f>LOOKUP(406011100,[1]PlanCuentas!$A$2:$A$6092,[1]PlanCuentas!T$2:T$6092)</f>
        <v>33000000</v>
      </c>
      <c r="N431" s="12">
        <f>LOOKUP(406011200,[1]PlanCuentas!$A$2:$A$6092,[1]PlanCuentas!T$2:T$6092)</f>
        <v>150100000</v>
      </c>
      <c r="O431" s="12">
        <f>LOOKUP(406011300,[1]PlanCuentas!$A$2:$A$6092,[1]PlanCuentas!T$2:T$6092)</f>
        <v>7700000</v>
      </c>
      <c r="P431" s="12">
        <f>LOOKUP(406012000,[1]PlanCuentas!$A$2:$A$6092,[1]PlanCuentas!T$2:T$6092)</f>
        <v>186874859</v>
      </c>
      <c r="Q431" s="13">
        <f t="shared" si="20"/>
        <v>2133366386</v>
      </c>
    </row>
    <row r="432" spans="1:17" x14ac:dyDescent="0.2">
      <c r="A432" s="10">
        <v>19</v>
      </c>
      <c r="B432" s="11" t="str">
        <f>[1]Aseguradoras!B20</f>
        <v>Universo de Seguros y Reaseguros S.A.</v>
      </c>
      <c r="C432" s="12">
        <f>LOOKUP(406010100,[1]PlanCuentas!$A$2:$A$6092,[1]PlanCuentas!U$2:U$6092)</f>
        <v>0</v>
      </c>
      <c r="D432" s="12">
        <f>LOOKUP(406010200,[1]PlanCuentas!$A$2:$A$6092,[1]PlanCuentas!U$2:U$6092)</f>
        <v>0</v>
      </c>
      <c r="E432" s="12">
        <f>LOOKUP(406010300,[1]PlanCuentas!$A$2:$A$6092,[1]PlanCuentas!U$2:U$6092)</f>
        <v>0</v>
      </c>
      <c r="F432" s="12">
        <f>LOOKUP(406010400,[1]PlanCuentas!$A$2:$A$6092,[1]PlanCuentas!U$2:U$6092)</f>
        <v>15222680</v>
      </c>
      <c r="G432" s="12">
        <f>LOOKUP(406010500,[1]PlanCuentas!$A$2:$A$6092,[1]PlanCuentas!U$2:U$6092)</f>
        <v>0</v>
      </c>
      <c r="H432" s="12">
        <f>LOOKUP(406010600,[1]PlanCuentas!$A$2:$A$6092,[1]PlanCuentas!U$2:U$6092)</f>
        <v>0</v>
      </c>
      <c r="I432" s="12">
        <f>LOOKUP(406010700,[1]PlanCuentas!$A$2:$A$6092,[1]PlanCuentas!U$2:U$6092)</f>
        <v>0</v>
      </c>
      <c r="J432" s="12">
        <f>LOOKUP(406010800,[1]PlanCuentas!$A$2:$A$6092,[1]PlanCuentas!U$2:U$6092)</f>
        <v>0</v>
      </c>
      <c r="K432" s="12">
        <f>LOOKUP(406010900,[1]PlanCuentas!$A$2:$A$6092,[1]PlanCuentas!U$2:U$6092)</f>
        <v>0</v>
      </c>
      <c r="L432" s="12">
        <f>LOOKUP(406011000,[1]PlanCuentas!$A$2:$A$6092,[1]PlanCuentas!U$2:U$6092)</f>
        <v>0</v>
      </c>
      <c r="M432" s="12">
        <f>LOOKUP(406011100,[1]PlanCuentas!$A$2:$A$6092,[1]PlanCuentas!U$2:U$6092)</f>
        <v>0</v>
      </c>
      <c r="N432" s="12">
        <f>LOOKUP(406011200,[1]PlanCuentas!$A$2:$A$6092,[1]PlanCuentas!U$2:U$6092)</f>
        <v>0</v>
      </c>
      <c r="O432" s="12">
        <f>LOOKUP(406011300,[1]PlanCuentas!$A$2:$A$6092,[1]PlanCuentas!U$2:U$6092)</f>
        <v>68788500</v>
      </c>
      <c r="P432" s="12">
        <f>LOOKUP(406012000,[1]PlanCuentas!$A$2:$A$6092,[1]PlanCuentas!U$2:U$6092)</f>
        <v>0</v>
      </c>
      <c r="Q432" s="13">
        <f t="shared" si="20"/>
        <v>84011180</v>
      </c>
    </row>
    <row r="433" spans="1:17" x14ac:dyDescent="0.2">
      <c r="A433" s="10">
        <v>20</v>
      </c>
      <c r="B433" s="11" t="str">
        <f>[1]Aseguradoras!B21</f>
        <v>Aseguradora Yacyreta S.A de Seguros y Reaseguros</v>
      </c>
      <c r="C433" s="12">
        <f>LOOKUP(406010100,[1]PlanCuentas!$A$2:$A$6092,[1]PlanCuentas!V$2:V$6092)</f>
        <v>335495611</v>
      </c>
      <c r="D433" s="12">
        <f>LOOKUP(406010200,[1]PlanCuentas!$A$2:$A$6092,[1]PlanCuentas!V$2:V$6092)</f>
        <v>82144962</v>
      </c>
      <c r="E433" s="12">
        <f>LOOKUP(406010300,[1]PlanCuentas!$A$2:$A$6092,[1]PlanCuentas!V$2:V$6092)</f>
        <v>39667096</v>
      </c>
      <c r="F433" s="12">
        <f>LOOKUP(406010400,[1]PlanCuentas!$A$2:$A$6092,[1]PlanCuentas!V$2:V$6092)</f>
        <v>1460451007</v>
      </c>
      <c r="G433" s="12">
        <f>LOOKUP(406010500,[1]PlanCuentas!$A$2:$A$6092,[1]PlanCuentas!V$2:V$6092)</f>
        <v>0</v>
      </c>
      <c r="H433" s="12">
        <f>LOOKUP(406010600,[1]PlanCuentas!$A$2:$A$6092,[1]PlanCuentas!V$2:V$6092)</f>
        <v>190320832</v>
      </c>
      <c r="I433" s="12">
        <f>LOOKUP(406010700,[1]PlanCuentas!$A$2:$A$6092,[1]PlanCuentas!V$2:V$6092)</f>
        <v>5144105</v>
      </c>
      <c r="J433" s="12">
        <f>LOOKUP(406010800,[1]PlanCuentas!$A$2:$A$6092,[1]PlanCuentas!V$2:V$6092)</f>
        <v>0</v>
      </c>
      <c r="K433" s="12">
        <f>LOOKUP(406010900,[1]PlanCuentas!$A$2:$A$6092,[1]PlanCuentas!V$2:V$6092)</f>
        <v>136412091</v>
      </c>
      <c r="L433" s="12">
        <f>LOOKUP(406011000,[1]PlanCuentas!$A$2:$A$6092,[1]PlanCuentas!V$2:V$6092)</f>
        <v>22307596</v>
      </c>
      <c r="M433" s="12">
        <f>LOOKUP(406011100,[1]PlanCuentas!$A$2:$A$6092,[1]PlanCuentas!V$2:V$6092)</f>
        <v>0</v>
      </c>
      <c r="N433" s="12">
        <f>LOOKUP(406011200,[1]PlanCuentas!$A$2:$A$6092,[1]PlanCuentas!V$2:V$6092)</f>
        <v>108421812</v>
      </c>
      <c r="O433" s="12">
        <f>LOOKUP(406011300,[1]PlanCuentas!$A$2:$A$6092,[1]PlanCuentas!V$2:V$6092)</f>
        <v>1630200</v>
      </c>
      <c r="P433" s="12">
        <f>LOOKUP(406012000,[1]PlanCuentas!$A$2:$A$6092,[1]PlanCuentas!V$2:V$6092)</f>
        <v>98035941</v>
      </c>
      <c r="Q433" s="13">
        <f t="shared" si="20"/>
        <v>2480031253</v>
      </c>
    </row>
    <row r="434" spans="1:17" x14ac:dyDescent="0.2">
      <c r="A434" s="10">
        <v>21</v>
      </c>
      <c r="B434" s="11" t="str">
        <f>[1]Aseguradoras!B22</f>
        <v>La Agricola S.A de Seguros y Reaseguros</v>
      </c>
      <c r="C434" s="12">
        <f>LOOKUP(406010100,[1]PlanCuentas!$A$2:$A$6092,[1]PlanCuentas!W$2:W$6092)</f>
        <v>16652173</v>
      </c>
      <c r="D434" s="12">
        <f>LOOKUP(406010200,[1]PlanCuentas!$A$2:$A$6092,[1]PlanCuentas!W$2:W$6092)</f>
        <v>382479</v>
      </c>
      <c r="E434" s="12">
        <f>LOOKUP(406010300,[1]PlanCuentas!$A$2:$A$6092,[1]PlanCuentas!W$2:W$6092)</f>
        <v>0</v>
      </c>
      <c r="F434" s="12">
        <f>LOOKUP(406010400,[1]PlanCuentas!$A$2:$A$6092,[1]PlanCuentas!W$2:W$6092)</f>
        <v>251343208</v>
      </c>
      <c r="G434" s="12">
        <f>LOOKUP(406010500,[1]PlanCuentas!$A$2:$A$6092,[1]PlanCuentas!W$2:W$6092)</f>
        <v>4569590</v>
      </c>
      <c r="H434" s="12">
        <f>LOOKUP(406010600,[1]PlanCuentas!$A$2:$A$6092,[1]PlanCuentas!W$2:W$6092)</f>
        <v>462922396</v>
      </c>
      <c r="I434" s="12">
        <f>LOOKUP(406010700,[1]PlanCuentas!$A$2:$A$6092,[1]PlanCuentas!W$2:W$6092)</f>
        <v>1927272</v>
      </c>
      <c r="J434" s="12">
        <f>LOOKUP(406010800,[1]PlanCuentas!$A$2:$A$6092,[1]PlanCuentas!W$2:W$6092)</f>
        <v>0</v>
      </c>
      <c r="K434" s="12">
        <f>LOOKUP(406010900,[1]PlanCuentas!$A$2:$A$6092,[1]PlanCuentas!W$2:W$6092)</f>
        <v>19798524</v>
      </c>
      <c r="L434" s="12">
        <f>LOOKUP(406011000,[1]PlanCuentas!$A$2:$A$6092,[1]PlanCuentas!W$2:W$6092)</f>
        <v>55720819</v>
      </c>
      <c r="M434" s="12">
        <f>LOOKUP(406011100,[1]PlanCuentas!$A$2:$A$6092,[1]PlanCuentas!W$2:W$6092)</f>
        <v>111033334</v>
      </c>
      <c r="N434" s="12">
        <f>LOOKUP(406011200,[1]PlanCuentas!$A$2:$A$6092,[1]PlanCuentas!W$2:W$6092)</f>
        <v>88348890</v>
      </c>
      <c r="O434" s="12">
        <f>LOOKUP(406011300,[1]PlanCuentas!$A$2:$A$6092,[1]PlanCuentas!W$2:W$6092)</f>
        <v>4725778</v>
      </c>
      <c r="P434" s="12">
        <f>LOOKUP(406012000,[1]PlanCuentas!$A$2:$A$6092,[1]PlanCuentas!W$2:W$6092)</f>
        <v>1301078</v>
      </c>
      <c r="Q434" s="13">
        <f t="shared" si="20"/>
        <v>1018725541</v>
      </c>
    </row>
    <row r="435" spans="1:17" x14ac:dyDescent="0.2">
      <c r="A435" s="10">
        <v>22</v>
      </c>
      <c r="B435" s="11" t="str">
        <f>[1]Aseguradoras!B23</f>
        <v>Grupo General de Seguros y Reaseguros S.A.</v>
      </c>
      <c r="C435" s="12">
        <f>LOOKUP(406010100,[1]PlanCuentas!$A$2:$A$6092,[1]PlanCuentas!X$2:X$6092)</f>
        <v>99146203</v>
      </c>
      <c r="D435" s="12">
        <f>LOOKUP(406010200,[1]PlanCuentas!$A$2:$A$6092,[1]PlanCuentas!X$2:X$6092)</f>
        <v>138156145</v>
      </c>
      <c r="E435" s="12">
        <f>LOOKUP(406010300,[1]PlanCuentas!$A$2:$A$6092,[1]PlanCuentas!X$2:X$6092)</f>
        <v>20997000</v>
      </c>
      <c r="F435" s="12">
        <f>LOOKUP(406010400,[1]PlanCuentas!$A$2:$A$6092,[1]PlanCuentas!X$2:X$6092)</f>
        <v>648241566</v>
      </c>
      <c r="G435" s="12">
        <f>LOOKUP(406010500,[1]PlanCuentas!$A$2:$A$6092,[1]PlanCuentas!X$2:X$6092)</f>
        <v>4569584</v>
      </c>
      <c r="H435" s="12">
        <f>LOOKUP(406010600,[1]PlanCuentas!$A$2:$A$6092,[1]PlanCuentas!X$2:X$6092)</f>
        <v>225301518</v>
      </c>
      <c r="I435" s="12">
        <f>LOOKUP(406010700,[1]PlanCuentas!$A$2:$A$6092,[1]PlanCuentas!X$2:X$6092)</f>
        <v>2037114</v>
      </c>
      <c r="J435" s="12">
        <f>LOOKUP(406010800,[1]PlanCuentas!$A$2:$A$6092,[1]PlanCuentas!X$2:X$6092)</f>
        <v>0</v>
      </c>
      <c r="K435" s="12">
        <f>LOOKUP(406010900,[1]PlanCuentas!$A$2:$A$6092,[1]PlanCuentas!X$2:X$6092)</f>
        <v>8041063</v>
      </c>
      <c r="L435" s="12">
        <f>LOOKUP(406011000,[1]PlanCuentas!$A$2:$A$6092,[1]PlanCuentas!X$2:X$6092)</f>
        <v>53394464</v>
      </c>
      <c r="M435" s="12">
        <f>LOOKUP(406011100,[1]PlanCuentas!$A$2:$A$6092,[1]PlanCuentas!X$2:X$6092)</f>
        <v>25660000</v>
      </c>
      <c r="N435" s="12">
        <f>LOOKUP(406011200,[1]PlanCuentas!$A$2:$A$6092,[1]PlanCuentas!X$2:X$6092)</f>
        <v>36790223</v>
      </c>
      <c r="O435" s="12">
        <f>LOOKUP(406011300,[1]PlanCuentas!$A$2:$A$6092,[1]PlanCuentas!X$2:X$6092)</f>
        <v>13378122</v>
      </c>
      <c r="P435" s="12">
        <f>LOOKUP(406012000,[1]PlanCuentas!$A$2:$A$6092,[1]PlanCuentas!X$2:X$6092)</f>
        <v>193225377</v>
      </c>
      <c r="Q435" s="13">
        <f t="shared" si="20"/>
        <v>1468938379</v>
      </c>
    </row>
    <row r="436" spans="1:17" x14ac:dyDescent="0.2">
      <c r="A436" s="10">
        <v>23</v>
      </c>
      <c r="B436" s="11" t="str">
        <f>[1]Aseguradoras!B24</f>
        <v>Alfa S.A de Seguros y Reaseguros</v>
      </c>
      <c r="C436" s="12">
        <f>LOOKUP(406010100,[1]PlanCuentas!$A$2:$A$6092,[1]PlanCuentas!Y$2:Y$6092)</f>
        <v>30561550</v>
      </c>
      <c r="D436" s="12">
        <f>LOOKUP(406010200,[1]PlanCuentas!$A$2:$A$6092,[1]PlanCuentas!Y$2:Y$6092)</f>
        <v>16310604</v>
      </c>
      <c r="E436" s="12">
        <f>LOOKUP(406010300,[1]PlanCuentas!$A$2:$A$6092,[1]PlanCuentas!Y$2:Y$6092)</f>
        <v>0</v>
      </c>
      <c r="F436" s="12">
        <f>LOOKUP(406010400,[1]PlanCuentas!$A$2:$A$6092,[1]PlanCuentas!Y$2:Y$6092)</f>
        <v>287917600</v>
      </c>
      <c r="G436" s="12">
        <f>LOOKUP(406010500,[1]PlanCuentas!$A$2:$A$6092,[1]PlanCuentas!Y$2:Y$6092)</f>
        <v>142613458</v>
      </c>
      <c r="H436" s="12">
        <f>LOOKUP(406010600,[1]PlanCuentas!$A$2:$A$6092,[1]PlanCuentas!Y$2:Y$6092)</f>
        <v>34997270</v>
      </c>
      <c r="I436" s="12">
        <f>LOOKUP(406010700,[1]PlanCuentas!$A$2:$A$6092,[1]PlanCuentas!Y$2:Y$6092)</f>
        <v>0</v>
      </c>
      <c r="J436" s="12">
        <f>LOOKUP(406010800,[1]PlanCuentas!$A$2:$A$6092,[1]PlanCuentas!Y$2:Y$6092)</f>
        <v>0</v>
      </c>
      <c r="K436" s="12">
        <f>LOOKUP(406010900,[1]PlanCuentas!$A$2:$A$6092,[1]PlanCuentas!Y$2:Y$6092)</f>
        <v>0</v>
      </c>
      <c r="L436" s="12">
        <f>LOOKUP(406011000,[1]PlanCuentas!$A$2:$A$6092,[1]PlanCuentas!Y$2:Y$6092)</f>
        <v>32429991</v>
      </c>
      <c r="M436" s="12">
        <f>LOOKUP(406011100,[1]PlanCuentas!$A$2:$A$6092,[1]PlanCuentas!Y$2:Y$6092)</f>
        <v>0</v>
      </c>
      <c r="N436" s="12">
        <f>LOOKUP(406011200,[1]PlanCuentas!$A$2:$A$6092,[1]PlanCuentas!Y$2:Y$6092)</f>
        <v>0</v>
      </c>
      <c r="O436" s="12">
        <f>LOOKUP(406011300,[1]PlanCuentas!$A$2:$A$6092,[1]PlanCuentas!Y$2:Y$6092)</f>
        <v>5031600</v>
      </c>
      <c r="P436" s="12">
        <f>LOOKUP(406012000,[1]PlanCuentas!$A$2:$A$6092,[1]PlanCuentas!Y$2:Y$6092)</f>
        <v>524673</v>
      </c>
      <c r="Q436" s="13">
        <f t="shared" si="20"/>
        <v>550386746</v>
      </c>
    </row>
    <row r="437" spans="1:17" x14ac:dyDescent="0.2">
      <c r="A437" s="10">
        <v>24</v>
      </c>
      <c r="B437" s="11" t="str">
        <f>[1]Aseguradoras!B25</f>
        <v>Cenit de Seguros S.A.</v>
      </c>
      <c r="C437" s="12">
        <f>LOOKUP(406010100,[1]PlanCuentas!$A$2:$A$6092,[1]PlanCuentas!Z$2:Z$6092)</f>
        <v>191682033</v>
      </c>
      <c r="D437" s="12">
        <f>LOOKUP(406010200,[1]PlanCuentas!$A$2:$A$6092,[1]PlanCuentas!Z$2:Z$6092)</f>
        <v>19907390</v>
      </c>
      <c r="E437" s="12">
        <f>LOOKUP(406010300,[1]PlanCuentas!$A$2:$A$6092,[1]PlanCuentas!Z$2:Z$6092)</f>
        <v>0</v>
      </c>
      <c r="F437" s="12">
        <f>LOOKUP(406010400,[1]PlanCuentas!$A$2:$A$6092,[1]PlanCuentas!Z$2:Z$6092)</f>
        <v>608978523</v>
      </c>
      <c r="G437" s="12">
        <f>LOOKUP(406010500,[1]PlanCuentas!$A$2:$A$6092,[1]PlanCuentas!Z$2:Z$6092)</f>
        <v>5481484</v>
      </c>
      <c r="H437" s="12">
        <f>LOOKUP(406010600,[1]PlanCuentas!$A$2:$A$6092,[1]PlanCuentas!Z$2:Z$6092)</f>
        <v>216345729</v>
      </c>
      <c r="I437" s="12">
        <f>LOOKUP(406010700,[1]PlanCuentas!$A$2:$A$6092,[1]PlanCuentas!Z$2:Z$6092)</f>
        <v>1690909</v>
      </c>
      <c r="J437" s="12">
        <f>LOOKUP(406010800,[1]PlanCuentas!$A$2:$A$6092,[1]PlanCuentas!Z$2:Z$6092)</f>
        <v>0</v>
      </c>
      <c r="K437" s="12">
        <f>LOOKUP(406010900,[1]PlanCuentas!$A$2:$A$6092,[1]PlanCuentas!Z$2:Z$6092)</f>
        <v>22257000</v>
      </c>
      <c r="L437" s="12">
        <f>LOOKUP(406011000,[1]PlanCuentas!$A$2:$A$6092,[1]PlanCuentas!Z$2:Z$6092)</f>
        <v>75247833</v>
      </c>
      <c r="M437" s="12">
        <f>LOOKUP(406011100,[1]PlanCuentas!$A$2:$A$6092,[1]PlanCuentas!Z$2:Z$6092)</f>
        <v>57000000</v>
      </c>
      <c r="N437" s="12">
        <f>LOOKUP(406011200,[1]PlanCuentas!$A$2:$A$6092,[1]PlanCuentas!Z$2:Z$6092)</f>
        <v>7310000</v>
      </c>
      <c r="O437" s="12">
        <f>LOOKUP(406011300,[1]PlanCuentas!$A$2:$A$6092,[1]PlanCuentas!Z$2:Z$6092)</f>
        <v>0</v>
      </c>
      <c r="P437" s="12">
        <f>LOOKUP(406012000,[1]PlanCuentas!$A$2:$A$6092,[1]PlanCuentas!Z$2:Z$6092)</f>
        <v>118774334</v>
      </c>
      <c r="Q437" s="13">
        <f t="shared" si="20"/>
        <v>1324675235</v>
      </c>
    </row>
    <row r="438" spans="1:17" x14ac:dyDescent="0.2">
      <c r="A438" s="10">
        <v>25</v>
      </c>
      <c r="B438" s="11" t="str">
        <f>[1]Aseguradoras!B26</f>
        <v>La Meridional Paraguaya S.A de Seguros</v>
      </c>
      <c r="C438" s="12">
        <f>LOOKUP(406010100,[1]PlanCuentas!$A$2:$A$6092,[1]PlanCuentas!AA$2:AA$6092)</f>
        <v>59434000</v>
      </c>
      <c r="D438" s="12">
        <f>LOOKUP(406010200,[1]PlanCuentas!$A$2:$A$6092,[1]PlanCuentas!AA$2:AA$6092)</f>
        <v>950000</v>
      </c>
      <c r="E438" s="12">
        <f>LOOKUP(406010300,[1]PlanCuentas!$A$2:$A$6092,[1]PlanCuentas!AA$2:AA$6092)</f>
        <v>0</v>
      </c>
      <c r="F438" s="12">
        <f>LOOKUP(406010400,[1]PlanCuentas!$A$2:$A$6092,[1]PlanCuentas!AA$2:AA$6092)</f>
        <v>175147494</v>
      </c>
      <c r="G438" s="12">
        <f>LOOKUP(406010500,[1]PlanCuentas!$A$2:$A$6092,[1]PlanCuentas!AA$2:AA$6092)</f>
        <v>4569590</v>
      </c>
      <c r="H438" s="12">
        <f>LOOKUP(406010600,[1]PlanCuentas!$A$2:$A$6092,[1]PlanCuentas!AA$2:AA$6092)</f>
        <v>3906000</v>
      </c>
      <c r="I438" s="12">
        <f>LOOKUP(406010700,[1]PlanCuentas!$A$2:$A$6092,[1]PlanCuentas!AA$2:AA$6092)</f>
        <v>1400000</v>
      </c>
      <c r="J438" s="12">
        <f>LOOKUP(406010800,[1]PlanCuentas!$A$2:$A$6092,[1]PlanCuentas!AA$2:AA$6092)</f>
        <v>0</v>
      </c>
      <c r="K438" s="12">
        <f>LOOKUP(406010900,[1]PlanCuentas!$A$2:$A$6092,[1]PlanCuentas!AA$2:AA$6092)</f>
        <v>0</v>
      </c>
      <c r="L438" s="12">
        <f>LOOKUP(406011000,[1]PlanCuentas!$A$2:$A$6092,[1]PlanCuentas!AA$2:AA$6092)</f>
        <v>28947833</v>
      </c>
      <c r="M438" s="12">
        <f>LOOKUP(406011100,[1]PlanCuentas!$A$2:$A$6092,[1]PlanCuentas!AA$2:AA$6092)</f>
        <v>0</v>
      </c>
      <c r="N438" s="12">
        <f>LOOKUP(406011200,[1]PlanCuentas!$A$2:$A$6092,[1]PlanCuentas!AA$2:AA$6092)</f>
        <v>300000</v>
      </c>
      <c r="O438" s="12">
        <f>LOOKUP(406011300,[1]PlanCuentas!$A$2:$A$6092,[1]PlanCuentas!AA$2:AA$6092)</f>
        <v>0</v>
      </c>
      <c r="P438" s="12">
        <f>LOOKUP(406012000,[1]PlanCuentas!$A$2:$A$6092,[1]PlanCuentas!AA$2:AA$6092)</f>
        <v>0</v>
      </c>
      <c r="Q438" s="13">
        <f t="shared" si="20"/>
        <v>274654917</v>
      </c>
    </row>
    <row r="439" spans="1:17" x14ac:dyDescent="0.2">
      <c r="A439" s="10">
        <v>26</v>
      </c>
      <c r="B439" s="11" t="str">
        <f>[1]Aseguradoras!B27</f>
        <v>Aseguradora Del Este S.A de Seguros y Reaseguros</v>
      </c>
      <c r="C439" s="12">
        <f>LOOKUP(406010100,[1]PlanCuentas!$A$2:$A$6092,[1]PlanCuentas!AB$2:AB$6092)</f>
        <v>187910873</v>
      </c>
      <c r="D439" s="12">
        <f>LOOKUP(406010200,[1]PlanCuentas!$A$2:$A$6092,[1]PlanCuentas!AB$2:AB$6092)</f>
        <v>210438258</v>
      </c>
      <c r="E439" s="12">
        <f>LOOKUP(406010300,[1]PlanCuentas!$A$2:$A$6092,[1]PlanCuentas!AB$2:AB$6092)</f>
        <v>144149137</v>
      </c>
      <c r="F439" s="12">
        <f>LOOKUP(406010400,[1]PlanCuentas!$A$2:$A$6092,[1]PlanCuentas!AB$2:AB$6092)</f>
        <v>722498390</v>
      </c>
      <c r="G439" s="12">
        <f>LOOKUP(406010500,[1]PlanCuentas!$A$2:$A$6092,[1]PlanCuentas!AB$2:AB$6092)</f>
        <v>4569590</v>
      </c>
      <c r="H439" s="12">
        <f>LOOKUP(406010600,[1]PlanCuentas!$A$2:$A$6092,[1]PlanCuentas!AB$2:AB$6092)</f>
        <v>295823683</v>
      </c>
      <c r="I439" s="12">
        <f>LOOKUP(406010700,[1]PlanCuentas!$A$2:$A$6092,[1]PlanCuentas!AB$2:AB$6092)</f>
        <v>9091859</v>
      </c>
      <c r="J439" s="12">
        <f>LOOKUP(406010800,[1]PlanCuentas!$A$2:$A$6092,[1]PlanCuentas!AB$2:AB$6092)</f>
        <v>0</v>
      </c>
      <c r="K439" s="12">
        <f>LOOKUP(406010900,[1]PlanCuentas!$A$2:$A$6092,[1]PlanCuentas!AB$2:AB$6092)</f>
        <v>147570891</v>
      </c>
      <c r="L439" s="12">
        <f>LOOKUP(406011000,[1]PlanCuentas!$A$2:$A$6092,[1]PlanCuentas!AB$2:AB$6092)</f>
        <v>36870593</v>
      </c>
      <c r="M439" s="12">
        <f>LOOKUP(406011100,[1]PlanCuentas!$A$2:$A$6092,[1]PlanCuentas!AB$2:AB$6092)</f>
        <v>0</v>
      </c>
      <c r="N439" s="12">
        <f>LOOKUP(406011200,[1]PlanCuentas!$A$2:$A$6092,[1]PlanCuentas!AB$2:AB$6092)</f>
        <v>55949518</v>
      </c>
      <c r="O439" s="12">
        <f>LOOKUP(406011300,[1]PlanCuentas!$A$2:$A$6092,[1]PlanCuentas!AB$2:AB$6092)</f>
        <v>172816</v>
      </c>
      <c r="P439" s="12">
        <f>LOOKUP(406012000,[1]PlanCuentas!$A$2:$A$6092,[1]PlanCuentas!AB$2:AB$6092)</f>
        <v>595655630</v>
      </c>
      <c r="Q439" s="13">
        <f t="shared" si="20"/>
        <v>2410701238</v>
      </c>
    </row>
    <row r="440" spans="1:17" x14ac:dyDescent="0.2">
      <c r="A440" s="10">
        <v>27</v>
      </c>
      <c r="B440" s="11" t="str">
        <f>[1]Aseguradoras!B28</f>
        <v>Imperio S.A de Seguros y Reaseguros</v>
      </c>
      <c r="C440" s="12">
        <f>LOOKUP(406010100,[1]PlanCuentas!$A$2:$A$6092,[1]PlanCuentas!AC$2:AC$6092)</f>
        <v>218900000</v>
      </c>
      <c r="D440" s="12">
        <f>LOOKUP(406010200,[1]PlanCuentas!$A$2:$A$6092,[1]PlanCuentas!AC$2:AC$6092)</f>
        <v>1700000</v>
      </c>
      <c r="E440" s="12">
        <f>LOOKUP(406010300,[1]PlanCuentas!$A$2:$A$6092,[1]PlanCuentas!AC$2:AC$6092)</f>
        <v>2500000</v>
      </c>
      <c r="F440" s="12">
        <f>LOOKUP(406010400,[1]PlanCuentas!$A$2:$A$6092,[1]PlanCuentas!AC$2:AC$6092)</f>
        <v>223094773</v>
      </c>
      <c r="G440" s="12">
        <f>LOOKUP(406010500,[1]PlanCuentas!$A$2:$A$6092,[1]PlanCuentas!AC$2:AC$6092)</f>
        <v>4569584</v>
      </c>
      <c r="H440" s="12">
        <f>LOOKUP(406010600,[1]PlanCuentas!$A$2:$A$6092,[1]PlanCuentas!AC$2:AC$6092)</f>
        <v>58500000</v>
      </c>
      <c r="I440" s="12">
        <f>LOOKUP(406010700,[1]PlanCuentas!$A$2:$A$6092,[1]PlanCuentas!AC$2:AC$6092)</f>
        <v>0</v>
      </c>
      <c r="J440" s="12">
        <f>LOOKUP(406010800,[1]PlanCuentas!$A$2:$A$6092,[1]PlanCuentas!AC$2:AC$6092)</f>
        <v>0</v>
      </c>
      <c r="K440" s="12">
        <f>LOOKUP(406010900,[1]PlanCuentas!$A$2:$A$6092,[1]PlanCuentas!AC$2:AC$6092)</f>
        <v>600000</v>
      </c>
      <c r="L440" s="12">
        <f>LOOKUP(406011000,[1]PlanCuentas!$A$2:$A$6092,[1]PlanCuentas!AC$2:AC$6092)</f>
        <v>33947833</v>
      </c>
      <c r="M440" s="12">
        <f>LOOKUP(406011100,[1]PlanCuentas!$A$2:$A$6092,[1]PlanCuentas!AC$2:AC$6092)</f>
        <v>0</v>
      </c>
      <c r="N440" s="12">
        <f>LOOKUP(406011200,[1]PlanCuentas!$A$2:$A$6092,[1]PlanCuentas!AC$2:AC$6092)</f>
        <v>2000000</v>
      </c>
      <c r="O440" s="12">
        <f>LOOKUP(406011300,[1]PlanCuentas!$A$2:$A$6092,[1]PlanCuentas!AC$2:AC$6092)</f>
        <v>98500000</v>
      </c>
      <c r="P440" s="12">
        <f>LOOKUP(406012000,[1]PlanCuentas!$A$2:$A$6092,[1]PlanCuentas!AC$2:AC$6092)</f>
        <v>0</v>
      </c>
      <c r="Q440" s="13">
        <f t="shared" si="20"/>
        <v>644312190</v>
      </c>
    </row>
    <row r="441" spans="1:17" x14ac:dyDescent="0.2">
      <c r="A441" s="10">
        <v>28</v>
      </c>
      <c r="B441" s="11" t="str">
        <f>[1]Aseguradoras!B29</f>
        <v>Regional S.A de Seguros y Reaseguros</v>
      </c>
      <c r="C441" s="12">
        <f>LOOKUP(406010100,[1]PlanCuentas!$A$2:$A$6092,[1]PlanCuentas!AD$2:AD$6092)</f>
        <v>40142540</v>
      </c>
      <c r="D441" s="12">
        <f>LOOKUP(406010200,[1]PlanCuentas!$A$2:$A$6092,[1]PlanCuentas!AD$2:AD$6092)</f>
        <v>20005000</v>
      </c>
      <c r="E441" s="12">
        <f>LOOKUP(406010300,[1]PlanCuentas!$A$2:$A$6092,[1]PlanCuentas!AD$2:AD$6092)</f>
        <v>3719566</v>
      </c>
      <c r="F441" s="12">
        <f>LOOKUP(406010400,[1]PlanCuentas!$A$2:$A$6092,[1]PlanCuentas!AD$2:AD$6092)</f>
        <v>516278194</v>
      </c>
      <c r="G441" s="12">
        <f>LOOKUP(406010500,[1]PlanCuentas!$A$2:$A$6092,[1]PlanCuentas!AD$2:AD$6092)</f>
        <v>0</v>
      </c>
      <c r="H441" s="12">
        <f>LOOKUP(406010600,[1]PlanCuentas!$A$2:$A$6092,[1]PlanCuentas!AD$2:AD$6092)</f>
        <v>215792000</v>
      </c>
      <c r="I441" s="12">
        <f>LOOKUP(406010700,[1]PlanCuentas!$A$2:$A$6092,[1]PlanCuentas!AD$2:AD$6092)</f>
        <v>532046</v>
      </c>
      <c r="J441" s="12">
        <f>LOOKUP(406010800,[1]PlanCuentas!$A$2:$A$6092,[1]PlanCuentas!AD$2:AD$6092)</f>
        <v>0</v>
      </c>
      <c r="K441" s="12">
        <f>LOOKUP(406010900,[1]PlanCuentas!$A$2:$A$6092,[1]PlanCuentas!AD$2:AD$6092)</f>
        <v>30857432</v>
      </c>
      <c r="L441" s="12">
        <f>LOOKUP(406011000,[1]PlanCuentas!$A$2:$A$6092,[1]PlanCuentas!AD$2:AD$6092)</f>
        <v>33036923</v>
      </c>
      <c r="M441" s="12">
        <f>LOOKUP(406011100,[1]PlanCuentas!$A$2:$A$6092,[1]PlanCuentas!AD$2:AD$6092)</f>
        <v>0</v>
      </c>
      <c r="N441" s="12">
        <f>LOOKUP(406011200,[1]PlanCuentas!$A$2:$A$6092,[1]PlanCuentas!AD$2:AD$6092)</f>
        <v>17620000</v>
      </c>
      <c r="O441" s="12">
        <f>LOOKUP(406011300,[1]PlanCuentas!$A$2:$A$6092,[1]PlanCuentas!AD$2:AD$6092)</f>
        <v>100503640</v>
      </c>
      <c r="P441" s="12">
        <f>LOOKUP(406012000,[1]PlanCuentas!$A$2:$A$6092,[1]PlanCuentas!AD$2:AD$6092)</f>
        <v>250000000</v>
      </c>
      <c r="Q441" s="13">
        <f t="shared" si="20"/>
        <v>1228487341</v>
      </c>
    </row>
    <row r="442" spans="1:17" x14ac:dyDescent="0.2">
      <c r="A442" s="10">
        <v>29</v>
      </c>
      <c r="B442" s="11" t="str">
        <f>[1]Aseguradoras!B30</f>
        <v>Mapfre Paraguay Compañía de Seguros S.A.</v>
      </c>
      <c r="C442" s="12">
        <f>LOOKUP(406010100,[1]PlanCuentas!$A$2:$A$6092,[1]PlanCuentas!AE$2:AE$6092)</f>
        <v>1233291152</v>
      </c>
      <c r="D442" s="12">
        <f>LOOKUP(406010200,[1]PlanCuentas!$A$2:$A$6092,[1]PlanCuentas!AE$2:AE$6092)</f>
        <v>720872389</v>
      </c>
      <c r="E442" s="12">
        <f>LOOKUP(406010300,[1]PlanCuentas!$A$2:$A$6092,[1]PlanCuentas!AE$2:AE$6092)</f>
        <v>14962326</v>
      </c>
      <c r="F442" s="12">
        <f>LOOKUP(406010400,[1]PlanCuentas!$A$2:$A$6092,[1]PlanCuentas!AE$2:AE$6092)</f>
        <v>3849588950</v>
      </c>
      <c r="G442" s="12">
        <f>LOOKUP(406010500,[1]PlanCuentas!$A$2:$A$6092,[1]PlanCuentas!AE$2:AE$6092)</f>
        <v>0</v>
      </c>
      <c r="H442" s="12">
        <f>LOOKUP(406010600,[1]PlanCuentas!$A$2:$A$6092,[1]PlanCuentas!AE$2:AE$6092)</f>
        <v>42371923</v>
      </c>
      <c r="I442" s="12">
        <f>LOOKUP(406010700,[1]PlanCuentas!$A$2:$A$6092,[1]PlanCuentas!AE$2:AE$6092)</f>
        <v>7196615</v>
      </c>
      <c r="J442" s="12">
        <f>LOOKUP(406010800,[1]PlanCuentas!$A$2:$A$6092,[1]PlanCuentas!AE$2:AE$6092)</f>
        <v>0</v>
      </c>
      <c r="K442" s="12">
        <f>LOOKUP(406010900,[1]PlanCuentas!$A$2:$A$6092,[1]PlanCuentas!AE$2:AE$6092)</f>
        <v>3562946</v>
      </c>
      <c r="L442" s="12">
        <f>LOOKUP(406011000,[1]PlanCuentas!$A$2:$A$6092,[1]PlanCuentas!AE$2:AE$6092)</f>
        <v>4706370</v>
      </c>
      <c r="M442" s="12">
        <f>LOOKUP(406011100,[1]PlanCuentas!$A$2:$A$6092,[1]PlanCuentas!AE$2:AE$6092)</f>
        <v>0</v>
      </c>
      <c r="N442" s="12">
        <f>LOOKUP(406011200,[1]PlanCuentas!$A$2:$A$6092,[1]PlanCuentas!AE$2:AE$6092)</f>
        <v>0</v>
      </c>
      <c r="O442" s="12">
        <f>LOOKUP(406011300,[1]PlanCuentas!$A$2:$A$6092,[1]PlanCuentas!AE$2:AE$6092)</f>
        <v>5193070</v>
      </c>
      <c r="P442" s="12">
        <f>LOOKUP(406012000,[1]PlanCuentas!$A$2:$A$6092,[1]PlanCuentas!AE$2:AE$6092)</f>
        <v>39800175</v>
      </c>
      <c r="Q442" s="13">
        <f t="shared" si="20"/>
        <v>5921545916</v>
      </c>
    </row>
    <row r="443" spans="1:17" x14ac:dyDescent="0.2">
      <c r="A443" s="10">
        <v>30</v>
      </c>
      <c r="B443" s="11" t="str">
        <f>[1]Aseguradoras!B31</f>
        <v>Aseguradora Tajy Propiedad Cooperativa S.A. de Seguros</v>
      </c>
      <c r="C443" s="12">
        <f>LOOKUP(406010100,[1]PlanCuentas!$A$2:$A$6092,[1]PlanCuentas!AF$2:AF$6092)</f>
        <v>130953437</v>
      </c>
      <c r="D443" s="12">
        <f>LOOKUP(406010200,[1]PlanCuentas!$A$2:$A$6092,[1]PlanCuentas!AF$2:AF$6092)</f>
        <v>7150000</v>
      </c>
      <c r="E443" s="12">
        <f>LOOKUP(406010300,[1]PlanCuentas!$A$2:$A$6092,[1]PlanCuentas!AF$2:AF$6092)</f>
        <v>71061795</v>
      </c>
      <c r="F443" s="12">
        <f>LOOKUP(406010400,[1]PlanCuentas!$A$2:$A$6092,[1]PlanCuentas!AF$2:AF$6092)</f>
        <v>334429954</v>
      </c>
      <c r="G443" s="12">
        <f>LOOKUP(406010500,[1]PlanCuentas!$A$2:$A$6092,[1]PlanCuentas!AF$2:AF$6092)</f>
        <v>0</v>
      </c>
      <c r="H443" s="12">
        <f>LOOKUP(406010600,[1]PlanCuentas!$A$2:$A$6092,[1]PlanCuentas!AF$2:AF$6092)</f>
        <v>46791359</v>
      </c>
      <c r="I443" s="12">
        <f>LOOKUP(406010700,[1]PlanCuentas!$A$2:$A$6092,[1]PlanCuentas!AF$2:AF$6092)</f>
        <v>0</v>
      </c>
      <c r="J443" s="12">
        <f>LOOKUP(406010800,[1]PlanCuentas!$A$2:$A$6092,[1]PlanCuentas!AF$2:AF$6092)</f>
        <v>1064889</v>
      </c>
      <c r="K443" s="12">
        <f>LOOKUP(406010900,[1]PlanCuentas!$A$2:$A$6092,[1]PlanCuentas!AF$2:AF$6092)</f>
        <v>328913012</v>
      </c>
      <c r="L443" s="12">
        <f>LOOKUP(406011000,[1]PlanCuentas!$A$2:$A$6092,[1]PlanCuentas!AF$2:AF$6092)</f>
        <v>33432833</v>
      </c>
      <c r="M443" s="12">
        <f>LOOKUP(406011100,[1]PlanCuentas!$A$2:$A$6092,[1]PlanCuentas!AF$2:AF$6092)</f>
        <v>0</v>
      </c>
      <c r="N443" s="12">
        <f>LOOKUP(406011200,[1]PlanCuentas!$A$2:$A$6092,[1]PlanCuentas!AF$2:AF$6092)</f>
        <v>44541943</v>
      </c>
      <c r="O443" s="12">
        <f>LOOKUP(406011300,[1]PlanCuentas!$A$2:$A$6092,[1]PlanCuentas!AF$2:AF$6092)</f>
        <v>5478400</v>
      </c>
      <c r="P443" s="12">
        <f>LOOKUP(406012000,[1]PlanCuentas!$A$2:$A$6092,[1]PlanCuentas!AF$2:AF$6092)</f>
        <v>300579912</v>
      </c>
      <c r="Q443" s="13">
        <f t="shared" si="20"/>
        <v>1304397534</v>
      </c>
    </row>
    <row r="444" spans="1:17" x14ac:dyDescent="0.2">
      <c r="A444" s="10">
        <v>31</v>
      </c>
      <c r="B444" s="11" t="str">
        <f>[1]Aseguradoras!B32</f>
        <v>Aseguradora del Sur S.A. Seguros Generales - ASUR</v>
      </c>
      <c r="C444" s="12">
        <f>LOOKUP(406010100,[1]PlanCuentas!$A$2:$A$6092,[1]PlanCuentas!AG$2:AG$6092)</f>
        <v>83164522</v>
      </c>
      <c r="D444" s="12">
        <f>LOOKUP(406010200,[1]PlanCuentas!$A$2:$A$6092,[1]PlanCuentas!AG$2:AG$6092)</f>
        <v>184213151</v>
      </c>
      <c r="E444" s="12">
        <f>LOOKUP(406010300,[1]PlanCuentas!$A$2:$A$6092,[1]PlanCuentas!AG$2:AG$6092)</f>
        <v>11875528</v>
      </c>
      <c r="F444" s="12">
        <f>LOOKUP(406010400,[1]PlanCuentas!$A$2:$A$6092,[1]PlanCuentas!AG$2:AG$6092)</f>
        <v>209380025</v>
      </c>
      <c r="G444" s="12">
        <f>LOOKUP(406010500,[1]PlanCuentas!$A$2:$A$6092,[1]PlanCuentas!AG$2:AG$6092)</f>
        <v>4869584</v>
      </c>
      <c r="H444" s="12">
        <f>LOOKUP(406010600,[1]PlanCuentas!$A$2:$A$6092,[1]PlanCuentas!AG$2:AG$6092)</f>
        <v>173018053</v>
      </c>
      <c r="I444" s="12">
        <f>LOOKUP(406010700,[1]PlanCuentas!$A$2:$A$6092,[1]PlanCuentas!AG$2:AG$6092)</f>
        <v>600000</v>
      </c>
      <c r="J444" s="12">
        <f>LOOKUP(406010800,[1]PlanCuentas!$A$2:$A$6092,[1]PlanCuentas!AG$2:AG$6092)</f>
        <v>0</v>
      </c>
      <c r="K444" s="12">
        <f>LOOKUP(406010900,[1]PlanCuentas!$A$2:$A$6092,[1]PlanCuentas!AG$2:AG$6092)</f>
        <v>9406118</v>
      </c>
      <c r="L444" s="12">
        <f>LOOKUP(406011000,[1]PlanCuentas!$A$2:$A$6092,[1]PlanCuentas!AG$2:AG$6092)</f>
        <v>29947833</v>
      </c>
      <c r="M444" s="12">
        <f>LOOKUP(406011100,[1]PlanCuentas!$A$2:$A$6092,[1]PlanCuentas!AG$2:AG$6092)</f>
        <v>0</v>
      </c>
      <c r="N444" s="12">
        <f>LOOKUP(406011200,[1]PlanCuentas!$A$2:$A$6092,[1]PlanCuentas!AG$2:AG$6092)</f>
        <v>8419455</v>
      </c>
      <c r="O444" s="12">
        <f>LOOKUP(406011300,[1]PlanCuentas!$A$2:$A$6092,[1]PlanCuentas!AG$2:AG$6092)</f>
        <v>4051080</v>
      </c>
      <c r="P444" s="12">
        <f>LOOKUP(406012000,[1]PlanCuentas!$A$2:$A$6092,[1]PlanCuentas!AG$2:AG$6092)</f>
        <v>285963636</v>
      </c>
      <c r="Q444" s="13">
        <f t="shared" si="20"/>
        <v>1004908985</v>
      </c>
    </row>
    <row r="445" spans="1:17" x14ac:dyDescent="0.2">
      <c r="A445" s="10">
        <v>32</v>
      </c>
      <c r="B445" s="11" t="str">
        <f>[1]Aseguradoras!B33</f>
        <v>Panal Compañía De Seguros Generales S.A.</v>
      </c>
      <c r="C445" s="12">
        <f>LOOKUP(406010100,[1]PlanCuentas!$A$2:$A$6092,[1]PlanCuentas!AH$2:AH$6092)</f>
        <v>66051978</v>
      </c>
      <c r="D445" s="12">
        <f>LOOKUP(406010200,[1]PlanCuentas!$A$2:$A$6092,[1]PlanCuentas!AH$2:AH$6092)</f>
        <v>1368181</v>
      </c>
      <c r="E445" s="12">
        <f>LOOKUP(406010300,[1]PlanCuentas!$A$2:$A$6092,[1]PlanCuentas!AH$2:AH$6092)</f>
        <v>179935944</v>
      </c>
      <c r="F445" s="12">
        <f>LOOKUP(406010400,[1]PlanCuentas!$A$2:$A$6092,[1]PlanCuentas!AH$2:AH$6092)</f>
        <v>796520545</v>
      </c>
      <c r="G445" s="12">
        <f>LOOKUP(406010500,[1]PlanCuentas!$A$2:$A$6092,[1]PlanCuentas!AH$2:AH$6092)</f>
        <v>0</v>
      </c>
      <c r="H445" s="12">
        <f>LOOKUP(406010600,[1]PlanCuentas!$A$2:$A$6092,[1]PlanCuentas!AH$2:AH$6092)</f>
        <v>1367751606</v>
      </c>
      <c r="I445" s="12">
        <f>LOOKUP(406010700,[1]PlanCuentas!$A$2:$A$6092,[1]PlanCuentas!AH$2:AH$6092)</f>
        <v>4986364</v>
      </c>
      <c r="J445" s="12">
        <f>LOOKUP(406010800,[1]PlanCuentas!$A$2:$A$6092,[1]PlanCuentas!AH$2:AH$6092)</f>
        <v>0</v>
      </c>
      <c r="K445" s="12">
        <f>LOOKUP(406010900,[1]PlanCuentas!$A$2:$A$6092,[1]PlanCuentas!AH$2:AH$6092)</f>
        <v>36086292</v>
      </c>
      <c r="L445" s="12">
        <f>LOOKUP(406011000,[1]PlanCuentas!$A$2:$A$6092,[1]PlanCuentas!AH$2:AH$6092)</f>
        <v>23800000</v>
      </c>
      <c r="M445" s="12">
        <f>LOOKUP(406011100,[1]PlanCuentas!$A$2:$A$6092,[1]PlanCuentas!AH$2:AH$6092)</f>
        <v>0</v>
      </c>
      <c r="N445" s="12">
        <f>LOOKUP(406011200,[1]PlanCuentas!$A$2:$A$6092,[1]PlanCuentas!AH$2:AH$6092)</f>
        <v>9950000</v>
      </c>
      <c r="O445" s="12">
        <f>LOOKUP(406011300,[1]PlanCuentas!$A$2:$A$6092,[1]PlanCuentas!AH$2:AH$6092)</f>
        <v>5250000</v>
      </c>
      <c r="P445" s="12">
        <f>LOOKUP(406012000,[1]PlanCuentas!$A$2:$A$6092,[1]PlanCuentas!AH$2:AH$6092)</f>
        <v>413728715</v>
      </c>
      <c r="Q445" s="13">
        <f t="shared" si="20"/>
        <v>2905429625</v>
      </c>
    </row>
    <row r="446" spans="1:17" x14ac:dyDescent="0.2">
      <c r="A446" s="10">
        <v>33</v>
      </c>
      <c r="B446" s="11" t="str">
        <f>[1]Aseguradoras!B34</f>
        <v>Sancor Seguros del Paraguay S.A.</v>
      </c>
      <c r="C446" s="12">
        <f>LOOKUP(406010100,[1]PlanCuentas!$A$2:$A$6092,[1]PlanCuentas!AI$2:AI$6092)</f>
        <v>0</v>
      </c>
      <c r="D446" s="12">
        <f>LOOKUP(406010200,[1]PlanCuentas!$A$2:$A$6092,[1]PlanCuentas!AI$2:AI$6092)</f>
        <v>0</v>
      </c>
      <c r="E446" s="12">
        <f>LOOKUP(406010300,[1]PlanCuentas!$A$2:$A$6092,[1]PlanCuentas!AI$2:AI$6092)</f>
        <v>0</v>
      </c>
      <c r="F446" s="12">
        <f>LOOKUP(406010400,[1]PlanCuentas!$A$2:$A$6092,[1]PlanCuentas!AI$2:AI$6092)</f>
        <v>0</v>
      </c>
      <c r="G446" s="12">
        <f>LOOKUP(406010500,[1]PlanCuentas!$A$2:$A$6092,[1]PlanCuentas!AI$2:AI$6092)</f>
        <v>0</v>
      </c>
      <c r="H446" s="12">
        <f>LOOKUP(406010600,[1]PlanCuentas!$A$2:$A$6092,[1]PlanCuentas!AI$2:AI$6092)</f>
        <v>0</v>
      </c>
      <c r="I446" s="12">
        <f>LOOKUP(406010700,[1]PlanCuentas!$A$2:$A$6092,[1]PlanCuentas!AI$2:AI$6092)</f>
        <v>0</v>
      </c>
      <c r="J446" s="12">
        <f>LOOKUP(406010800,[1]PlanCuentas!$A$2:$A$6092,[1]PlanCuentas!AI$2:AI$6092)</f>
        <v>2127181113</v>
      </c>
      <c r="K446" s="12">
        <f>LOOKUP(406010900,[1]PlanCuentas!$A$2:$A$6092,[1]PlanCuentas!AI$2:AI$6092)</f>
        <v>0</v>
      </c>
      <c r="L446" s="12">
        <f>LOOKUP(406011000,[1]PlanCuentas!$A$2:$A$6092,[1]PlanCuentas!AI$2:AI$6092)</f>
        <v>0</v>
      </c>
      <c r="M446" s="12">
        <f>LOOKUP(406011100,[1]PlanCuentas!$A$2:$A$6092,[1]PlanCuentas!AI$2:AI$6092)</f>
        <v>0</v>
      </c>
      <c r="N446" s="12">
        <f>LOOKUP(406011200,[1]PlanCuentas!$A$2:$A$6092,[1]PlanCuentas!AI$2:AI$6092)</f>
        <v>0</v>
      </c>
      <c r="O446" s="12">
        <f>LOOKUP(406011300,[1]PlanCuentas!$A$2:$A$6092,[1]PlanCuentas!AI$2:AI$6092)</f>
        <v>0</v>
      </c>
      <c r="P446" s="12">
        <f>LOOKUP(406012000,[1]PlanCuentas!$A$2:$A$6092,[1]PlanCuentas!AI$2:AI$6092)</f>
        <v>0</v>
      </c>
      <c r="Q446" s="13">
        <f>SUM(C446:P446)</f>
        <v>2127181113</v>
      </c>
    </row>
    <row r="447" spans="1:17" x14ac:dyDescent="0.2">
      <c r="A447" s="14"/>
      <c r="B447" s="15" t="s">
        <v>18</v>
      </c>
      <c r="C447" s="17">
        <f t="shared" ref="C447:Q447" si="21">SUBTOTAL(109,C414:C446)</f>
        <v>8778088872</v>
      </c>
      <c r="D447" s="17">
        <f t="shared" si="21"/>
        <v>3039107938</v>
      </c>
      <c r="E447" s="17">
        <f t="shared" si="21"/>
        <v>1141865768</v>
      </c>
      <c r="F447" s="17">
        <f t="shared" si="21"/>
        <v>23153945450</v>
      </c>
      <c r="G447" s="17">
        <f t="shared" si="21"/>
        <v>396771440</v>
      </c>
      <c r="H447" s="17">
        <f t="shared" si="21"/>
        <v>5501240645</v>
      </c>
      <c r="I447" s="17">
        <f t="shared" si="21"/>
        <v>158468800</v>
      </c>
      <c r="J447" s="17">
        <f t="shared" si="21"/>
        <v>3681202881</v>
      </c>
      <c r="K447" s="17">
        <f t="shared" si="21"/>
        <v>1499377061</v>
      </c>
      <c r="L447" s="17">
        <f t="shared" si="21"/>
        <v>1917565690</v>
      </c>
      <c r="M447" s="17">
        <f t="shared" si="21"/>
        <v>266514970</v>
      </c>
      <c r="N447" s="17">
        <f t="shared" si="21"/>
        <v>1970912867</v>
      </c>
      <c r="O447" s="17">
        <f t="shared" si="21"/>
        <v>1128841194</v>
      </c>
      <c r="P447" s="17">
        <f t="shared" si="21"/>
        <v>4665748229</v>
      </c>
      <c r="Q447" s="17">
        <f t="shared" si="21"/>
        <v>57299651805</v>
      </c>
    </row>
    <row r="448" spans="1:17" x14ac:dyDescent="0.2"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</row>
    <row r="449" spans="1:16" ht="28.35" customHeight="1" x14ac:dyDescent="0.2">
      <c r="A449" s="1" t="s">
        <v>36</v>
      </c>
      <c r="B449" s="47" t="s">
        <v>37</v>
      </c>
      <c r="C449" s="47"/>
      <c r="D449" s="2"/>
      <c r="E449" s="3"/>
      <c r="F449" s="4"/>
      <c r="G449" s="5"/>
      <c r="H449" s="5"/>
      <c r="I449" s="5"/>
      <c r="J449" s="5"/>
      <c r="K449" s="5"/>
      <c r="L449" s="5"/>
      <c r="M449" s="5"/>
      <c r="N449" s="5"/>
      <c r="O449" s="5"/>
      <c r="P449" s="5"/>
    </row>
    <row r="450" spans="1:16" ht="24" x14ac:dyDescent="0.2">
      <c r="A450" s="7" t="s">
        <v>2</v>
      </c>
      <c r="B450" s="8" t="s">
        <v>3</v>
      </c>
      <c r="C450" s="9" t="s">
        <v>4</v>
      </c>
      <c r="D450" s="9" t="s">
        <v>5</v>
      </c>
      <c r="E450" s="9" t="s">
        <v>6</v>
      </c>
      <c r="F450" s="36" t="s">
        <v>7</v>
      </c>
      <c r="G450" s="9" t="s">
        <v>8</v>
      </c>
      <c r="H450" s="9" t="s">
        <v>9</v>
      </c>
      <c r="I450" s="9" t="s">
        <v>10</v>
      </c>
      <c r="J450" s="9" t="s">
        <v>11</v>
      </c>
      <c r="K450" s="9" t="s">
        <v>12</v>
      </c>
      <c r="L450" s="9" t="s">
        <v>13</v>
      </c>
      <c r="M450" s="9" t="s">
        <v>14</v>
      </c>
      <c r="N450" s="9" t="s">
        <v>15</v>
      </c>
      <c r="O450" s="9" t="s">
        <v>16</v>
      </c>
      <c r="P450" s="8" t="s">
        <v>18</v>
      </c>
    </row>
    <row r="451" spans="1:16" x14ac:dyDescent="0.2">
      <c r="A451" s="10">
        <v>1</v>
      </c>
      <c r="B451" s="11" t="str">
        <f>[1]Aseguradoras!B2</f>
        <v>El Comercio Paraguayo S.A. de Seguros</v>
      </c>
      <c r="C451" s="12">
        <f>LOOKUP(407010100,[1]PlanCuentas!$A$2:$A$6092,[1]PlanCuentas!C$2:C$6092)</f>
        <v>0</v>
      </c>
      <c r="D451" s="12">
        <f>LOOKUP(407010200,[1]PlanCuentas!$A$2:$A$6092,[1]PlanCuentas!C$2:C$6092)</f>
        <v>0</v>
      </c>
      <c r="E451" s="12">
        <f>LOOKUP(407010300,[1]PlanCuentas!$A$2:$A$6092,[1]PlanCuentas!C$2:C$6092)</f>
        <v>0</v>
      </c>
      <c r="F451" s="12">
        <f>LOOKUP(407010400,[1]PlanCuentas!$A$2:$A$6092,[1]PlanCuentas!C$2:C$6092)</f>
        <v>103470000</v>
      </c>
      <c r="G451" s="12">
        <f>LOOKUP(407010500,[1]PlanCuentas!$A$2:$A$6092,[1]PlanCuentas!C$2:C$6092)</f>
        <v>0</v>
      </c>
      <c r="H451" s="12">
        <f>LOOKUP(407010600,[1]PlanCuentas!$A$2:$A$6092,[1]PlanCuentas!C$2:C$6092)</f>
        <v>0</v>
      </c>
      <c r="I451" s="12">
        <f>LOOKUP(407010700,[1]PlanCuentas!$A$2:$A$6092,[1]PlanCuentas!C$2:C$6092)</f>
        <v>0</v>
      </c>
      <c r="J451" s="12">
        <f>LOOKUP(407010800,[1]PlanCuentas!$A$2:$A$6092,[1]PlanCuentas!C$2:C$6092)</f>
        <v>0</v>
      </c>
      <c r="K451" s="12">
        <f>LOOKUP(407010900,[1]PlanCuentas!$A$2:$A$6092,[1]PlanCuentas!C$2:C$6092)</f>
        <v>3500000</v>
      </c>
      <c r="L451" s="12">
        <f>LOOKUP(407011000,[1]PlanCuentas!$A$2:$A$6092,[1]PlanCuentas!C$2:C$6092)</f>
        <v>0</v>
      </c>
      <c r="M451" s="12">
        <f>LOOKUP(407011100,[1]PlanCuentas!$A$2:$A$6092,[1]PlanCuentas!C$2:C$6092)</f>
        <v>0</v>
      </c>
      <c r="N451" s="12">
        <f>LOOKUP(407011200,[1]PlanCuentas!$A$2:$A$6092,[1]PlanCuentas!C$2:C$6092)</f>
        <v>0</v>
      </c>
      <c r="O451" s="12">
        <f>LOOKUP(407011300,[1]PlanCuentas!$A$2:$A$6092,[1]PlanCuentas!C$2:C$6092)</f>
        <v>845130</v>
      </c>
      <c r="P451" s="13">
        <f t="shared" ref="P451:P481" si="22">SUM(C451:O451)</f>
        <v>107815130</v>
      </c>
    </row>
    <row r="452" spans="1:16" x14ac:dyDescent="0.2">
      <c r="A452" s="10">
        <v>2</v>
      </c>
      <c r="B452" s="11" t="str">
        <f>[1]Aseguradoras!B3</f>
        <v>La Rural S.A de Seguros</v>
      </c>
      <c r="C452" s="12">
        <f>LOOKUP(407010100,[1]PlanCuentas!$A$2:$A$6092,[1]PlanCuentas!D$2:D$6092)</f>
        <v>9090909</v>
      </c>
      <c r="D452" s="12">
        <f>LOOKUP(407010200,[1]PlanCuentas!$A$2:$A$6092,[1]PlanCuentas!D$2:D$6092)</f>
        <v>0</v>
      </c>
      <c r="E452" s="12">
        <f>LOOKUP(407010300,[1]PlanCuentas!$A$2:$A$6092,[1]PlanCuentas!D$2:D$6092)</f>
        <v>0</v>
      </c>
      <c r="F452" s="12">
        <f>LOOKUP(407010400,[1]PlanCuentas!$A$2:$A$6092,[1]PlanCuentas!D$2:D$6092)</f>
        <v>181177307</v>
      </c>
      <c r="G452" s="12">
        <f>LOOKUP(407010500,[1]PlanCuentas!$A$2:$A$6092,[1]PlanCuentas!D$2:D$6092)</f>
        <v>0</v>
      </c>
      <c r="H452" s="12">
        <f>LOOKUP(407010600,[1]PlanCuentas!$A$2:$A$6092,[1]PlanCuentas!D$2:D$6092)</f>
        <v>6580000</v>
      </c>
      <c r="I452" s="12">
        <f>LOOKUP(407010700,[1]PlanCuentas!$A$2:$A$6092,[1]PlanCuentas!D$2:D$6092)</f>
        <v>0</v>
      </c>
      <c r="J452" s="12">
        <f>LOOKUP(407010800,[1]PlanCuentas!$A$2:$A$6092,[1]PlanCuentas!D$2:D$6092)</f>
        <v>0</v>
      </c>
      <c r="K452" s="12">
        <f>LOOKUP(407010900,[1]PlanCuentas!$A$2:$A$6092,[1]PlanCuentas!D$2:D$6092)</f>
        <v>0</v>
      </c>
      <c r="L452" s="12">
        <f>LOOKUP(407011000,[1]PlanCuentas!$A$2:$A$6092,[1]PlanCuentas!D$2:D$6092)</f>
        <v>0</v>
      </c>
      <c r="M452" s="12">
        <f>LOOKUP(407011100,[1]PlanCuentas!$A$2:$A$6092,[1]PlanCuentas!D$2:D$6092)</f>
        <v>0</v>
      </c>
      <c r="N452" s="12">
        <f>LOOKUP(407011200,[1]PlanCuentas!$A$2:$A$6092,[1]PlanCuentas!D$2:D$6092)</f>
        <v>0</v>
      </c>
      <c r="O452" s="12">
        <f>LOOKUP(407011300,[1]PlanCuentas!$A$2:$A$6092,[1]PlanCuentas!D$2:D$6092)</f>
        <v>38101328</v>
      </c>
      <c r="P452" s="13">
        <f t="shared" si="22"/>
        <v>234949544</v>
      </c>
    </row>
    <row r="453" spans="1:16" x14ac:dyDescent="0.2">
      <c r="A453" s="10">
        <v>3</v>
      </c>
      <c r="B453" s="11" t="str">
        <f>[1]Aseguradoras!B4</f>
        <v>La Paraguaya S.A de Seguros</v>
      </c>
      <c r="C453" s="12">
        <f>LOOKUP(407010100,[1]PlanCuentas!$A$2:$A$6092,[1]PlanCuentas!E$2:E$6092)</f>
        <v>0</v>
      </c>
      <c r="D453" s="12">
        <f>LOOKUP(407010200,[1]PlanCuentas!$A$2:$A$6092,[1]PlanCuentas!E$2:E$6092)</f>
        <v>0</v>
      </c>
      <c r="E453" s="12">
        <f>LOOKUP(407010300,[1]PlanCuentas!$A$2:$A$6092,[1]PlanCuentas!E$2:E$6092)</f>
        <v>0</v>
      </c>
      <c r="F453" s="12">
        <f>LOOKUP(407010400,[1]PlanCuentas!$A$2:$A$6092,[1]PlanCuentas!E$2:E$6092)</f>
        <v>26863647</v>
      </c>
      <c r="G453" s="12">
        <f>LOOKUP(407010500,[1]PlanCuentas!$A$2:$A$6092,[1]PlanCuentas!E$2:E$6092)</f>
        <v>0</v>
      </c>
      <c r="H453" s="12">
        <f>LOOKUP(407010600,[1]PlanCuentas!$A$2:$A$6092,[1]PlanCuentas!E$2:E$6092)</f>
        <v>0</v>
      </c>
      <c r="I453" s="12">
        <f>LOOKUP(407010700,[1]PlanCuentas!$A$2:$A$6092,[1]PlanCuentas!E$2:E$6092)</f>
        <v>0</v>
      </c>
      <c r="J453" s="12">
        <f>LOOKUP(407010800,[1]PlanCuentas!$A$2:$A$6092,[1]PlanCuentas!E$2:E$6092)</f>
        <v>0</v>
      </c>
      <c r="K453" s="12">
        <f>LOOKUP(407010900,[1]PlanCuentas!$A$2:$A$6092,[1]PlanCuentas!E$2:E$6092)</f>
        <v>0</v>
      </c>
      <c r="L453" s="12">
        <f>LOOKUP(407011000,[1]PlanCuentas!$A$2:$A$6092,[1]PlanCuentas!E$2:E$6092)</f>
        <v>0</v>
      </c>
      <c r="M453" s="12">
        <f>LOOKUP(407011100,[1]PlanCuentas!$A$2:$A$6092,[1]PlanCuentas!E$2:E$6092)</f>
        <v>0</v>
      </c>
      <c r="N453" s="12">
        <f>LOOKUP(407011200,[1]PlanCuentas!$A$2:$A$6092,[1]PlanCuentas!E$2:E$6092)</f>
        <v>0</v>
      </c>
      <c r="O453" s="12">
        <f>LOOKUP(407011300,[1]PlanCuentas!$A$2:$A$6092,[1]PlanCuentas!E$2:E$6092)</f>
        <v>46220000</v>
      </c>
      <c r="P453" s="13">
        <f t="shared" si="22"/>
        <v>73083647</v>
      </c>
    </row>
    <row r="454" spans="1:16" x14ac:dyDescent="0.2">
      <c r="A454" s="10">
        <v>4</v>
      </c>
      <c r="B454" s="11" t="str">
        <f>[1]Aseguradoras!B5</f>
        <v>Seguros Generales S. A (SEGESA)</v>
      </c>
      <c r="C454" s="12">
        <f>LOOKUP(407010100,[1]PlanCuentas!$A$2:$A$6092,[1]PlanCuentas!F$2:F$6092)</f>
        <v>0</v>
      </c>
      <c r="D454" s="12">
        <f>LOOKUP(407010200,[1]PlanCuentas!$A$2:$A$6092,[1]PlanCuentas!F$2:F$6092)</f>
        <v>6397273</v>
      </c>
      <c r="E454" s="12">
        <f>LOOKUP(407010300,[1]PlanCuentas!$A$2:$A$6092,[1]PlanCuentas!F$2:F$6092)</f>
        <v>0</v>
      </c>
      <c r="F454" s="12">
        <f>LOOKUP(407010400,[1]PlanCuentas!$A$2:$A$6092,[1]PlanCuentas!F$2:F$6092)</f>
        <v>61430001</v>
      </c>
      <c r="G454" s="12">
        <f>LOOKUP(407010500,[1]PlanCuentas!$A$2:$A$6092,[1]PlanCuentas!F$2:F$6092)</f>
        <v>0</v>
      </c>
      <c r="H454" s="12">
        <f>LOOKUP(407010600,[1]PlanCuentas!$A$2:$A$6092,[1]PlanCuentas!F$2:F$6092)</f>
        <v>0</v>
      </c>
      <c r="I454" s="12">
        <f>LOOKUP(407010700,[1]PlanCuentas!$A$2:$A$6092,[1]PlanCuentas!F$2:F$6092)</f>
        <v>0</v>
      </c>
      <c r="J454" s="12">
        <f>LOOKUP(407010800,[1]PlanCuentas!$A$2:$A$6092,[1]PlanCuentas!F$2:F$6092)</f>
        <v>0</v>
      </c>
      <c r="K454" s="12">
        <f>LOOKUP(407010900,[1]PlanCuentas!$A$2:$A$6092,[1]PlanCuentas!F$2:F$6092)</f>
        <v>0</v>
      </c>
      <c r="L454" s="12">
        <f>LOOKUP(407011000,[1]PlanCuentas!$A$2:$A$6092,[1]PlanCuentas!F$2:F$6092)</f>
        <v>0</v>
      </c>
      <c r="M454" s="12">
        <f>LOOKUP(407011100,[1]PlanCuentas!$A$2:$A$6092,[1]PlanCuentas!F$2:F$6092)</f>
        <v>0</v>
      </c>
      <c r="N454" s="12">
        <f>LOOKUP(407011200,[1]PlanCuentas!$A$2:$A$6092,[1]PlanCuentas!F$2:F$6092)</f>
        <v>0</v>
      </c>
      <c r="O454" s="12">
        <f>LOOKUP(407011300,[1]PlanCuentas!$A$2:$A$6092,[1]PlanCuentas!F$2:F$6092)</f>
        <v>0</v>
      </c>
      <c r="P454" s="13">
        <f t="shared" si="22"/>
        <v>67827274</v>
      </c>
    </row>
    <row r="455" spans="1:16" x14ac:dyDescent="0.2">
      <c r="A455" s="10">
        <v>5</v>
      </c>
      <c r="B455" s="11" t="str">
        <f>[1]Aseguradoras!B6</f>
        <v>Rumbos S.A de Seguros</v>
      </c>
      <c r="C455" s="12">
        <f>LOOKUP(407010100,[1]PlanCuentas!$A$2:$A$6092,[1]PlanCuentas!G$2:G$6092)</f>
        <v>166468063</v>
      </c>
      <c r="D455" s="12">
        <f>LOOKUP(407010200,[1]PlanCuentas!$A$2:$A$6092,[1]PlanCuentas!G$2:G$6092)</f>
        <v>643500</v>
      </c>
      <c r="E455" s="12">
        <f>LOOKUP(407010300,[1]PlanCuentas!$A$2:$A$6092,[1]PlanCuentas!G$2:G$6092)</f>
        <v>0</v>
      </c>
      <c r="F455" s="12">
        <f>LOOKUP(407010400,[1]PlanCuentas!$A$2:$A$6092,[1]PlanCuentas!G$2:G$6092)</f>
        <v>31917588</v>
      </c>
      <c r="G455" s="12">
        <f>LOOKUP(407010500,[1]PlanCuentas!$A$2:$A$6092,[1]PlanCuentas!G$2:G$6092)</f>
        <v>0</v>
      </c>
      <c r="H455" s="12">
        <f>LOOKUP(407010600,[1]PlanCuentas!$A$2:$A$6092,[1]PlanCuentas!G$2:G$6092)</f>
        <v>0</v>
      </c>
      <c r="I455" s="12">
        <f>LOOKUP(407010700,[1]PlanCuentas!$A$2:$A$6092,[1]PlanCuentas!G$2:G$6092)</f>
        <v>900000</v>
      </c>
      <c r="J455" s="12">
        <f>LOOKUP(407010800,[1]PlanCuentas!$A$2:$A$6092,[1]PlanCuentas!G$2:G$6092)</f>
        <v>0</v>
      </c>
      <c r="K455" s="12">
        <f>LOOKUP(407010900,[1]PlanCuentas!$A$2:$A$6092,[1]PlanCuentas!G$2:G$6092)</f>
        <v>0</v>
      </c>
      <c r="L455" s="12">
        <f>LOOKUP(407011000,[1]PlanCuentas!$A$2:$A$6092,[1]PlanCuentas!G$2:G$6092)</f>
        <v>0</v>
      </c>
      <c r="M455" s="12">
        <f>LOOKUP(407011100,[1]PlanCuentas!$A$2:$A$6092,[1]PlanCuentas!G$2:G$6092)</f>
        <v>0</v>
      </c>
      <c r="N455" s="12">
        <f>LOOKUP(407011200,[1]PlanCuentas!$A$2:$A$6092,[1]PlanCuentas!G$2:G$6092)</f>
        <v>0</v>
      </c>
      <c r="O455" s="12">
        <f>LOOKUP(407011300,[1]PlanCuentas!$A$2:$A$6092,[1]PlanCuentas!G$2:G$6092)</f>
        <v>180354547</v>
      </c>
      <c r="P455" s="13">
        <f t="shared" si="22"/>
        <v>380283698</v>
      </c>
    </row>
    <row r="456" spans="1:16" x14ac:dyDescent="0.2">
      <c r="A456" s="10">
        <v>6</v>
      </c>
      <c r="B456" s="11" t="str">
        <f>[1]Aseguradoras!B7</f>
        <v>La Consolidada S.A de Seguros</v>
      </c>
      <c r="C456" s="12">
        <f>LOOKUP(407010100,[1]PlanCuentas!$A$2:$A$6092,[1]PlanCuentas!H$2:H$6092)</f>
        <v>0</v>
      </c>
      <c r="D456" s="12">
        <f>LOOKUP(407010200,[1]PlanCuentas!$A$2:$A$6092,[1]PlanCuentas!H$2:H$6092)</f>
        <v>1000000</v>
      </c>
      <c r="E456" s="12">
        <f>LOOKUP(407010300,[1]PlanCuentas!$A$2:$A$6092,[1]PlanCuentas!H$2:H$6092)</f>
        <v>0</v>
      </c>
      <c r="F456" s="12">
        <f>LOOKUP(407010400,[1]PlanCuentas!$A$2:$A$6092,[1]PlanCuentas!H$2:H$6092)</f>
        <v>731569859</v>
      </c>
      <c r="G456" s="12">
        <f>LOOKUP(407010500,[1]PlanCuentas!$A$2:$A$6092,[1]PlanCuentas!H$2:H$6092)</f>
        <v>0</v>
      </c>
      <c r="H456" s="12">
        <f>LOOKUP(407010600,[1]PlanCuentas!$A$2:$A$6092,[1]PlanCuentas!H$2:H$6092)</f>
        <v>0</v>
      </c>
      <c r="I456" s="12">
        <f>LOOKUP(407010700,[1]PlanCuentas!$A$2:$A$6092,[1]PlanCuentas!H$2:H$6092)</f>
        <v>0</v>
      </c>
      <c r="J456" s="12">
        <f>LOOKUP(407010800,[1]PlanCuentas!$A$2:$A$6092,[1]PlanCuentas!H$2:H$6092)</f>
        <v>0</v>
      </c>
      <c r="K456" s="12">
        <f>LOOKUP(407010900,[1]PlanCuentas!$A$2:$A$6092,[1]PlanCuentas!H$2:H$6092)</f>
        <v>0</v>
      </c>
      <c r="L456" s="12">
        <f>LOOKUP(407011000,[1]PlanCuentas!$A$2:$A$6092,[1]PlanCuentas!H$2:H$6092)</f>
        <v>0</v>
      </c>
      <c r="M456" s="12">
        <f>LOOKUP(407011100,[1]PlanCuentas!$A$2:$A$6092,[1]PlanCuentas!H$2:H$6092)</f>
        <v>0</v>
      </c>
      <c r="N456" s="12">
        <f>LOOKUP(407011200,[1]PlanCuentas!$A$2:$A$6092,[1]PlanCuentas!H$2:H$6092)</f>
        <v>0</v>
      </c>
      <c r="O456" s="12">
        <f>LOOKUP(407011300,[1]PlanCuentas!$A$2:$A$6092,[1]PlanCuentas!H$2:H$6092)</f>
        <v>17691146</v>
      </c>
      <c r="P456" s="13">
        <f t="shared" si="22"/>
        <v>750261005</v>
      </c>
    </row>
    <row r="457" spans="1:16" x14ac:dyDescent="0.2">
      <c r="A457" s="10">
        <v>7</v>
      </c>
      <c r="B457" s="11" t="str">
        <f>[1]Aseguradoras!B8</f>
        <v>El Productor S.A de Seguros y Reaseguros</v>
      </c>
      <c r="C457" s="12">
        <f>LOOKUP(407010100,[1]PlanCuentas!$A$2:$A$6092,[1]PlanCuentas!I$2:I$6092)</f>
        <v>30942422</v>
      </c>
      <c r="D457" s="12">
        <f>LOOKUP(407010200,[1]PlanCuentas!$A$2:$A$6092,[1]PlanCuentas!I$2:I$6092)</f>
        <v>5760343</v>
      </c>
      <c r="E457" s="12">
        <f>LOOKUP(407010300,[1]PlanCuentas!$A$2:$A$6092,[1]PlanCuentas!I$2:I$6092)</f>
        <v>0</v>
      </c>
      <c r="F457" s="12">
        <f>LOOKUP(407010400,[1]PlanCuentas!$A$2:$A$6092,[1]PlanCuentas!I$2:I$6092)</f>
        <v>372577682</v>
      </c>
      <c r="G457" s="12">
        <f>LOOKUP(407010500,[1]PlanCuentas!$A$2:$A$6092,[1]PlanCuentas!I$2:I$6092)</f>
        <v>0</v>
      </c>
      <c r="H457" s="12">
        <f>LOOKUP(407010600,[1]PlanCuentas!$A$2:$A$6092,[1]PlanCuentas!I$2:I$6092)</f>
        <v>0</v>
      </c>
      <c r="I457" s="12">
        <f>LOOKUP(407010700,[1]PlanCuentas!$A$2:$A$6092,[1]PlanCuentas!I$2:I$6092)</f>
        <v>0</v>
      </c>
      <c r="J457" s="12">
        <f>LOOKUP(407010800,[1]PlanCuentas!$A$2:$A$6092,[1]PlanCuentas!I$2:I$6092)</f>
        <v>0</v>
      </c>
      <c r="K457" s="12">
        <f>LOOKUP(407010900,[1]PlanCuentas!$A$2:$A$6092,[1]PlanCuentas!I$2:I$6092)</f>
        <v>17943488</v>
      </c>
      <c r="L457" s="12">
        <f>LOOKUP(407011000,[1]PlanCuentas!$A$2:$A$6092,[1]PlanCuentas!I$2:I$6092)</f>
        <v>0</v>
      </c>
      <c r="M457" s="12">
        <f>LOOKUP(407011100,[1]PlanCuentas!$A$2:$A$6092,[1]PlanCuentas!I$2:I$6092)</f>
        <v>0</v>
      </c>
      <c r="N457" s="12">
        <f>LOOKUP(407011200,[1]PlanCuentas!$A$2:$A$6092,[1]PlanCuentas!I$2:I$6092)</f>
        <v>0</v>
      </c>
      <c r="O457" s="12">
        <f>LOOKUP(407011300,[1]PlanCuentas!$A$2:$A$6092,[1]PlanCuentas!I$2:I$6092)</f>
        <v>0</v>
      </c>
      <c r="P457" s="13">
        <f t="shared" si="22"/>
        <v>427223935</v>
      </c>
    </row>
    <row r="458" spans="1:16" x14ac:dyDescent="0.2">
      <c r="A458" s="10">
        <v>8</v>
      </c>
      <c r="B458" s="11" t="str">
        <f>[1]Aseguradoras!B9</f>
        <v>Atalaya S.A de Seguros Generales</v>
      </c>
      <c r="C458" s="12">
        <f>LOOKUP(407010100,[1]PlanCuentas!$A$2:$A$6092,[1]PlanCuentas!J$2:J$6092)</f>
        <v>4071332</v>
      </c>
      <c r="D458" s="12">
        <f>LOOKUP(407010200,[1]PlanCuentas!$A$2:$A$6092,[1]PlanCuentas!J$2:J$6092)</f>
        <v>0</v>
      </c>
      <c r="E458" s="12">
        <f>LOOKUP(407010300,[1]PlanCuentas!$A$2:$A$6092,[1]PlanCuentas!J$2:J$6092)</f>
        <v>0</v>
      </c>
      <c r="F458" s="12">
        <f>LOOKUP(407010400,[1]PlanCuentas!$A$2:$A$6092,[1]PlanCuentas!J$2:J$6092)</f>
        <v>19528104</v>
      </c>
      <c r="G458" s="12">
        <f>LOOKUP(407010500,[1]PlanCuentas!$A$2:$A$6092,[1]PlanCuentas!J$2:J$6092)</f>
        <v>0</v>
      </c>
      <c r="H458" s="12">
        <f>LOOKUP(407010600,[1]PlanCuentas!$A$2:$A$6092,[1]PlanCuentas!J$2:J$6092)</f>
        <v>0</v>
      </c>
      <c r="I458" s="12">
        <f>LOOKUP(407010700,[1]PlanCuentas!$A$2:$A$6092,[1]PlanCuentas!J$2:J$6092)</f>
        <v>0</v>
      </c>
      <c r="J458" s="12">
        <f>LOOKUP(407010800,[1]PlanCuentas!$A$2:$A$6092,[1]PlanCuentas!J$2:J$6092)</f>
        <v>0</v>
      </c>
      <c r="K458" s="12">
        <f>LOOKUP(407010900,[1]PlanCuentas!$A$2:$A$6092,[1]PlanCuentas!J$2:J$6092)</f>
        <v>0</v>
      </c>
      <c r="L458" s="12">
        <f>LOOKUP(407011000,[1]PlanCuentas!$A$2:$A$6092,[1]PlanCuentas!J$2:J$6092)</f>
        <v>0</v>
      </c>
      <c r="M458" s="12">
        <f>LOOKUP(407011100,[1]PlanCuentas!$A$2:$A$6092,[1]PlanCuentas!J$2:J$6092)</f>
        <v>0</v>
      </c>
      <c r="N458" s="12">
        <f>LOOKUP(407011200,[1]PlanCuentas!$A$2:$A$6092,[1]PlanCuentas!J$2:J$6092)</f>
        <v>0</v>
      </c>
      <c r="O458" s="12">
        <f>LOOKUP(407011300,[1]PlanCuentas!$A$2:$A$6092,[1]PlanCuentas!J$2:J$6092)</f>
        <v>600000</v>
      </c>
      <c r="P458" s="13">
        <f t="shared" si="22"/>
        <v>24199436</v>
      </c>
    </row>
    <row r="459" spans="1:16" x14ac:dyDescent="0.2">
      <c r="A459" s="10">
        <v>9</v>
      </c>
      <c r="B459" s="11" t="str">
        <f>[1]Aseguradoras!B10</f>
        <v>La Independencia de Seguros S.A.</v>
      </c>
      <c r="C459" s="12">
        <f>LOOKUP(407010100,[1]PlanCuentas!$A$2:$A$6092,[1]PlanCuentas!K$2:K$6092)</f>
        <v>0</v>
      </c>
      <c r="D459" s="12">
        <f>LOOKUP(407010200,[1]PlanCuentas!$A$2:$A$6092,[1]PlanCuentas!K$2:K$6092)</f>
        <v>0</v>
      </c>
      <c r="E459" s="12">
        <f>LOOKUP(407010300,[1]PlanCuentas!$A$2:$A$6092,[1]PlanCuentas!K$2:K$6092)</f>
        <v>0</v>
      </c>
      <c r="F459" s="12">
        <f>LOOKUP(407010400,[1]PlanCuentas!$A$2:$A$6092,[1]PlanCuentas!K$2:K$6092)</f>
        <v>26687682</v>
      </c>
      <c r="G459" s="12">
        <f>LOOKUP(407010500,[1]PlanCuentas!$A$2:$A$6092,[1]PlanCuentas!K$2:K$6092)</f>
        <v>0</v>
      </c>
      <c r="H459" s="12">
        <f>LOOKUP(407010600,[1]PlanCuentas!$A$2:$A$6092,[1]PlanCuentas!K$2:K$6092)</f>
        <v>0</v>
      </c>
      <c r="I459" s="12">
        <f>LOOKUP(407010700,[1]PlanCuentas!$A$2:$A$6092,[1]PlanCuentas!K$2:K$6092)</f>
        <v>0</v>
      </c>
      <c r="J459" s="12">
        <f>LOOKUP(407010800,[1]PlanCuentas!$A$2:$A$6092,[1]PlanCuentas!K$2:K$6092)</f>
        <v>0</v>
      </c>
      <c r="K459" s="12">
        <f>LOOKUP(407010900,[1]PlanCuentas!$A$2:$A$6092,[1]PlanCuentas!K$2:K$6092)</f>
        <v>0</v>
      </c>
      <c r="L459" s="12">
        <f>LOOKUP(407011000,[1]PlanCuentas!$A$2:$A$6092,[1]PlanCuentas!K$2:K$6092)</f>
        <v>0</v>
      </c>
      <c r="M459" s="12">
        <f>LOOKUP(407011100,[1]PlanCuentas!$A$2:$A$6092,[1]PlanCuentas!K$2:K$6092)</f>
        <v>0</v>
      </c>
      <c r="N459" s="12">
        <f>LOOKUP(407011200,[1]PlanCuentas!$A$2:$A$6092,[1]PlanCuentas!K$2:K$6092)</f>
        <v>0</v>
      </c>
      <c r="O459" s="12">
        <f>LOOKUP(407011300,[1]PlanCuentas!$A$2:$A$6092,[1]PlanCuentas!K$2:K$6092)</f>
        <v>0</v>
      </c>
      <c r="P459" s="13">
        <f t="shared" si="22"/>
        <v>26687682</v>
      </c>
    </row>
    <row r="460" spans="1:16" x14ac:dyDescent="0.2">
      <c r="A460" s="10">
        <v>10</v>
      </c>
      <c r="B460" s="11" t="str">
        <f>[1]Aseguradoras!B11</f>
        <v>Patria S.A de Seguros y Reaseguros</v>
      </c>
      <c r="C460" s="12">
        <f>LOOKUP(407010100,[1]PlanCuentas!$A$2:$A$6092,[1]PlanCuentas!L$2:L$6092)</f>
        <v>0</v>
      </c>
      <c r="D460" s="12">
        <f>LOOKUP(407010200,[1]PlanCuentas!$A$2:$A$6092,[1]PlanCuentas!L$2:L$6092)</f>
        <v>0</v>
      </c>
      <c r="E460" s="12">
        <f>LOOKUP(407010300,[1]PlanCuentas!$A$2:$A$6092,[1]PlanCuentas!L$2:L$6092)</f>
        <v>0</v>
      </c>
      <c r="F460" s="12">
        <f>LOOKUP(407010400,[1]PlanCuentas!$A$2:$A$6092,[1]PlanCuentas!L$2:L$6092)</f>
        <v>62000000</v>
      </c>
      <c r="G460" s="12">
        <f>LOOKUP(407010500,[1]PlanCuentas!$A$2:$A$6092,[1]PlanCuentas!L$2:L$6092)</f>
        <v>0</v>
      </c>
      <c r="H460" s="12">
        <f>LOOKUP(407010600,[1]PlanCuentas!$A$2:$A$6092,[1]PlanCuentas!L$2:L$6092)</f>
        <v>0</v>
      </c>
      <c r="I460" s="12">
        <f>LOOKUP(407010700,[1]PlanCuentas!$A$2:$A$6092,[1]PlanCuentas!L$2:L$6092)</f>
        <v>0</v>
      </c>
      <c r="J460" s="12">
        <f>LOOKUP(407010800,[1]PlanCuentas!$A$2:$A$6092,[1]PlanCuentas!L$2:L$6092)</f>
        <v>0</v>
      </c>
      <c r="K460" s="12">
        <f>LOOKUP(407010900,[1]PlanCuentas!$A$2:$A$6092,[1]PlanCuentas!L$2:L$6092)</f>
        <v>0</v>
      </c>
      <c r="L460" s="12">
        <f>LOOKUP(407011000,[1]PlanCuentas!$A$2:$A$6092,[1]PlanCuentas!L$2:L$6092)</f>
        <v>0</v>
      </c>
      <c r="M460" s="12">
        <f>LOOKUP(407011100,[1]PlanCuentas!$A$2:$A$6092,[1]PlanCuentas!L$2:L$6092)</f>
        <v>0</v>
      </c>
      <c r="N460" s="12">
        <f>LOOKUP(407011200,[1]PlanCuentas!$A$2:$A$6092,[1]PlanCuentas!L$2:L$6092)</f>
        <v>0</v>
      </c>
      <c r="O460" s="12">
        <f>LOOKUP(407011300,[1]PlanCuentas!$A$2:$A$6092,[1]PlanCuentas!L$2:L$6092)</f>
        <v>0</v>
      </c>
      <c r="P460" s="13">
        <f t="shared" si="22"/>
        <v>62000000</v>
      </c>
    </row>
    <row r="461" spans="1:16" x14ac:dyDescent="0.2">
      <c r="A461" s="10">
        <v>11</v>
      </c>
      <c r="B461" s="11" t="str">
        <f>[1]Aseguradoras!B12</f>
        <v>Garantía S.A de Seguros y Reaseguros</v>
      </c>
      <c r="C461" s="12">
        <f>LOOKUP(407010100,[1]PlanCuentas!$A$2:$A$6092,[1]PlanCuentas!M$2:M$6092)</f>
        <v>0</v>
      </c>
      <c r="D461" s="12">
        <f>LOOKUP(407010200,[1]PlanCuentas!$A$2:$A$6092,[1]PlanCuentas!M$2:M$6092)</f>
        <v>0</v>
      </c>
      <c r="E461" s="12">
        <f>LOOKUP(407010300,[1]PlanCuentas!$A$2:$A$6092,[1]PlanCuentas!M$2:M$6092)</f>
        <v>0</v>
      </c>
      <c r="F461" s="12">
        <f>LOOKUP(407010400,[1]PlanCuentas!$A$2:$A$6092,[1]PlanCuentas!M$2:M$6092)</f>
        <v>6369771</v>
      </c>
      <c r="G461" s="12">
        <f>LOOKUP(407010500,[1]PlanCuentas!$A$2:$A$6092,[1]PlanCuentas!M$2:M$6092)</f>
        <v>0</v>
      </c>
      <c r="H461" s="12">
        <f>LOOKUP(407010600,[1]PlanCuentas!$A$2:$A$6092,[1]PlanCuentas!M$2:M$6092)</f>
        <v>0</v>
      </c>
      <c r="I461" s="12">
        <f>LOOKUP(407010700,[1]PlanCuentas!$A$2:$A$6092,[1]PlanCuentas!M$2:M$6092)</f>
        <v>0</v>
      </c>
      <c r="J461" s="12">
        <f>LOOKUP(407010800,[1]PlanCuentas!$A$2:$A$6092,[1]PlanCuentas!M$2:M$6092)</f>
        <v>0</v>
      </c>
      <c r="K461" s="12">
        <f>LOOKUP(407010900,[1]PlanCuentas!$A$2:$A$6092,[1]PlanCuentas!M$2:M$6092)</f>
        <v>0</v>
      </c>
      <c r="L461" s="12">
        <f>LOOKUP(407011000,[1]PlanCuentas!$A$2:$A$6092,[1]PlanCuentas!M$2:M$6092)</f>
        <v>0</v>
      </c>
      <c r="M461" s="12">
        <f>LOOKUP(407011100,[1]PlanCuentas!$A$2:$A$6092,[1]PlanCuentas!M$2:M$6092)</f>
        <v>0</v>
      </c>
      <c r="N461" s="12">
        <f>LOOKUP(407011200,[1]PlanCuentas!$A$2:$A$6092,[1]PlanCuentas!M$2:M$6092)</f>
        <v>0</v>
      </c>
      <c r="O461" s="12">
        <f>LOOKUP(407011300,[1]PlanCuentas!$A$2:$A$6092,[1]PlanCuentas!M$2:M$6092)</f>
        <v>0</v>
      </c>
      <c r="P461" s="13">
        <f t="shared" si="22"/>
        <v>6369771</v>
      </c>
    </row>
    <row r="462" spans="1:16" x14ac:dyDescent="0.2">
      <c r="A462" s="10">
        <v>12</v>
      </c>
      <c r="B462" s="11" t="str">
        <f>[1]Aseguradoras!B13</f>
        <v>Aseguradora Paraguaya S.A.</v>
      </c>
      <c r="C462" s="12">
        <f>LOOKUP(407010100,[1]PlanCuentas!$A$2:$A$6092,[1]PlanCuentas!N$2:N$6092)</f>
        <v>2573550</v>
      </c>
      <c r="D462" s="12">
        <f>LOOKUP(407010200,[1]PlanCuentas!$A$2:$A$6092,[1]PlanCuentas!N$2:N$6092)</f>
        <v>5308760</v>
      </c>
      <c r="E462" s="12">
        <f>LOOKUP(407010300,[1]PlanCuentas!$A$2:$A$6092,[1]PlanCuentas!N$2:N$6092)</f>
        <v>0</v>
      </c>
      <c r="F462" s="12">
        <f>LOOKUP(407010400,[1]PlanCuentas!$A$2:$A$6092,[1]PlanCuentas!N$2:N$6092)</f>
        <v>323906314</v>
      </c>
      <c r="G462" s="12">
        <f>LOOKUP(407010500,[1]PlanCuentas!$A$2:$A$6092,[1]PlanCuentas!N$2:N$6092)</f>
        <v>0</v>
      </c>
      <c r="H462" s="12">
        <f>LOOKUP(407010600,[1]PlanCuentas!$A$2:$A$6092,[1]PlanCuentas!N$2:N$6092)</f>
        <v>0</v>
      </c>
      <c r="I462" s="12">
        <f>LOOKUP(407010700,[1]PlanCuentas!$A$2:$A$6092,[1]PlanCuentas!N$2:N$6092)</f>
        <v>0</v>
      </c>
      <c r="J462" s="12">
        <f>LOOKUP(407010800,[1]PlanCuentas!$A$2:$A$6092,[1]PlanCuentas!N$2:N$6092)</f>
        <v>0</v>
      </c>
      <c r="K462" s="12">
        <f>LOOKUP(407010900,[1]PlanCuentas!$A$2:$A$6092,[1]PlanCuentas!N$2:N$6092)</f>
        <v>0</v>
      </c>
      <c r="L462" s="12">
        <f>LOOKUP(407011000,[1]PlanCuentas!$A$2:$A$6092,[1]PlanCuentas!N$2:N$6092)</f>
        <v>0</v>
      </c>
      <c r="M462" s="12">
        <f>LOOKUP(407011100,[1]PlanCuentas!$A$2:$A$6092,[1]PlanCuentas!N$2:N$6092)</f>
        <v>0</v>
      </c>
      <c r="N462" s="12">
        <f>LOOKUP(407011200,[1]PlanCuentas!$A$2:$A$6092,[1]PlanCuentas!N$2:N$6092)</f>
        <v>0</v>
      </c>
      <c r="O462" s="12">
        <f>LOOKUP(407011300,[1]PlanCuentas!$A$2:$A$6092,[1]PlanCuentas!N$2:N$6092)</f>
        <v>6000000</v>
      </c>
      <c r="P462" s="13">
        <f t="shared" si="22"/>
        <v>337788624</v>
      </c>
    </row>
    <row r="463" spans="1:16" x14ac:dyDescent="0.2">
      <c r="A463" s="10">
        <v>13</v>
      </c>
      <c r="B463" s="11" t="str">
        <f>[1]Aseguradoras!B14</f>
        <v>Fénix S.A de Seguros y Reaseguros</v>
      </c>
      <c r="C463" s="12">
        <f>LOOKUP(407010100,[1]PlanCuentas!$A$2:$A$6092,[1]PlanCuentas!O$2:O$6092)</f>
        <v>19345454</v>
      </c>
      <c r="D463" s="12">
        <f>LOOKUP(407010200,[1]PlanCuentas!$A$2:$A$6092,[1]PlanCuentas!O$2:O$6092)</f>
        <v>0</v>
      </c>
      <c r="E463" s="12">
        <f>LOOKUP(407010300,[1]PlanCuentas!$A$2:$A$6092,[1]PlanCuentas!O$2:O$6092)</f>
        <v>0</v>
      </c>
      <c r="F463" s="12">
        <f>LOOKUP(407010400,[1]PlanCuentas!$A$2:$A$6092,[1]PlanCuentas!O$2:O$6092)</f>
        <v>49636364</v>
      </c>
      <c r="G463" s="12">
        <f>LOOKUP(407010500,[1]PlanCuentas!$A$2:$A$6092,[1]PlanCuentas!O$2:O$6092)</f>
        <v>0</v>
      </c>
      <c r="H463" s="12">
        <f>LOOKUP(407010600,[1]PlanCuentas!$A$2:$A$6092,[1]PlanCuentas!O$2:O$6092)</f>
        <v>0</v>
      </c>
      <c r="I463" s="12">
        <f>LOOKUP(407010700,[1]PlanCuentas!$A$2:$A$6092,[1]PlanCuentas!O$2:O$6092)</f>
        <v>0</v>
      </c>
      <c r="J463" s="12">
        <f>LOOKUP(407010800,[1]PlanCuentas!$A$2:$A$6092,[1]PlanCuentas!O$2:O$6092)</f>
        <v>0</v>
      </c>
      <c r="K463" s="12">
        <f>LOOKUP(407010900,[1]PlanCuentas!$A$2:$A$6092,[1]PlanCuentas!O$2:O$6092)</f>
        <v>0</v>
      </c>
      <c r="L463" s="12">
        <f>LOOKUP(407011000,[1]PlanCuentas!$A$2:$A$6092,[1]PlanCuentas!O$2:O$6092)</f>
        <v>0</v>
      </c>
      <c r="M463" s="12">
        <f>LOOKUP(407011100,[1]PlanCuentas!$A$2:$A$6092,[1]PlanCuentas!O$2:O$6092)</f>
        <v>0</v>
      </c>
      <c r="N463" s="12">
        <f>LOOKUP(407011200,[1]PlanCuentas!$A$2:$A$6092,[1]PlanCuentas!O$2:O$6092)</f>
        <v>0</v>
      </c>
      <c r="O463" s="12">
        <f>LOOKUP(407011300,[1]PlanCuentas!$A$2:$A$6092,[1]PlanCuentas!O$2:O$6092)</f>
        <v>0</v>
      </c>
      <c r="P463" s="13">
        <f t="shared" si="22"/>
        <v>68981818</v>
      </c>
    </row>
    <row r="464" spans="1:16" x14ac:dyDescent="0.2">
      <c r="A464" s="10">
        <v>14</v>
      </c>
      <c r="B464" s="11" t="str">
        <f>[1]Aseguradoras!B15</f>
        <v>Central S.A de Seguros</v>
      </c>
      <c r="C464" s="12">
        <f>LOOKUP(407010100,[1]PlanCuentas!$A$2:$A$6092,[1]PlanCuentas!P$2:P$6092)</f>
        <v>0</v>
      </c>
      <c r="D464" s="12">
        <f>LOOKUP(407010200,[1]PlanCuentas!$A$2:$A$6092,[1]PlanCuentas!P$2:P$6092)</f>
        <v>1309091</v>
      </c>
      <c r="E464" s="12">
        <f>LOOKUP(407010300,[1]PlanCuentas!$A$2:$A$6092,[1]PlanCuentas!P$2:P$6092)</f>
        <v>0</v>
      </c>
      <c r="F464" s="12">
        <f>LOOKUP(407010400,[1]PlanCuentas!$A$2:$A$6092,[1]PlanCuentas!P$2:P$6092)</f>
        <v>127620795</v>
      </c>
      <c r="G464" s="12">
        <f>LOOKUP(407010500,[1]PlanCuentas!$A$2:$A$6092,[1]PlanCuentas!P$2:P$6092)</f>
        <v>0</v>
      </c>
      <c r="H464" s="12">
        <f>LOOKUP(407010600,[1]PlanCuentas!$A$2:$A$6092,[1]PlanCuentas!P$2:P$6092)</f>
        <v>0</v>
      </c>
      <c r="I464" s="12">
        <f>LOOKUP(407010700,[1]PlanCuentas!$A$2:$A$6092,[1]PlanCuentas!P$2:P$6092)</f>
        <v>0</v>
      </c>
      <c r="J464" s="12">
        <f>LOOKUP(407010800,[1]PlanCuentas!$A$2:$A$6092,[1]PlanCuentas!P$2:P$6092)</f>
        <v>0</v>
      </c>
      <c r="K464" s="12">
        <f>LOOKUP(407010900,[1]PlanCuentas!$A$2:$A$6092,[1]PlanCuentas!P$2:P$6092)</f>
        <v>0</v>
      </c>
      <c r="L464" s="12">
        <f>LOOKUP(407011000,[1]PlanCuentas!$A$2:$A$6092,[1]PlanCuentas!P$2:P$6092)</f>
        <v>0</v>
      </c>
      <c r="M464" s="12">
        <f>LOOKUP(407011100,[1]PlanCuentas!$A$2:$A$6092,[1]PlanCuentas!P$2:P$6092)</f>
        <v>0</v>
      </c>
      <c r="N464" s="12">
        <f>LOOKUP(407011200,[1]PlanCuentas!$A$2:$A$6092,[1]PlanCuentas!P$2:P$6092)</f>
        <v>0</v>
      </c>
      <c r="O464" s="12">
        <f>LOOKUP(407011300,[1]PlanCuentas!$A$2:$A$6092,[1]PlanCuentas!P$2:P$6092)</f>
        <v>0</v>
      </c>
      <c r="P464" s="13">
        <f t="shared" si="22"/>
        <v>128929886</v>
      </c>
    </row>
    <row r="465" spans="1:16" x14ac:dyDescent="0.2">
      <c r="A465" s="10">
        <v>15</v>
      </c>
      <c r="B465" s="11" t="str">
        <f>[1]Aseguradoras!B16</f>
        <v>Seguros Chaco S.A de Seguros y Reaseguros</v>
      </c>
      <c r="C465" s="12">
        <f>LOOKUP(407010100,[1]PlanCuentas!$A$2:$A$6092,[1]PlanCuentas!Q$2:Q$6092)</f>
        <v>2249016</v>
      </c>
      <c r="D465" s="12">
        <f>LOOKUP(407010200,[1]PlanCuentas!$A$2:$A$6092,[1]PlanCuentas!Q$2:Q$6092)</f>
        <v>153760688</v>
      </c>
      <c r="E465" s="12">
        <f>LOOKUP(407010300,[1]PlanCuentas!$A$2:$A$6092,[1]PlanCuentas!Q$2:Q$6092)</f>
        <v>0</v>
      </c>
      <c r="F465" s="12">
        <f>LOOKUP(407010400,[1]PlanCuentas!$A$2:$A$6092,[1]PlanCuentas!Q$2:Q$6092)</f>
        <v>12990014</v>
      </c>
      <c r="G465" s="12">
        <f>LOOKUP(407010500,[1]PlanCuentas!$A$2:$A$6092,[1]PlanCuentas!Q$2:Q$6092)</f>
        <v>0</v>
      </c>
      <c r="H465" s="12">
        <f>LOOKUP(407010600,[1]PlanCuentas!$A$2:$A$6092,[1]PlanCuentas!Q$2:Q$6092)</f>
        <v>0</v>
      </c>
      <c r="I465" s="12">
        <f>LOOKUP(407010700,[1]PlanCuentas!$A$2:$A$6092,[1]PlanCuentas!Q$2:Q$6092)</f>
        <v>0</v>
      </c>
      <c r="J465" s="12">
        <f>LOOKUP(407010800,[1]PlanCuentas!$A$2:$A$6092,[1]PlanCuentas!Q$2:Q$6092)</f>
        <v>0</v>
      </c>
      <c r="K465" s="12">
        <f>LOOKUP(407010900,[1]PlanCuentas!$A$2:$A$6092,[1]PlanCuentas!Q$2:Q$6092)</f>
        <v>0</v>
      </c>
      <c r="L465" s="12">
        <f>LOOKUP(407011000,[1]PlanCuentas!$A$2:$A$6092,[1]PlanCuentas!Q$2:Q$6092)</f>
        <v>0</v>
      </c>
      <c r="M465" s="12">
        <f>LOOKUP(407011100,[1]PlanCuentas!$A$2:$A$6092,[1]PlanCuentas!Q$2:Q$6092)</f>
        <v>0</v>
      </c>
      <c r="N465" s="12">
        <f>LOOKUP(407011200,[1]PlanCuentas!$A$2:$A$6092,[1]PlanCuentas!Q$2:Q$6092)</f>
        <v>0</v>
      </c>
      <c r="O465" s="12">
        <f>LOOKUP(407011300,[1]PlanCuentas!$A$2:$A$6092,[1]PlanCuentas!Q$2:Q$6092)</f>
        <v>0</v>
      </c>
      <c r="P465" s="13">
        <f t="shared" si="22"/>
        <v>168999718</v>
      </c>
    </row>
    <row r="466" spans="1:16" x14ac:dyDescent="0.2">
      <c r="A466" s="10">
        <v>16</v>
      </c>
      <c r="B466" s="11" t="str">
        <f>[1]Aseguradoras!B17</f>
        <v>El Sol Del Paraguay Compañía de Seguros y Reaseguros S.A.</v>
      </c>
      <c r="C466" s="12">
        <f>LOOKUP(407010100,[1]PlanCuentas!$A$2:$A$6092,[1]PlanCuentas!R$2:R$6092)</f>
        <v>227173</v>
      </c>
      <c r="D466" s="12">
        <f>LOOKUP(407010200,[1]PlanCuentas!$A$2:$A$6092,[1]PlanCuentas!R$2:R$6092)</f>
        <v>0</v>
      </c>
      <c r="E466" s="12">
        <f>LOOKUP(407010300,[1]PlanCuentas!$A$2:$A$6092,[1]PlanCuentas!R$2:R$6092)</f>
        <v>0</v>
      </c>
      <c r="F466" s="12">
        <f>LOOKUP(407010400,[1]PlanCuentas!$A$2:$A$6092,[1]PlanCuentas!R$2:R$6092)</f>
        <v>263836135</v>
      </c>
      <c r="G466" s="12">
        <f>LOOKUP(407010500,[1]PlanCuentas!$A$2:$A$6092,[1]PlanCuentas!R$2:R$6092)</f>
        <v>0</v>
      </c>
      <c r="H466" s="12">
        <f>LOOKUP(407010600,[1]PlanCuentas!$A$2:$A$6092,[1]PlanCuentas!R$2:R$6092)</f>
        <v>43000000</v>
      </c>
      <c r="I466" s="12">
        <f>LOOKUP(407010700,[1]PlanCuentas!$A$2:$A$6092,[1]PlanCuentas!R$2:R$6092)</f>
        <v>0</v>
      </c>
      <c r="J466" s="12">
        <f>LOOKUP(407010800,[1]PlanCuentas!$A$2:$A$6092,[1]PlanCuentas!R$2:R$6092)</f>
        <v>0</v>
      </c>
      <c r="K466" s="12">
        <f>LOOKUP(407010900,[1]PlanCuentas!$A$2:$A$6092,[1]PlanCuentas!R$2:R$6092)</f>
        <v>14679213</v>
      </c>
      <c r="L466" s="12">
        <f>LOOKUP(407011000,[1]PlanCuentas!$A$2:$A$6092,[1]PlanCuentas!R$2:R$6092)</f>
        <v>0</v>
      </c>
      <c r="M466" s="12">
        <f>LOOKUP(407011100,[1]PlanCuentas!$A$2:$A$6092,[1]PlanCuentas!R$2:R$6092)</f>
        <v>0</v>
      </c>
      <c r="N466" s="12">
        <f>LOOKUP(407011200,[1]PlanCuentas!$A$2:$A$6092,[1]PlanCuentas!R$2:R$6092)</f>
        <v>0</v>
      </c>
      <c r="O466" s="12">
        <f>LOOKUP(407011300,[1]PlanCuentas!$A$2:$A$6092,[1]PlanCuentas!R$2:R$6092)</f>
        <v>0</v>
      </c>
      <c r="P466" s="13">
        <f t="shared" si="22"/>
        <v>321742521</v>
      </c>
    </row>
    <row r="467" spans="1:16" x14ac:dyDescent="0.2">
      <c r="A467" s="10">
        <v>17</v>
      </c>
      <c r="B467" s="11" t="str">
        <f>[1]Aseguradoras!B18</f>
        <v>Intercontinental de Seguros y Reaseguros S.A.</v>
      </c>
      <c r="C467" s="12">
        <f>LOOKUP(407010100,[1]PlanCuentas!$A$2:$A$6092,[1]PlanCuentas!S$2:S$6092)</f>
        <v>0</v>
      </c>
      <c r="D467" s="12">
        <f>LOOKUP(407010200,[1]PlanCuentas!$A$2:$A$6092,[1]PlanCuentas!S$2:S$6092)</f>
        <v>0</v>
      </c>
      <c r="E467" s="12">
        <f>LOOKUP(407010300,[1]PlanCuentas!$A$2:$A$6092,[1]PlanCuentas!S$2:S$6092)</f>
        <v>0</v>
      </c>
      <c r="F467" s="12">
        <f>LOOKUP(407010400,[1]PlanCuentas!$A$2:$A$6092,[1]PlanCuentas!S$2:S$6092)</f>
        <v>45065325</v>
      </c>
      <c r="G467" s="12">
        <f>LOOKUP(407010500,[1]PlanCuentas!$A$2:$A$6092,[1]PlanCuentas!S$2:S$6092)</f>
        <v>0</v>
      </c>
      <c r="H467" s="12">
        <f>LOOKUP(407010600,[1]PlanCuentas!$A$2:$A$6092,[1]PlanCuentas!S$2:S$6092)</f>
        <v>0</v>
      </c>
      <c r="I467" s="12">
        <f>LOOKUP(407010700,[1]PlanCuentas!$A$2:$A$6092,[1]PlanCuentas!S$2:S$6092)</f>
        <v>0</v>
      </c>
      <c r="J467" s="12">
        <f>LOOKUP(407010800,[1]PlanCuentas!$A$2:$A$6092,[1]PlanCuentas!S$2:S$6092)</f>
        <v>0</v>
      </c>
      <c r="K467" s="12">
        <f>LOOKUP(407010900,[1]PlanCuentas!$A$2:$A$6092,[1]PlanCuentas!S$2:S$6092)</f>
        <v>0</v>
      </c>
      <c r="L467" s="12">
        <f>LOOKUP(407011000,[1]PlanCuentas!$A$2:$A$6092,[1]PlanCuentas!S$2:S$6092)</f>
        <v>0</v>
      </c>
      <c r="M467" s="12">
        <f>LOOKUP(407011100,[1]PlanCuentas!$A$2:$A$6092,[1]PlanCuentas!S$2:S$6092)</f>
        <v>0</v>
      </c>
      <c r="N467" s="12">
        <f>LOOKUP(407011200,[1]PlanCuentas!$A$2:$A$6092,[1]PlanCuentas!S$2:S$6092)</f>
        <v>0</v>
      </c>
      <c r="O467" s="12">
        <f>LOOKUP(407011300,[1]PlanCuentas!$A$2:$A$6092,[1]PlanCuentas!S$2:S$6092)</f>
        <v>0</v>
      </c>
      <c r="P467" s="13">
        <f t="shared" si="22"/>
        <v>45065325</v>
      </c>
    </row>
    <row r="468" spans="1:16" x14ac:dyDescent="0.2">
      <c r="A468" s="10">
        <v>18</v>
      </c>
      <c r="B468" s="11" t="str">
        <f>[1]Aseguradoras!B19</f>
        <v>Seguridad S.A Compañía de Seguros</v>
      </c>
      <c r="C468" s="12">
        <f>LOOKUP(407010100,[1]PlanCuentas!$A$2:$A$6092,[1]PlanCuentas!T$2:T$6092)</f>
        <v>0</v>
      </c>
      <c r="D468" s="12">
        <f>LOOKUP(407010200,[1]PlanCuentas!$A$2:$A$6092,[1]PlanCuentas!T$2:T$6092)</f>
        <v>0</v>
      </c>
      <c r="E468" s="12">
        <f>LOOKUP(407010300,[1]PlanCuentas!$A$2:$A$6092,[1]PlanCuentas!T$2:T$6092)</f>
        <v>98182</v>
      </c>
      <c r="F468" s="12">
        <f>LOOKUP(407010400,[1]PlanCuentas!$A$2:$A$6092,[1]PlanCuentas!T$2:T$6092)</f>
        <v>277128925</v>
      </c>
      <c r="G468" s="12">
        <f>LOOKUP(407010500,[1]PlanCuentas!$A$2:$A$6092,[1]PlanCuentas!T$2:T$6092)</f>
        <v>0</v>
      </c>
      <c r="H468" s="12">
        <f>LOOKUP(407010600,[1]PlanCuentas!$A$2:$A$6092,[1]PlanCuentas!T$2:T$6092)</f>
        <v>0</v>
      </c>
      <c r="I468" s="12">
        <f>LOOKUP(407010700,[1]PlanCuentas!$A$2:$A$6092,[1]PlanCuentas!T$2:T$6092)</f>
        <v>0</v>
      </c>
      <c r="J468" s="12">
        <f>LOOKUP(407010800,[1]PlanCuentas!$A$2:$A$6092,[1]PlanCuentas!T$2:T$6092)</f>
        <v>0</v>
      </c>
      <c r="K468" s="12">
        <f>LOOKUP(407010900,[1]PlanCuentas!$A$2:$A$6092,[1]PlanCuentas!T$2:T$6092)</f>
        <v>0</v>
      </c>
      <c r="L468" s="12">
        <f>LOOKUP(407011000,[1]PlanCuentas!$A$2:$A$6092,[1]PlanCuentas!T$2:T$6092)</f>
        <v>0</v>
      </c>
      <c r="M468" s="12">
        <f>LOOKUP(407011100,[1]PlanCuentas!$A$2:$A$6092,[1]PlanCuentas!T$2:T$6092)</f>
        <v>0</v>
      </c>
      <c r="N468" s="12">
        <f>LOOKUP(407011200,[1]PlanCuentas!$A$2:$A$6092,[1]PlanCuentas!T$2:T$6092)</f>
        <v>0</v>
      </c>
      <c r="O468" s="12">
        <f>LOOKUP(407011300,[1]PlanCuentas!$A$2:$A$6092,[1]PlanCuentas!T$2:T$6092)</f>
        <v>30000000</v>
      </c>
      <c r="P468" s="13">
        <f t="shared" si="22"/>
        <v>307227107</v>
      </c>
    </row>
    <row r="469" spans="1:16" x14ac:dyDescent="0.2">
      <c r="A469" s="10">
        <v>19</v>
      </c>
      <c r="B469" s="11" t="str">
        <f>[1]Aseguradoras!B20</f>
        <v>Universo de Seguros y Reaseguros S.A.</v>
      </c>
      <c r="C469" s="12">
        <f>LOOKUP(407010100,[1]PlanCuentas!$A$2:$A$6092,[1]PlanCuentas!U$2:U$6092)</f>
        <v>0</v>
      </c>
      <c r="D469" s="12">
        <f>LOOKUP(407010200,[1]PlanCuentas!$A$2:$A$6092,[1]PlanCuentas!U$2:U$6092)</f>
        <v>0</v>
      </c>
      <c r="E469" s="12">
        <f>LOOKUP(407010300,[1]PlanCuentas!$A$2:$A$6092,[1]PlanCuentas!U$2:U$6092)</f>
        <v>0</v>
      </c>
      <c r="F469" s="12">
        <f>LOOKUP(407010400,[1]PlanCuentas!$A$2:$A$6092,[1]PlanCuentas!U$2:U$6092)</f>
        <v>0</v>
      </c>
      <c r="G469" s="12">
        <f>LOOKUP(407010500,[1]PlanCuentas!$A$2:$A$6092,[1]PlanCuentas!U$2:U$6092)</f>
        <v>0</v>
      </c>
      <c r="H469" s="12">
        <f>LOOKUP(407010600,[1]PlanCuentas!$A$2:$A$6092,[1]PlanCuentas!U$2:U$6092)</f>
        <v>0</v>
      </c>
      <c r="I469" s="12">
        <f>LOOKUP(407010700,[1]PlanCuentas!$A$2:$A$6092,[1]PlanCuentas!U$2:U$6092)</f>
        <v>0</v>
      </c>
      <c r="J469" s="12">
        <f>LOOKUP(407010800,[1]PlanCuentas!$A$2:$A$6092,[1]PlanCuentas!U$2:U$6092)</f>
        <v>0</v>
      </c>
      <c r="K469" s="12">
        <f>LOOKUP(407010900,[1]PlanCuentas!$A$2:$A$6092,[1]PlanCuentas!U$2:U$6092)</f>
        <v>0</v>
      </c>
      <c r="L469" s="12">
        <f>LOOKUP(407011000,[1]PlanCuentas!$A$2:$A$6092,[1]PlanCuentas!U$2:U$6092)</f>
        <v>0</v>
      </c>
      <c r="M469" s="12">
        <f>LOOKUP(407011100,[1]PlanCuentas!$A$2:$A$6092,[1]PlanCuentas!U$2:U$6092)</f>
        <v>0</v>
      </c>
      <c r="N469" s="12">
        <f>LOOKUP(407011200,[1]PlanCuentas!$A$2:$A$6092,[1]PlanCuentas!U$2:U$6092)</f>
        <v>0</v>
      </c>
      <c r="O469" s="12">
        <f>LOOKUP(407011300,[1]PlanCuentas!$A$2:$A$6092,[1]PlanCuentas!U$2:U$6092)</f>
        <v>0</v>
      </c>
      <c r="P469" s="13">
        <f t="shared" si="22"/>
        <v>0</v>
      </c>
    </row>
    <row r="470" spans="1:16" x14ac:dyDescent="0.2">
      <c r="A470" s="10">
        <v>20</v>
      </c>
      <c r="B470" s="11" t="str">
        <f>[1]Aseguradoras!B21</f>
        <v>Aseguradora Yacyreta S.A de Seguros y Reaseguros</v>
      </c>
      <c r="C470" s="12">
        <f>LOOKUP(407010100,[1]PlanCuentas!$A$2:$A$6092,[1]PlanCuentas!V$2:V$6092)</f>
        <v>0</v>
      </c>
      <c r="D470" s="12">
        <f>LOOKUP(407010200,[1]PlanCuentas!$A$2:$A$6092,[1]PlanCuentas!V$2:V$6092)</f>
        <v>98057138</v>
      </c>
      <c r="E470" s="12">
        <f>LOOKUP(407010300,[1]PlanCuentas!$A$2:$A$6092,[1]PlanCuentas!V$2:V$6092)</f>
        <v>0</v>
      </c>
      <c r="F470" s="12">
        <f>LOOKUP(407010400,[1]PlanCuentas!$A$2:$A$6092,[1]PlanCuentas!V$2:V$6092)</f>
        <v>98892285</v>
      </c>
      <c r="G470" s="12">
        <f>LOOKUP(407010500,[1]PlanCuentas!$A$2:$A$6092,[1]PlanCuentas!V$2:V$6092)</f>
        <v>0</v>
      </c>
      <c r="H470" s="12">
        <f>LOOKUP(407010600,[1]PlanCuentas!$A$2:$A$6092,[1]PlanCuentas!V$2:V$6092)</f>
        <v>0</v>
      </c>
      <c r="I470" s="12">
        <f>LOOKUP(407010700,[1]PlanCuentas!$A$2:$A$6092,[1]PlanCuentas!V$2:V$6092)</f>
        <v>0</v>
      </c>
      <c r="J470" s="12">
        <f>LOOKUP(407010800,[1]PlanCuentas!$A$2:$A$6092,[1]PlanCuentas!V$2:V$6092)</f>
        <v>0</v>
      </c>
      <c r="K470" s="12">
        <f>LOOKUP(407010900,[1]PlanCuentas!$A$2:$A$6092,[1]PlanCuentas!V$2:V$6092)</f>
        <v>1000000</v>
      </c>
      <c r="L470" s="12">
        <f>LOOKUP(407011000,[1]PlanCuentas!$A$2:$A$6092,[1]PlanCuentas!V$2:V$6092)</f>
        <v>270000</v>
      </c>
      <c r="M470" s="12">
        <f>LOOKUP(407011100,[1]PlanCuentas!$A$2:$A$6092,[1]PlanCuentas!V$2:V$6092)</f>
        <v>0</v>
      </c>
      <c r="N470" s="12">
        <f>LOOKUP(407011200,[1]PlanCuentas!$A$2:$A$6092,[1]PlanCuentas!V$2:V$6092)</f>
        <v>0</v>
      </c>
      <c r="O470" s="12">
        <f>LOOKUP(407011300,[1]PlanCuentas!$A$2:$A$6092,[1]PlanCuentas!V$2:V$6092)</f>
        <v>0</v>
      </c>
      <c r="P470" s="13">
        <f t="shared" si="22"/>
        <v>198219423</v>
      </c>
    </row>
    <row r="471" spans="1:16" x14ac:dyDescent="0.2">
      <c r="A471" s="10">
        <v>21</v>
      </c>
      <c r="B471" s="11" t="str">
        <f>[1]Aseguradoras!B22</f>
        <v>La Agricola S.A de Seguros y Reaseguros</v>
      </c>
      <c r="C471" s="12">
        <f>LOOKUP(407010100,[1]PlanCuentas!$A$2:$A$6092,[1]PlanCuentas!W$2:W$6092)</f>
        <v>0</v>
      </c>
      <c r="D471" s="12">
        <f>LOOKUP(407010200,[1]PlanCuentas!$A$2:$A$6092,[1]PlanCuentas!W$2:W$6092)</f>
        <v>0</v>
      </c>
      <c r="E471" s="12">
        <f>LOOKUP(407010300,[1]PlanCuentas!$A$2:$A$6092,[1]PlanCuentas!W$2:W$6092)</f>
        <v>0</v>
      </c>
      <c r="F471" s="12">
        <f>LOOKUP(407010400,[1]PlanCuentas!$A$2:$A$6092,[1]PlanCuentas!W$2:W$6092)</f>
        <v>394329379</v>
      </c>
      <c r="G471" s="12">
        <f>LOOKUP(407010500,[1]PlanCuentas!$A$2:$A$6092,[1]PlanCuentas!W$2:W$6092)</f>
        <v>0</v>
      </c>
      <c r="H471" s="12">
        <f>LOOKUP(407010600,[1]PlanCuentas!$A$2:$A$6092,[1]PlanCuentas!W$2:W$6092)</f>
        <v>0</v>
      </c>
      <c r="I471" s="12">
        <f>LOOKUP(407010700,[1]PlanCuentas!$A$2:$A$6092,[1]PlanCuentas!W$2:W$6092)</f>
        <v>0</v>
      </c>
      <c r="J471" s="12">
        <f>LOOKUP(407010800,[1]PlanCuentas!$A$2:$A$6092,[1]PlanCuentas!W$2:W$6092)</f>
        <v>0</v>
      </c>
      <c r="K471" s="12">
        <f>LOOKUP(407010900,[1]PlanCuentas!$A$2:$A$6092,[1]PlanCuentas!W$2:W$6092)</f>
        <v>0</v>
      </c>
      <c r="L471" s="12">
        <f>LOOKUP(407011000,[1]PlanCuentas!$A$2:$A$6092,[1]PlanCuentas!W$2:W$6092)</f>
        <v>181818</v>
      </c>
      <c r="M471" s="12">
        <f>LOOKUP(407011100,[1]PlanCuentas!$A$2:$A$6092,[1]PlanCuentas!W$2:W$6092)</f>
        <v>0</v>
      </c>
      <c r="N471" s="12">
        <f>LOOKUP(407011200,[1]PlanCuentas!$A$2:$A$6092,[1]PlanCuentas!W$2:W$6092)</f>
        <v>0</v>
      </c>
      <c r="O471" s="12">
        <f>LOOKUP(407011300,[1]PlanCuentas!$A$2:$A$6092,[1]PlanCuentas!W$2:W$6092)</f>
        <v>0</v>
      </c>
      <c r="P471" s="13">
        <f t="shared" si="22"/>
        <v>394511197</v>
      </c>
    </row>
    <row r="472" spans="1:16" x14ac:dyDescent="0.2">
      <c r="A472" s="10">
        <v>22</v>
      </c>
      <c r="B472" s="11" t="str">
        <f>[1]Aseguradoras!B23</f>
        <v>Grupo General de Seguros y Reaseguros S.A.</v>
      </c>
      <c r="C472" s="12">
        <f>LOOKUP(407010100,[1]PlanCuentas!$A$2:$A$6092,[1]PlanCuentas!X$2:X$6092)</f>
        <v>7100000</v>
      </c>
      <c r="D472" s="12">
        <f>LOOKUP(407010200,[1]PlanCuentas!$A$2:$A$6092,[1]PlanCuentas!X$2:X$6092)</f>
        <v>280000</v>
      </c>
      <c r="E472" s="12">
        <f>LOOKUP(407010300,[1]PlanCuentas!$A$2:$A$6092,[1]PlanCuentas!X$2:X$6092)</f>
        <v>0</v>
      </c>
      <c r="F472" s="12">
        <f>LOOKUP(407010400,[1]PlanCuentas!$A$2:$A$6092,[1]PlanCuentas!X$2:X$6092)</f>
        <v>235000062</v>
      </c>
      <c r="G472" s="12">
        <f>LOOKUP(407010500,[1]PlanCuentas!$A$2:$A$6092,[1]PlanCuentas!X$2:X$6092)</f>
        <v>0</v>
      </c>
      <c r="H472" s="12">
        <f>LOOKUP(407010600,[1]PlanCuentas!$A$2:$A$6092,[1]PlanCuentas!X$2:X$6092)</f>
        <v>0</v>
      </c>
      <c r="I472" s="12">
        <f>LOOKUP(407010700,[1]PlanCuentas!$A$2:$A$6092,[1]PlanCuentas!X$2:X$6092)</f>
        <v>0</v>
      </c>
      <c r="J472" s="12">
        <f>LOOKUP(407010800,[1]PlanCuentas!$A$2:$A$6092,[1]PlanCuentas!X$2:X$6092)</f>
        <v>0</v>
      </c>
      <c r="K472" s="12">
        <f>LOOKUP(407010900,[1]PlanCuentas!$A$2:$A$6092,[1]PlanCuentas!X$2:X$6092)</f>
        <v>0</v>
      </c>
      <c r="L472" s="12">
        <f>LOOKUP(407011000,[1]PlanCuentas!$A$2:$A$6092,[1]PlanCuentas!X$2:X$6092)</f>
        <v>0</v>
      </c>
      <c r="M472" s="12">
        <f>LOOKUP(407011100,[1]PlanCuentas!$A$2:$A$6092,[1]PlanCuentas!X$2:X$6092)</f>
        <v>0</v>
      </c>
      <c r="N472" s="12">
        <f>LOOKUP(407011200,[1]PlanCuentas!$A$2:$A$6092,[1]PlanCuentas!X$2:X$6092)</f>
        <v>0</v>
      </c>
      <c r="O472" s="12">
        <f>LOOKUP(407011300,[1]PlanCuentas!$A$2:$A$6092,[1]PlanCuentas!X$2:X$6092)</f>
        <v>0</v>
      </c>
      <c r="P472" s="13">
        <f t="shared" si="22"/>
        <v>242380062</v>
      </c>
    </row>
    <row r="473" spans="1:16" x14ac:dyDescent="0.2">
      <c r="A473" s="10">
        <v>23</v>
      </c>
      <c r="B473" s="11" t="str">
        <f>[1]Aseguradoras!B24</f>
        <v>Alfa S.A de Seguros y Reaseguros</v>
      </c>
      <c r="C473" s="12">
        <f>LOOKUP(407010100,[1]PlanCuentas!$A$2:$A$6092,[1]PlanCuentas!Y$2:Y$6092)</f>
        <v>0</v>
      </c>
      <c r="D473" s="12">
        <f>LOOKUP(407010200,[1]PlanCuentas!$A$2:$A$6092,[1]PlanCuentas!Y$2:Y$6092)</f>
        <v>0</v>
      </c>
      <c r="E473" s="12">
        <f>LOOKUP(407010300,[1]PlanCuentas!$A$2:$A$6092,[1]PlanCuentas!Y$2:Y$6092)</f>
        <v>0</v>
      </c>
      <c r="F473" s="12">
        <f>LOOKUP(407010400,[1]PlanCuentas!$A$2:$A$6092,[1]PlanCuentas!Y$2:Y$6092)</f>
        <v>37576324</v>
      </c>
      <c r="G473" s="12">
        <f>LOOKUP(407010500,[1]PlanCuentas!$A$2:$A$6092,[1]PlanCuentas!Y$2:Y$6092)</f>
        <v>0</v>
      </c>
      <c r="H473" s="12">
        <f>LOOKUP(407010600,[1]PlanCuentas!$A$2:$A$6092,[1]PlanCuentas!Y$2:Y$6092)</f>
        <v>0</v>
      </c>
      <c r="I473" s="12">
        <f>LOOKUP(407010700,[1]PlanCuentas!$A$2:$A$6092,[1]PlanCuentas!Y$2:Y$6092)</f>
        <v>0</v>
      </c>
      <c r="J473" s="12">
        <f>LOOKUP(407010800,[1]PlanCuentas!$A$2:$A$6092,[1]PlanCuentas!Y$2:Y$6092)</f>
        <v>0</v>
      </c>
      <c r="K473" s="12">
        <f>LOOKUP(407010900,[1]PlanCuentas!$A$2:$A$6092,[1]PlanCuentas!Y$2:Y$6092)</f>
        <v>0</v>
      </c>
      <c r="L473" s="12">
        <f>LOOKUP(407011000,[1]PlanCuentas!$A$2:$A$6092,[1]PlanCuentas!Y$2:Y$6092)</f>
        <v>0</v>
      </c>
      <c r="M473" s="12">
        <f>LOOKUP(407011100,[1]PlanCuentas!$A$2:$A$6092,[1]PlanCuentas!Y$2:Y$6092)</f>
        <v>0</v>
      </c>
      <c r="N473" s="12">
        <f>LOOKUP(407011200,[1]PlanCuentas!$A$2:$A$6092,[1]PlanCuentas!Y$2:Y$6092)</f>
        <v>0</v>
      </c>
      <c r="O473" s="12">
        <f>LOOKUP(407011300,[1]PlanCuentas!$A$2:$A$6092,[1]PlanCuentas!Y$2:Y$6092)</f>
        <v>0</v>
      </c>
      <c r="P473" s="13">
        <f t="shared" si="22"/>
        <v>37576324</v>
      </c>
    </row>
    <row r="474" spans="1:16" x14ac:dyDescent="0.2">
      <c r="A474" s="10">
        <v>24</v>
      </c>
      <c r="B474" s="11" t="str">
        <f>[1]Aseguradoras!B25</f>
        <v>Cenit de Seguros S.A.</v>
      </c>
      <c r="C474" s="12">
        <f>LOOKUP(407010100,[1]PlanCuentas!$A$2:$A$6092,[1]PlanCuentas!Z$2:Z$6092)</f>
        <v>15480527</v>
      </c>
      <c r="D474" s="12">
        <f>LOOKUP(407010200,[1]PlanCuentas!$A$2:$A$6092,[1]PlanCuentas!Z$2:Z$6092)</f>
        <v>0</v>
      </c>
      <c r="E474" s="12">
        <f>LOOKUP(407010300,[1]PlanCuentas!$A$2:$A$6092,[1]PlanCuentas!Z$2:Z$6092)</f>
        <v>0</v>
      </c>
      <c r="F474" s="12">
        <f>LOOKUP(407010400,[1]PlanCuentas!$A$2:$A$6092,[1]PlanCuentas!Z$2:Z$6092)</f>
        <v>48924140</v>
      </c>
      <c r="G474" s="12">
        <f>LOOKUP(407010500,[1]PlanCuentas!$A$2:$A$6092,[1]PlanCuentas!Z$2:Z$6092)</f>
        <v>0</v>
      </c>
      <c r="H474" s="12">
        <f>LOOKUP(407010600,[1]PlanCuentas!$A$2:$A$6092,[1]PlanCuentas!Z$2:Z$6092)</f>
        <v>0</v>
      </c>
      <c r="I474" s="12">
        <f>LOOKUP(407010700,[1]PlanCuentas!$A$2:$A$6092,[1]PlanCuentas!Z$2:Z$6092)</f>
        <v>0</v>
      </c>
      <c r="J474" s="12">
        <f>LOOKUP(407010800,[1]PlanCuentas!$A$2:$A$6092,[1]PlanCuentas!Z$2:Z$6092)</f>
        <v>0</v>
      </c>
      <c r="K474" s="12">
        <f>LOOKUP(407010900,[1]PlanCuentas!$A$2:$A$6092,[1]PlanCuentas!Z$2:Z$6092)</f>
        <v>0</v>
      </c>
      <c r="L474" s="12">
        <f>LOOKUP(407011000,[1]PlanCuentas!$A$2:$A$6092,[1]PlanCuentas!Z$2:Z$6092)</f>
        <v>0</v>
      </c>
      <c r="M474" s="12">
        <f>LOOKUP(407011100,[1]PlanCuentas!$A$2:$A$6092,[1]PlanCuentas!Z$2:Z$6092)</f>
        <v>0</v>
      </c>
      <c r="N474" s="12">
        <f>LOOKUP(407011200,[1]PlanCuentas!$A$2:$A$6092,[1]PlanCuentas!Z$2:Z$6092)</f>
        <v>0</v>
      </c>
      <c r="O474" s="12">
        <f>LOOKUP(407011300,[1]PlanCuentas!$A$2:$A$6092,[1]PlanCuentas!Z$2:Z$6092)</f>
        <v>0</v>
      </c>
      <c r="P474" s="13">
        <f t="shared" si="22"/>
        <v>64404667</v>
      </c>
    </row>
    <row r="475" spans="1:16" x14ac:dyDescent="0.2">
      <c r="A475" s="10">
        <v>25</v>
      </c>
      <c r="B475" s="11" t="str">
        <f>[1]Aseguradoras!B26</f>
        <v>La Meridional Paraguaya S.A de Seguros</v>
      </c>
      <c r="C475" s="12">
        <f>LOOKUP(407010100,[1]PlanCuentas!$A$2:$A$6092,[1]PlanCuentas!AA$2:AA$6092)</f>
        <v>0</v>
      </c>
      <c r="D475" s="12">
        <f>LOOKUP(407010200,[1]PlanCuentas!$A$2:$A$6092,[1]PlanCuentas!AA$2:AA$6092)</f>
        <v>0</v>
      </c>
      <c r="E475" s="12">
        <f>LOOKUP(407010300,[1]PlanCuentas!$A$2:$A$6092,[1]PlanCuentas!AA$2:AA$6092)</f>
        <v>2000000</v>
      </c>
      <c r="F475" s="12">
        <f>LOOKUP(407010400,[1]PlanCuentas!$A$2:$A$6092,[1]PlanCuentas!AA$2:AA$6092)</f>
        <v>78257442</v>
      </c>
      <c r="G475" s="12">
        <f>LOOKUP(407010500,[1]PlanCuentas!$A$2:$A$6092,[1]PlanCuentas!AA$2:AA$6092)</f>
        <v>0</v>
      </c>
      <c r="H475" s="12">
        <f>LOOKUP(407010600,[1]PlanCuentas!$A$2:$A$6092,[1]PlanCuentas!AA$2:AA$6092)</f>
        <v>0</v>
      </c>
      <c r="I475" s="12">
        <f>LOOKUP(407010700,[1]PlanCuentas!$A$2:$A$6092,[1]PlanCuentas!AA$2:AA$6092)</f>
        <v>0</v>
      </c>
      <c r="J475" s="12">
        <f>LOOKUP(407010800,[1]PlanCuentas!$A$2:$A$6092,[1]PlanCuentas!AA$2:AA$6092)</f>
        <v>0</v>
      </c>
      <c r="K475" s="12">
        <f>LOOKUP(407010900,[1]PlanCuentas!$A$2:$A$6092,[1]PlanCuentas!AA$2:AA$6092)</f>
        <v>0</v>
      </c>
      <c r="L475" s="12">
        <f>LOOKUP(407011000,[1]PlanCuentas!$A$2:$A$6092,[1]PlanCuentas!AA$2:AA$6092)</f>
        <v>0</v>
      </c>
      <c r="M475" s="12">
        <f>LOOKUP(407011100,[1]PlanCuentas!$A$2:$A$6092,[1]PlanCuentas!AA$2:AA$6092)</f>
        <v>0</v>
      </c>
      <c r="N475" s="12">
        <f>LOOKUP(407011200,[1]PlanCuentas!$A$2:$A$6092,[1]PlanCuentas!AA$2:AA$6092)</f>
        <v>0</v>
      </c>
      <c r="O475" s="12">
        <f>LOOKUP(407011300,[1]PlanCuentas!$A$2:$A$6092,[1]PlanCuentas!AA$2:AA$6092)</f>
        <v>0</v>
      </c>
      <c r="P475" s="13">
        <f t="shared" si="22"/>
        <v>80257442</v>
      </c>
    </row>
    <row r="476" spans="1:16" x14ac:dyDescent="0.2">
      <c r="A476" s="10">
        <v>26</v>
      </c>
      <c r="B476" s="11" t="str">
        <f>[1]Aseguradoras!B27</f>
        <v>Aseguradora Del Este S.A de Seguros y Reaseguros</v>
      </c>
      <c r="C476" s="12">
        <f>LOOKUP(407010100,[1]PlanCuentas!$A$2:$A$6092,[1]PlanCuentas!AB$2:AB$6092)</f>
        <v>750000</v>
      </c>
      <c r="D476" s="12">
        <f>LOOKUP(407010200,[1]PlanCuentas!$A$2:$A$6092,[1]PlanCuentas!AB$2:AB$6092)</f>
        <v>123353500</v>
      </c>
      <c r="E476" s="12">
        <f>LOOKUP(407010300,[1]PlanCuentas!$A$2:$A$6092,[1]PlanCuentas!AB$2:AB$6092)</f>
        <v>0</v>
      </c>
      <c r="F476" s="12">
        <f>LOOKUP(407010400,[1]PlanCuentas!$A$2:$A$6092,[1]PlanCuentas!AB$2:AB$6092)</f>
        <v>403375222</v>
      </c>
      <c r="G476" s="12">
        <f>LOOKUP(407010500,[1]PlanCuentas!$A$2:$A$6092,[1]PlanCuentas!AB$2:AB$6092)</f>
        <v>0</v>
      </c>
      <c r="H476" s="12">
        <f>LOOKUP(407010600,[1]PlanCuentas!$A$2:$A$6092,[1]PlanCuentas!AB$2:AB$6092)</f>
        <v>600000</v>
      </c>
      <c r="I476" s="12">
        <f>LOOKUP(407010700,[1]PlanCuentas!$A$2:$A$6092,[1]PlanCuentas!AB$2:AB$6092)</f>
        <v>0</v>
      </c>
      <c r="J476" s="12">
        <f>LOOKUP(407010800,[1]PlanCuentas!$A$2:$A$6092,[1]PlanCuentas!AB$2:AB$6092)</f>
        <v>0</v>
      </c>
      <c r="K476" s="12">
        <f>LOOKUP(407010900,[1]PlanCuentas!$A$2:$A$6092,[1]PlanCuentas!AB$2:AB$6092)</f>
        <v>7276364</v>
      </c>
      <c r="L476" s="12">
        <f>LOOKUP(407011000,[1]PlanCuentas!$A$2:$A$6092,[1]PlanCuentas!AB$2:AB$6092)</f>
        <v>0</v>
      </c>
      <c r="M476" s="12">
        <f>LOOKUP(407011100,[1]PlanCuentas!$A$2:$A$6092,[1]PlanCuentas!AB$2:AB$6092)</f>
        <v>0</v>
      </c>
      <c r="N476" s="12">
        <f>LOOKUP(407011200,[1]PlanCuentas!$A$2:$A$6092,[1]PlanCuentas!AB$2:AB$6092)</f>
        <v>0</v>
      </c>
      <c r="O476" s="12">
        <f>LOOKUP(407011300,[1]PlanCuentas!$A$2:$A$6092,[1]PlanCuentas!AB$2:AB$6092)</f>
        <v>0</v>
      </c>
      <c r="P476" s="12">
        <f t="shared" si="22"/>
        <v>535355086</v>
      </c>
    </row>
    <row r="477" spans="1:16" x14ac:dyDescent="0.2">
      <c r="A477" s="10">
        <v>27</v>
      </c>
      <c r="B477" s="11" t="str">
        <f>[1]Aseguradoras!B28</f>
        <v>Imperio S.A de Seguros y Reaseguros</v>
      </c>
      <c r="C477" s="12">
        <f>LOOKUP(407010100,[1]PlanCuentas!$A$2:$A$6092,[1]PlanCuentas!AC$2:AC$6092)</f>
        <v>0</v>
      </c>
      <c r="D477" s="12">
        <f>LOOKUP(407010200,[1]PlanCuentas!$A$2:$A$6092,[1]PlanCuentas!AC$2:AC$6092)</f>
        <v>0</v>
      </c>
      <c r="E477" s="12">
        <f>LOOKUP(407010300,[1]PlanCuentas!$A$2:$A$6092,[1]PlanCuentas!AC$2:AC$6092)</f>
        <v>0</v>
      </c>
      <c r="F477" s="12">
        <f>LOOKUP(407010400,[1]PlanCuentas!$A$2:$A$6092,[1]PlanCuentas!AC$2:AC$6092)</f>
        <v>8271073</v>
      </c>
      <c r="G477" s="12">
        <f>LOOKUP(407010500,[1]PlanCuentas!$A$2:$A$6092,[1]PlanCuentas!AC$2:AC$6092)</f>
        <v>0</v>
      </c>
      <c r="H477" s="12">
        <f>LOOKUP(407010600,[1]PlanCuentas!$A$2:$A$6092,[1]PlanCuentas!AC$2:AC$6092)</f>
        <v>0</v>
      </c>
      <c r="I477" s="12">
        <f>LOOKUP(407010700,[1]PlanCuentas!$A$2:$A$6092,[1]PlanCuentas!AC$2:AC$6092)</f>
        <v>0</v>
      </c>
      <c r="J477" s="12">
        <f>LOOKUP(407010800,[1]PlanCuentas!$A$2:$A$6092,[1]PlanCuentas!AC$2:AC$6092)</f>
        <v>0</v>
      </c>
      <c r="K477" s="12">
        <f>LOOKUP(407010900,[1]PlanCuentas!$A$2:$A$6092,[1]PlanCuentas!AC$2:AC$6092)</f>
        <v>0</v>
      </c>
      <c r="L477" s="12">
        <f>LOOKUP(407011000,[1]PlanCuentas!$A$2:$A$6092,[1]PlanCuentas!AC$2:AC$6092)</f>
        <v>0</v>
      </c>
      <c r="M477" s="12">
        <f>LOOKUP(407011100,[1]PlanCuentas!$A$2:$A$6092,[1]PlanCuentas!AC$2:AC$6092)</f>
        <v>0</v>
      </c>
      <c r="N477" s="12">
        <f>LOOKUP(407011200,[1]PlanCuentas!$A$2:$A$6092,[1]PlanCuentas!AC$2:AC$6092)</f>
        <v>0</v>
      </c>
      <c r="O477" s="12">
        <f>LOOKUP(407011300,[1]PlanCuentas!$A$2:$A$6092,[1]PlanCuentas!AC$2:AC$6092)</f>
        <v>19545455</v>
      </c>
      <c r="P477" s="13">
        <f t="shared" si="22"/>
        <v>27816528</v>
      </c>
    </row>
    <row r="478" spans="1:16" x14ac:dyDescent="0.2">
      <c r="A478" s="10">
        <v>28</v>
      </c>
      <c r="B478" s="11" t="str">
        <f>[1]Aseguradoras!B29</f>
        <v>Regional S.A de Seguros y Reaseguros</v>
      </c>
      <c r="C478" s="12">
        <f>LOOKUP(407010100,[1]PlanCuentas!$A$2:$A$6092,[1]PlanCuentas!AD$2:AD$6092)</f>
        <v>0</v>
      </c>
      <c r="D478" s="12">
        <f>LOOKUP(407010200,[1]PlanCuentas!$A$2:$A$6092,[1]PlanCuentas!AD$2:AD$6092)</f>
        <v>0</v>
      </c>
      <c r="E478" s="12">
        <f>LOOKUP(407010300,[1]PlanCuentas!$A$2:$A$6092,[1]PlanCuentas!AD$2:AD$6092)</f>
        <v>0</v>
      </c>
      <c r="F478" s="12">
        <f>LOOKUP(407010400,[1]PlanCuentas!$A$2:$A$6092,[1]PlanCuentas!AD$2:AD$6092)</f>
        <v>336899482</v>
      </c>
      <c r="G478" s="12">
        <f>LOOKUP(407010500,[1]PlanCuentas!$A$2:$A$6092,[1]PlanCuentas!AD$2:AD$6092)</f>
        <v>0</v>
      </c>
      <c r="H478" s="12">
        <f>LOOKUP(407010600,[1]PlanCuentas!$A$2:$A$6092,[1]PlanCuentas!AD$2:AD$6092)</f>
        <v>0</v>
      </c>
      <c r="I478" s="12">
        <f>LOOKUP(407010700,[1]PlanCuentas!$A$2:$A$6092,[1]PlanCuentas!AD$2:AD$6092)</f>
        <v>0</v>
      </c>
      <c r="J478" s="12">
        <f>LOOKUP(407010800,[1]PlanCuentas!$A$2:$A$6092,[1]PlanCuentas!AD$2:AD$6092)</f>
        <v>0</v>
      </c>
      <c r="K478" s="12">
        <f>LOOKUP(407010900,[1]PlanCuentas!$A$2:$A$6092,[1]PlanCuentas!AD$2:AD$6092)</f>
        <v>272727</v>
      </c>
      <c r="L478" s="12">
        <f>LOOKUP(407011000,[1]PlanCuentas!$A$2:$A$6092,[1]PlanCuentas!AD$2:AD$6092)</f>
        <v>0</v>
      </c>
      <c r="M478" s="12">
        <f>LOOKUP(407011100,[1]PlanCuentas!$A$2:$A$6092,[1]PlanCuentas!AD$2:AD$6092)</f>
        <v>0</v>
      </c>
      <c r="N478" s="12">
        <f>LOOKUP(407011200,[1]PlanCuentas!$A$2:$A$6092,[1]PlanCuentas!AD$2:AD$6092)</f>
        <v>0</v>
      </c>
      <c r="O478" s="12">
        <f>LOOKUP(407011300,[1]PlanCuentas!$A$2:$A$6092,[1]PlanCuentas!AD$2:AD$6092)</f>
        <v>399458476</v>
      </c>
      <c r="P478" s="13">
        <f t="shared" si="22"/>
        <v>736630685</v>
      </c>
    </row>
    <row r="479" spans="1:16" x14ac:dyDescent="0.2">
      <c r="A479" s="10">
        <v>29</v>
      </c>
      <c r="B479" s="11" t="str">
        <f>[1]Aseguradoras!B30</f>
        <v>Mapfre Paraguay Compañía de Seguros S.A.</v>
      </c>
      <c r="C479" s="12">
        <f>LOOKUP(407010100,[1]PlanCuentas!$A$2:$A$6092,[1]PlanCuentas!AE$2:AE$6092)</f>
        <v>3725357884</v>
      </c>
      <c r="D479" s="12">
        <f>LOOKUP(407010200,[1]PlanCuentas!$A$2:$A$6092,[1]PlanCuentas!AE$2:AE$6092)</f>
        <v>0</v>
      </c>
      <c r="E479" s="12">
        <f>LOOKUP(407010300,[1]PlanCuentas!$A$2:$A$6092,[1]PlanCuentas!AE$2:AE$6092)</f>
        <v>0</v>
      </c>
      <c r="F479" s="12">
        <f>LOOKUP(407010400,[1]PlanCuentas!$A$2:$A$6092,[1]PlanCuentas!AE$2:AE$6092)</f>
        <v>1562790376</v>
      </c>
      <c r="G479" s="12">
        <f>LOOKUP(407010500,[1]PlanCuentas!$A$2:$A$6092,[1]PlanCuentas!AE$2:AE$6092)</f>
        <v>0</v>
      </c>
      <c r="H479" s="12">
        <f>LOOKUP(407010600,[1]PlanCuentas!$A$2:$A$6092,[1]PlanCuentas!AE$2:AE$6092)</f>
        <v>0</v>
      </c>
      <c r="I479" s="12">
        <f>LOOKUP(407010700,[1]PlanCuentas!$A$2:$A$6092,[1]PlanCuentas!AE$2:AE$6092)</f>
        <v>0</v>
      </c>
      <c r="J479" s="12">
        <f>LOOKUP(407010800,[1]PlanCuentas!$A$2:$A$6092,[1]PlanCuentas!AE$2:AE$6092)</f>
        <v>0</v>
      </c>
      <c r="K479" s="12">
        <f>LOOKUP(407010900,[1]PlanCuentas!$A$2:$A$6092,[1]PlanCuentas!AE$2:AE$6092)</f>
        <v>0</v>
      </c>
      <c r="L479" s="12">
        <f>LOOKUP(407011000,[1]PlanCuentas!$A$2:$A$6092,[1]PlanCuentas!AE$2:AE$6092)</f>
        <v>1000800</v>
      </c>
      <c r="M479" s="12">
        <f>LOOKUP(407011100,[1]PlanCuentas!$A$2:$A$6092,[1]PlanCuentas!AE$2:AE$6092)</f>
        <v>0</v>
      </c>
      <c r="N479" s="12">
        <f>LOOKUP(407011200,[1]PlanCuentas!$A$2:$A$6092,[1]PlanCuentas!AE$2:AE$6092)</f>
        <v>71472365</v>
      </c>
      <c r="O479" s="12">
        <f>LOOKUP(407011300,[1]PlanCuentas!$A$2:$A$6092,[1]PlanCuentas!AE$2:AE$6092)</f>
        <v>0</v>
      </c>
      <c r="P479" s="13">
        <f t="shared" si="22"/>
        <v>5360621425</v>
      </c>
    </row>
    <row r="480" spans="1:16" x14ac:dyDescent="0.2">
      <c r="A480" s="10">
        <v>30</v>
      </c>
      <c r="B480" s="11" t="str">
        <f>[1]Aseguradoras!B31</f>
        <v>Aseguradora Tajy Propiedad Cooperativa S.A. de Seguros</v>
      </c>
      <c r="C480" s="12">
        <f>LOOKUP(407010100,[1]PlanCuentas!$A$2:$A$6092,[1]PlanCuentas!AF$2:AF$6092)</f>
        <v>15240545</v>
      </c>
      <c r="D480" s="12">
        <f>LOOKUP(407010200,[1]PlanCuentas!$A$2:$A$6092,[1]PlanCuentas!AF$2:AF$6092)</f>
        <v>0</v>
      </c>
      <c r="E480" s="12">
        <f>LOOKUP(407010300,[1]PlanCuentas!$A$2:$A$6092,[1]PlanCuentas!AF$2:AF$6092)</f>
        <v>0</v>
      </c>
      <c r="F480" s="12">
        <f>LOOKUP(407010400,[1]PlanCuentas!$A$2:$A$6092,[1]PlanCuentas!AF$2:AF$6092)</f>
        <v>137806182</v>
      </c>
      <c r="G480" s="12">
        <f>LOOKUP(407010500,[1]PlanCuentas!$A$2:$A$6092,[1]PlanCuentas!AF$2:AF$6092)</f>
        <v>0</v>
      </c>
      <c r="H480" s="12">
        <f>LOOKUP(407010600,[1]PlanCuentas!$A$2:$A$6092,[1]PlanCuentas!AF$2:AF$6092)</f>
        <v>0</v>
      </c>
      <c r="I480" s="12">
        <f>LOOKUP(407010700,[1]PlanCuentas!$A$2:$A$6092,[1]PlanCuentas!AF$2:AF$6092)</f>
        <v>0</v>
      </c>
      <c r="J480" s="12">
        <f>LOOKUP(407010800,[1]PlanCuentas!$A$2:$A$6092,[1]PlanCuentas!AF$2:AF$6092)</f>
        <v>0</v>
      </c>
      <c r="K480" s="12">
        <f>LOOKUP(407010900,[1]PlanCuentas!$A$2:$A$6092,[1]PlanCuentas!AF$2:AF$6092)</f>
        <v>147677800</v>
      </c>
      <c r="L480" s="12">
        <f>LOOKUP(407011000,[1]PlanCuentas!$A$2:$A$6092,[1]PlanCuentas!AF$2:AF$6092)</f>
        <v>0</v>
      </c>
      <c r="M480" s="12">
        <f>LOOKUP(407011100,[1]PlanCuentas!$A$2:$A$6092,[1]PlanCuentas!AF$2:AF$6092)</f>
        <v>0</v>
      </c>
      <c r="N480" s="12">
        <f>LOOKUP(407011200,[1]PlanCuentas!$A$2:$A$6092,[1]PlanCuentas!AF$2:AF$6092)</f>
        <v>0</v>
      </c>
      <c r="O480" s="12">
        <f>LOOKUP(407011300,[1]PlanCuentas!$A$2:$A$6092,[1]PlanCuentas!AF$2:AF$6092)</f>
        <v>200000</v>
      </c>
      <c r="P480" s="13">
        <f t="shared" si="22"/>
        <v>300924527</v>
      </c>
    </row>
    <row r="481" spans="1:17" x14ac:dyDescent="0.2">
      <c r="A481" s="10">
        <v>31</v>
      </c>
      <c r="B481" s="11" t="str">
        <f>[1]Aseguradoras!B32</f>
        <v>Aseguradora del Sur S.A. Seguros Generales - ASUR</v>
      </c>
      <c r="C481" s="12">
        <f>LOOKUP(407010100,[1]PlanCuentas!$A$2:$A$6092,[1]PlanCuentas!AG$2:AG$6092)</f>
        <v>0</v>
      </c>
      <c r="D481" s="12">
        <f>LOOKUP(407010200,[1]PlanCuentas!$A$2:$A$6092,[1]PlanCuentas!AG$2:AG$6092)</f>
        <v>10561320</v>
      </c>
      <c r="E481" s="12">
        <f>LOOKUP(407010300,[1]PlanCuentas!$A$2:$A$6092,[1]PlanCuentas!AG$2:AG$6092)</f>
        <v>0</v>
      </c>
      <c r="F481" s="12">
        <f>LOOKUP(407010400,[1]PlanCuentas!$A$2:$A$6092,[1]PlanCuentas!AG$2:AG$6092)</f>
        <v>320641475</v>
      </c>
      <c r="G481" s="12">
        <f>LOOKUP(407010500,[1]PlanCuentas!$A$2:$A$6092,[1]PlanCuentas!AG$2:AG$6092)</f>
        <v>0</v>
      </c>
      <c r="H481" s="12">
        <f>LOOKUP(407010600,[1]PlanCuentas!$A$2:$A$6092,[1]PlanCuentas!AG$2:AG$6092)</f>
        <v>0</v>
      </c>
      <c r="I481" s="12">
        <f>LOOKUP(407010700,[1]PlanCuentas!$A$2:$A$6092,[1]PlanCuentas!AG$2:AG$6092)</f>
        <v>0</v>
      </c>
      <c r="J481" s="12">
        <f>LOOKUP(407010800,[1]PlanCuentas!$A$2:$A$6092,[1]PlanCuentas!AG$2:AG$6092)</f>
        <v>0</v>
      </c>
      <c r="K481" s="12">
        <f>LOOKUP(407010900,[1]PlanCuentas!$A$2:$A$6092,[1]PlanCuentas!AG$2:AG$6092)</f>
        <v>0</v>
      </c>
      <c r="L481" s="12">
        <f>LOOKUP(407011000,[1]PlanCuentas!$A$2:$A$6092,[1]PlanCuentas!AG$2:AG$6092)</f>
        <v>0</v>
      </c>
      <c r="M481" s="12">
        <f>LOOKUP(407011100,[1]PlanCuentas!$A$2:$A$6092,[1]PlanCuentas!AG$2:AG$6092)</f>
        <v>0</v>
      </c>
      <c r="N481" s="12">
        <f>LOOKUP(407011200,[1]PlanCuentas!$A$2:$A$6092,[1]PlanCuentas!AG$2:AG$6092)</f>
        <v>0</v>
      </c>
      <c r="O481" s="12">
        <f>LOOKUP(407011300,[1]PlanCuentas!$A$2:$A$6092,[1]PlanCuentas!AG$2:AG$6092)</f>
        <v>0</v>
      </c>
      <c r="P481" s="13">
        <f t="shared" si="22"/>
        <v>331202795</v>
      </c>
    </row>
    <row r="482" spans="1:17" x14ac:dyDescent="0.2">
      <c r="A482" s="10">
        <v>32</v>
      </c>
      <c r="B482" s="11" t="str">
        <f>[1]Aseguradoras!B33</f>
        <v>Panal Compañía De Seguros Generales S.A.</v>
      </c>
      <c r="C482" s="12">
        <f>LOOKUP(407010100,[1]PlanCuentas!$A$2:$A$6092,[1]PlanCuentas!AH$2:AH$6092)</f>
        <v>0</v>
      </c>
      <c r="D482" s="12">
        <f>LOOKUP(407010200,[1]PlanCuentas!$A$2:$A$6092,[1]PlanCuentas!AH$2:AH$6092)</f>
        <v>0</v>
      </c>
      <c r="E482" s="12">
        <f>LOOKUP(407010300,[1]PlanCuentas!$A$2:$A$6092,[1]PlanCuentas!AH$2:AH$6092)</f>
        <v>0</v>
      </c>
      <c r="F482" s="12">
        <f>LOOKUP(407010400,[1]PlanCuentas!$A$2:$A$6092,[1]PlanCuentas!AH$2:AH$6092)</f>
        <v>462805913</v>
      </c>
      <c r="G482" s="12">
        <f>LOOKUP(407010500,[1]PlanCuentas!$A$2:$A$6092,[1]PlanCuentas!AH$2:AH$6092)</f>
        <v>0</v>
      </c>
      <c r="H482" s="12">
        <f>LOOKUP(407010600,[1]PlanCuentas!$A$2:$A$6092,[1]PlanCuentas!AH$2:AH$6092)</f>
        <v>0</v>
      </c>
      <c r="I482" s="12">
        <f>LOOKUP(407010700,[1]PlanCuentas!$A$2:$A$6092,[1]PlanCuentas!AH$2:AH$6092)</f>
        <v>0</v>
      </c>
      <c r="J482" s="12">
        <f>LOOKUP(407010800,[1]PlanCuentas!$A$2:$A$6092,[1]PlanCuentas!AH$2:AH$6092)</f>
        <v>0</v>
      </c>
      <c r="K482" s="12">
        <f>LOOKUP(407010900,[1]PlanCuentas!$A$2:$A$6092,[1]PlanCuentas!AH$2:AH$6092)</f>
        <v>0</v>
      </c>
      <c r="L482" s="12">
        <f>LOOKUP(407011000,[1]PlanCuentas!$A$2:$A$6092,[1]PlanCuentas!AH$2:AH$6092)</f>
        <v>0</v>
      </c>
      <c r="M482" s="12">
        <f>LOOKUP(407011100,[1]PlanCuentas!$A$2:$A$6092,[1]PlanCuentas!AH$2:AH$6092)</f>
        <v>0</v>
      </c>
      <c r="N482" s="12">
        <f>LOOKUP(407011200,[1]PlanCuentas!$A$2:$A$6092,[1]PlanCuentas!AH$2:AH$6092)</f>
        <v>0</v>
      </c>
      <c r="O482" s="12">
        <f>LOOKUP(407011300,[1]PlanCuentas!$A$2:$A$6092,[1]PlanCuentas!AH$2:AH$6092)</f>
        <v>0</v>
      </c>
      <c r="P482" s="13">
        <f>SUM(C482:O482)</f>
        <v>462805913</v>
      </c>
    </row>
    <row r="483" spans="1:17" x14ac:dyDescent="0.2">
      <c r="A483" s="10">
        <v>33</v>
      </c>
      <c r="B483" s="11" t="str">
        <f>[1]Aseguradoras!B34</f>
        <v>Sancor Seguros del Paraguay S.A.</v>
      </c>
      <c r="C483" s="12">
        <f>LOOKUP(407010100,[1]PlanCuentas!$A$2:$A$6092,[1]PlanCuentas!AI$2:AI$6092)</f>
        <v>0</v>
      </c>
      <c r="D483" s="12">
        <f>LOOKUP(407010200,[1]PlanCuentas!$A$2:$A$6092,[1]PlanCuentas!AI$2:AI$6092)</f>
        <v>0</v>
      </c>
      <c r="E483" s="12">
        <f>LOOKUP(407010300,[1]PlanCuentas!$A$2:$A$6092,[1]PlanCuentas!AI$2:AI$6092)</f>
        <v>0</v>
      </c>
      <c r="F483" s="12">
        <f>LOOKUP(407010400,[1]PlanCuentas!$A$2:$A$6092,[1]PlanCuentas!AI$2:AI$6092)</f>
        <v>0</v>
      </c>
      <c r="G483" s="12">
        <f>LOOKUP(407010500,[1]PlanCuentas!$A$2:$A$6092,[1]PlanCuentas!AI$2:AI$6092)</f>
        <v>0</v>
      </c>
      <c r="H483" s="12">
        <f>LOOKUP(407010600,[1]PlanCuentas!$A$2:$A$6092,[1]PlanCuentas!AI$2:AI$6092)</f>
        <v>0</v>
      </c>
      <c r="I483" s="12">
        <f>LOOKUP(407010700,[1]PlanCuentas!$A$2:$A$6092,[1]PlanCuentas!AI$2:AI$6092)</f>
        <v>0</v>
      </c>
      <c r="J483" s="12">
        <f>LOOKUP(407010800,[1]PlanCuentas!$A$2:$A$6092,[1]PlanCuentas!AI$2:AI$6092)</f>
        <v>0</v>
      </c>
      <c r="K483" s="12">
        <f>LOOKUP(407010900,[1]PlanCuentas!$A$2:$A$6092,[1]PlanCuentas!AI$2:AI$6092)</f>
        <v>0</v>
      </c>
      <c r="L483" s="12">
        <f>LOOKUP(407011000,[1]PlanCuentas!$A$2:$A$6092,[1]PlanCuentas!AI$2:AI$6092)</f>
        <v>0</v>
      </c>
      <c r="M483" s="12">
        <f>LOOKUP(407011100,[1]PlanCuentas!$A$2:$A$6092,[1]PlanCuentas!AI$2:AI$6092)</f>
        <v>0</v>
      </c>
      <c r="N483" s="12">
        <f>LOOKUP(407011200,[1]PlanCuentas!$A$2:$A$6092,[1]PlanCuentas!AI$2:AI$6092)</f>
        <v>0</v>
      </c>
      <c r="O483" s="12">
        <f>LOOKUP(407011300,[1]PlanCuentas!$A$2:$A$6092,[1]PlanCuentas!AI$2:AI$6092)</f>
        <v>0</v>
      </c>
      <c r="P483" s="13">
        <f>SUM(C483:O483)</f>
        <v>0</v>
      </c>
    </row>
    <row r="484" spans="1:17" x14ac:dyDescent="0.2">
      <c r="A484" s="14"/>
      <c r="B484" s="15" t="s">
        <v>18</v>
      </c>
      <c r="C484" s="17">
        <f t="shared" ref="C484:P484" si="23">SUBTOTAL(109,C451:C483)</f>
        <v>3998896875</v>
      </c>
      <c r="D484" s="17">
        <f t="shared" si="23"/>
        <v>406431613</v>
      </c>
      <c r="E484" s="17">
        <f t="shared" si="23"/>
        <v>2098182</v>
      </c>
      <c r="F484" s="17">
        <f t="shared" si="23"/>
        <v>6849344868</v>
      </c>
      <c r="G484" s="17">
        <f t="shared" si="23"/>
        <v>0</v>
      </c>
      <c r="H484" s="17">
        <f t="shared" si="23"/>
        <v>50180000</v>
      </c>
      <c r="I484" s="17">
        <f t="shared" si="23"/>
        <v>900000</v>
      </c>
      <c r="J484" s="17">
        <f t="shared" si="23"/>
        <v>0</v>
      </c>
      <c r="K484" s="17">
        <f t="shared" si="23"/>
        <v>192349592</v>
      </c>
      <c r="L484" s="17">
        <f t="shared" si="23"/>
        <v>1452618</v>
      </c>
      <c r="M484" s="17">
        <f t="shared" si="23"/>
        <v>0</v>
      </c>
      <c r="N484" s="17">
        <f t="shared" si="23"/>
        <v>71472365</v>
      </c>
      <c r="O484" s="17">
        <f t="shared" si="23"/>
        <v>739016082</v>
      </c>
      <c r="P484" s="17">
        <f t="shared" si="23"/>
        <v>12312142195</v>
      </c>
    </row>
    <row r="485" spans="1:17" x14ac:dyDescent="0.2"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</row>
    <row r="486" spans="1:17" ht="28.35" customHeight="1" x14ac:dyDescent="0.2">
      <c r="A486" s="1" t="s">
        <v>38</v>
      </c>
      <c r="B486" s="47" t="s">
        <v>39</v>
      </c>
      <c r="C486" s="47"/>
      <c r="D486" s="2"/>
      <c r="E486" s="3"/>
      <c r="F486" s="4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</row>
    <row r="487" spans="1:17" ht="24" x14ac:dyDescent="0.2">
      <c r="A487" s="7" t="s">
        <v>2</v>
      </c>
      <c r="B487" s="8" t="s">
        <v>3</v>
      </c>
      <c r="C487" s="9" t="s">
        <v>4</v>
      </c>
      <c r="D487" s="9" t="s">
        <v>5</v>
      </c>
      <c r="E487" s="9" t="s">
        <v>6</v>
      </c>
      <c r="F487" s="36" t="s">
        <v>7</v>
      </c>
      <c r="G487" s="9" t="s">
        <v>8</v>
      </c>
      <c r="H487" s="9" t="s">
        <v>9</v>
      </c>
      <c r="I487" s="9" t="s">
        <v>10</v>
      </c>
      <c r="J487" s="9" t="s">
        <v>11</v>
      </c>
      <c r="K487" s="9" t="s">
        <v>12</v>
      </c>
      <c r="L487" s="9" t="s">
        <v>13</v>
      </c>
      <c r="M487" s="9" t="s">
        <v>14</v>
      </c>
      <c r="N487" s="9" t="s">
        <v>15</v>
      </c>
      <c r="O487" s="9" t="s">
        <v>16</v>
      </c>
      <c r="P487" s="8" t="s">
        <v>17</v>
      </c>
      <c r="Q487" s="8" t="s">
        <v>18</v>
      </c>
    </row>
    <row r="488" spans="1:17" x14ac:dyDescent="0.2">
      <c r="A488" s="10">
        <v>1</v>
      </c>
      <c r="B488" s="11" t="str">
        <f>[1]Aseguradoras!B2</f>
        <v>El Comercio Paraguayo S.A. de Seguros</v>
      </c>
      <c r="C488" s="12">
        <f>LOOKUP(408010100,[1]PlanCuentas!$A$2:$A$6092,[1]PlanCuentas!C$2:C$6092)</f>
        <v>0</v>
      </c>
      <c r="D488" s="12">
        <f>LOOKUP(408010200,[1]PlanCuentas!$A$2:$A$6092,[1]PlanCuentas!C$2:C$6092)</f>
        <v>0</v>
      </c>
      <c r="E488" s="12">
        <f>LOOKUP(408010300,[1]PlanCuentas!$A$2:$A$6092,[1]PlanCuentas!C$2:C$6092)</f>
        <v>0</v>
      </c>
      <c r="F488" s="12">
        <f>LOOKUP(408010400,[1]PlanCuentas!$A$2:$A$6092,[1]PlanCuentas!C$2:C$6092)</f>
        <v>0</v>
      </c>
      <c r="G488" s="12">
        <f>LOOKUP(408010500,[1]PlanCuentas!$A$2:$A$6092,[1]PlanCuentas!C$2:C$6092)</f>
        <v>0</v>
      </c>
      <c r="H488" s="12">
        <f>LOOKUP(408010600,[1]PlanCuentas!$A$2:$A$6092,[1]PlanCuentas!C$2:C$6092)</f>
        <v>0</v>
      </c>
      <c r="I488" s="12">
        <f>LOOKUP(408010700,[1]PlanCuentas!$A$2:$A$6092,[1]PlanCuentas!C$2:C$6092)</f>
        <v>0</v>
      </c>
      <c r="J488" s="12">
        <f>LOOKUP(408010800,[1]PlanCuentas!$A$2:$A$6092,[1]PlanCuentas!C$2:C$6092)</f>
        <v>0</v>
      </c>
      <c r="K488" s="12">
        <f>LOOKUP(408010900,[1]PlanCuentas!$A$2:$A$6092,[1]PlanCuentas!C$2:C$6092)</f>
        <v>0</v>
      </c>
      <c r="L488" s="12">
        <f>LOOKUP(408011000,[1]PlanCuentas!$A$2:$A$6092,[1]PlanCuentas!C$2:C$6092)</f>
        <v>0</v>
      </c>
      <c r="M488" s="12">
        <f>LOOKUP(408011100,[1]PlanCuentas!$A$2:$A$6092,[1]PlanCuentas!C$2:C$6092)</f>
        <v>0</v>
      </c>
      <c r="N488" s="12">
        <f>LOOKUP(408011200,[1]PlanCuentas!$A$2:$A$6092,[1]PlanCuentas!C$2:C$6092)</f>
        <v>0</v>
      </c>
      <c r="O488" s="12">
        <f>LOOKUP(408011300,[1]PlanCuentas!$A$2:$A$6092,[1]PlanCuentas!C$2:C$6092)</f>
        <v>0</v>
      </c>
      <c r="P488" s="12">
        <f>LOOKUP(408012000,[1]PlanCuentas!$A$2:$A$6092,[1]PlanCuentas!C$2:C$6092)</f>
        <v>0</v>
      </c>
      <c r="Q488" s="13">
        <f t="shared" ref="Q488:Q519" si="24">SUM(C488:P488)</f>
        <v>0</v>
      </c>
    </row>
    <row r="489" spans="1:17" x14ac:dyDescent="0.2">
      <c r="A489" s="10">
        <v>2</v>
      </c>
      <c r="B489" s="11" t="str">
        <f>[1]Aseguradoras!B3</f>
        <v>La Rural S.A de Seguros</v>
      </c>
      <c r="C489" s="12">
        <f>LOOKUP(408010100,[1]PlanCuentas!$A$2:$A$6092,[1]PlanCuentas!D$2:D$6092)</f>
        <v>8279156</v>
      </c>
      <c r="D489" s="12">
        <f>LOOKUP(408010200,[1]PlanCuentas!$A$2:$A$6092,[1]PlanCuentas!D$2:D$6092)</f>
        <v>0</v>
      </c>
      <c r="E489" s="12">
        <f>LOOKUP(408010300,[1]PlanCuentas!$A$2:$A$6092,[1]PlanCuentas!D$2:D$6092)</f>
        <v>0</v>
      </c>
      <c r="F489" s="12">
        <f>LOOKUP(408010400,[1]PlanCuentas!$A$2:$A$6092,[1]PlanCuentas!D$2:D$6092)</f>
        <v>337351624</v>
      </c>
      <c r="G489" s="12">
        <f>LOOKUP(408010500,[1]PlanCuentas!$A$2:$A$6092,[1]PlanCuentas!D$2:D$6092)</f>
        <v>0</v>
      </c>
      <c r="H489" s="12">
        <f>LOOKUP(408010600,[1]PlanCuentas!$A$2:$A$6092,[1]PlanCuentas!D$2:D$6092)</f>
        <v>0</v>
      </c>
      <c r="I489" s="12">
        <f>LOOKUP(408010700,[1]PlanCuentas!$A$2:$A$6092,[1]PlanCuentas!D$2:D$6092)</f>
        <v>0</v>
      </c>
      <c r="J489" s="12">
        <f>LOOKUP(408010800,[1]PlanCuentas!$A$2:$A$6092,[1]PlanCuentas!D$2:D$6092)</f>
        <v>0</v>
      </c>
      <c r="K489" s="12">
        <f>LOOKUP(408010900,[1]PlanCuentas!$A$2:$A$6092,[1]PlanCuentas!D$2:D$6092)</f>
        <v>0</v>
      </c>
      <c r="L489" s="12">
        <f>LOOKUP(408011000,[1]PlanCuentas!$A$2:$A$6092,[1]PlanCuentas!D$2:D$6092)</f>
        <v>0</v>
      </c>
      <c r="M489" s="12">
        <f>LOOKUP(408011100,[1]PlanCuentas!$A$2:$A$6092,[1]PlanCuentas!D$2:D$6092)</f>
        <v>0</v>
      </c>
      <c r="N489" s="12">
        <f>LOOKUP(408011200,[1]PlanCuentas!$A$2:$A$6092,[1]PlanCuentas!D$2:D$6092)</f>
        <v>0</v>
      </c>
      <c r="O489" s="12">
        <f>LOOKUP(408011300,[1]PlanCuentas!$A$2:$A$6092,[1]PlanCuentas!D$2:D$6092)</f>
        <v>0</v>
      </c>
      <c r="P489" s="12">
        <f>LOOKUP(408012000,[1]PlanCuentas!$A$2:$A$6092,[1]PlanCuentas!D$2:D$6092)</f>
        <v>0</v>
      </c>
      <c r="Q489" s="13">
        <f t="shared" si="24"/>
        <v>345630780</v>
      </c>
    </row>
    <row r="490" spans="1:17" x14ac:dyDescent="0.2">
      <c r="A490" s="10">
        <v>3</v>
      </c>
      <c r="B490" s="11" t="str">
        <f>[1]Aseguradoras!B4</f>
        <v>La Paraguaya S.A de Seguros</v>
      </c>
      <c r="C490" s="12">
        <f>LOOKUP(408010100,[1]PlanCuentas!$A$2:$A$6092,[1]PlanCuentas!E$2:E$6092)</f>
        <v>166039495</v>
      </c>
      <c r="D490" s="12">
        <f>LOOKUP(408010200,[1]PlanCuentas!$A$2:$A$6092,[1]PlanCuentas!E$2:E$6092)</f>
        <v>0</v>
      </c>
      <c r="E490" s="12">
        <f>LOOKUP(408010300,[1]PlanCuentas!$A$2:$A$6092,[1]PlanCuentas!E$2:E$6092)</f>
        <v>51388889</v>
      </c>
      <c r="F490" s="12">
        <f>LOOKUP(408010400,[1]PlanCuentas!$A$2:$A$6092,[1]PlanCuentas!E$2:E$6092)</f>
        <v>178380188</v>
      </c>
      <c r="G490" s="12">
        <f>LOOKUP(408010500,[1]PlanCuentas!$A$2:$A$6092,[1]PlanCuentas!E$2:E$6092)</f>
        <v>0</v>
      </c>
      <c r="H490" s="12">
        <f>LOOKUP(408010600,[1]PlanCuentas!$A$2:$A$6092,[1]PlanCuentas!E$2:E$6092)</f>
        <v>0</v>
      </c>
      <c r="I490" s="12">
        <f>LOOKUP(408010700,[1]PlanCuentas!$A$2:$A$6092,[1]PlanCuentas!E$2:E$6092)</f>
        <v>0</v>
      </c>
      <c r="J490" s="12">
        <f>LOOKUP(408010800,[1]PlanCuentas!$A$2:$A$6092,[1]PlanCuentas!E$2:E$6092)</f>
        <v>0</v>
      </c>
      <c r="K490" s="12">
        <f>LOOKUP(408010900,[1]PlanCuentas!$A$2:$A$6092,[1]PlanCuentas!E$2:E$6092)</f>
        <v>1005270</v>
      </c>
      <c r="L490" s="12">
        <f>LOOKUP(408011000,[1]PlanCuentas!$A$2:$A$6092,[1]PlanCuentas!E$2:E$6092)</f>
        <v>0</v>
      </c>
      <c r="M490" s="12">
        <f>LOOKUP(408011100,[1]PlanCuentas!$A$2:$A$6092,[1]PlanCuentas!E$2:E$6092)</f>
        <v>0</v>
      </c>
      <c r="N490" s="12">
        <f>LOOKUP(408011200,[1]PlanCuentas!$A$2:$A$6092,[1]PlanCuentas!E$2:E$6092)</f>
        <v>123837666</v>
      </c>
      <c r="O490" s="12">
        <f>LOOKUP(408011300,[1]PlanCuentas!$A$2:$A$6092,[1]PlanCuentas!E$2:E$6092)</f>
        <v>0</v>
      </c>
      <c r="P490" s="12">
        <f>LOOKUP(408012000,[1]PlanCuentas!$A$2:$A$6092,[1]PlanCuentas!E$2:E$6092)</f>
        <v>0</v>
      </c>
      <c r="Q490" s="13">
        <f t="shared" si="24"/>
        <v>520651508</v>
      </c>
    </row>
    <row r="491" spans="1:17" x14ac:dyDescent="0.2">
      <c r="A491" s="10">
        <v>4</v>
      </c>
      <c r="B491" s="11" t="str">
        <f>[1]Aseguradoras!B5</f>
        <v>Seguros Generales S. A (SEGESA)</v>
      </c>
      <c r="C491" s="12">
        <f>LOOKUP(408010100,[1]PlanCuentas!$A$2:$A$6092,[1]PlanCuentas!F$2:F$6092)</f>
        <v>160259430</v>
      </c>
      <c r="D491" s="12">
        <f>LOOKUP(408010200,[1]PlanCuentas!$A$2:$A$6092,[1]PlanCuentas!F$2:F$6092)</f>
        <v>0</v>
      </c>
      <c r="E491" s="12">
        <f>LOOKUP(408010300,[1]PlanCuentas!$A$2:$A$6092,[1]PlanCuentas!F$2:F$6092)</f>
        <v>0</v>
      </c>
      <c r="F491" s="12">
        <f>LOOKUP(408010400,[1]PlanCuentas!$A$2:$A$6092,[1]PlanCuentas!F$2:F$6092)</f>
        <v>0</v>
      </c>
      <c r="G491" s="12">
        <f>LOOKUP(408010500,[1]PlanCuentas!$A$2:$A$6092,[1]PlanCuentas!F$2:F$6092)</f>
        <v>0</v>
      </c>
      <c r="H491" s="12">
        <f>LOOKUP(408010600,[1]PlanCuentas!$A$2:$A$6092,[1]PlanCuentas!F$2:F$6092)</f>
        <v>0</v>
      </c>
      <c r="I491" s="12">
        <f>LOOKUP(408010700,[1]PlanCuentas!$A$2:$A$6092,[1]PlanCuentas!F$2:F$6092)</f>
        <v>0</v>
      </c>
      <c r="J491" s="12">
        <f>LOOKUP(408010800,[1]PlanCuentas!$A$2:$A$6092,[1]PlanCuentas!F$2:F$6092)</f>
        <v>0</v>
      </c>
      <c r="K491" s="12">
        <f>LOOKUP(408010900,[1]PlanCuentas!$A$2:$A$6092,[1]PlanCuentas!F$2:F$6092)</f>
        <v>0</v>
      </c>
      <c r="L491" s="12">
        <f>LOOKUP(408011000,[1]PlanCuentas!$A$2:$A$6092,[1]PlanCuentas!F$2:F$6092)</f>
        <v>0</v>
      </c>
      <c r="M491" s="12">
        <f>LOOKUP(408011100,[1]PlanCuentas!$A$2:$A$6092,[1]PlanCuentas!F$2:F$6092)</f>
        <v>0</v>
      </c>
      <c r="N491" s="12">
        <f>LOOKUP(408011200,[1]PlanCuentas!$A$2:$A$6092,[1]PlanCuentas!F$2:F$6092)</f>
        <v>0</v>
      </c>
      <c r="O491" s="12">
        <f>LOOKUP(408011300,[1]PlanCuentas!$A$2:$A$6092,[1]PlanCuentas!F$2:F$6092)</f>
        <v>0</v>
      </c>
      <c r="P491" s="12">
        <f>LOOKUP(408012000,[1]PlanCuentas!$A$2:$A$6092,[1]PlanCuentas!F$2:F$6092)</f>
        <v>0</v>
      </c>
      <c r="Q491" s="13">
        <f t="shared" si="24"/>
        <v>160259430</v>
      </c>
    </row>
    <row r="492" spans="1:17" x14ac:dyDescent="0.2">
      <c r="A492" s="10">
        <v>5</v>
      </c>
      <c r="B492" s="11" t="str">
        <f>[1]Aseguradoras!B6</f>
        <v>Rumbos S.A de Seguros</v>
      </c>
      <c r="C492" s="12">
        <f>LOOKUP(408010100,[1]PlanCuentas!$A$2:$A$6092,[1]PlanCuentas!G$2:G$6092)</f>
        <v>0</v>
      </c>
      <c r="D492" s="12">
        <f>LOOKUP(408010200,[1]PlanCuentas!$A$2:$A$6092,[1]PlanCuentas!G$2:G$6092)</f>
        <v>0</v>
      </c>
      <c r="E492" s="12">
        <f>LOOKUP(408010300,[1]PlanCuentas!$A$2:$A$6092,[1]PlanCuentas!G$2:G$6092)</f>
        <v>0</v>
      </c>
      <c r="F492" s="12">
        <f>LOOKUP(408010400,[1]PlanCuentas!$A$2:$A$6092,[1]PlanCuentas!G$2:G$6092)</f>
        <v>0</v>
      </c>
      <c r="G492" s="12">
        <f>LOOKUP(408010500,[1]PlanCuentas!$A$2:$A$6092,[1]PlanCuentas!G$2:G$6092)</f>
        <v>0</v>
      </c>
      <c r="H492" s="12">
        <f>LOOKUP(408010600,[1]PlanCuentas!$A$2:$A$6092,[1]PlanCuentas!G$2:G$6092)</f>
        <v>0</v>
      </c>
      <c r="I492" s="12">
        <f>LOOKUP(408010700,[1]PlanCuentas!$A$2:$A$6092,[1]PlanCuentas!G$2:G$6092)</f>
        <v>0</v>
      </c>
      <c r="J492" s="12">
        <f>LOOKUP(408010800,[1]PlanCuentas!$A$2:$A$6092,[1]PlanCuentas!G$2:G$6092)</f>
        <v>0</v>
      </c>
      <c r="K492" s="12">
        <f>LOOKUP(408010900,[1]PlanCuentas!$A$2:$A$6092,[1]PlanCuentas!G$2:G$6092)</f>
        <v>0</v>
      </c>
      <c r="L492" s="12">
        <f>LOOKUP(408011000,[1]PlanCuentas!$A$2:$A$6092,[1]PlanCuentas!G$2:G$6092)</f>
        <v>0</v>
      </c>
      <c r="M492" s="12">
        <f>LOOKUP(408011100,[1]PlanCuentas!$A$2:$A$6092,[1]PlanCuentas!G$2:G$6092)</f>
        <v>0</v>
      </c>
      <c r="N492" s="12">
        <f>LOOKUP(408011200,[1]PlanCuentas!$A$2:$A$6092,[1]PlanCuentas!G$2:G$6092)</f>
        <v>0</v>
      </c>
      <c r="O492" s="12">
        <f>LOOKUP(408011300,[1]PlanCuentas!$A$2:$A$6092,[1]PlanCuentas!G$2:G$6092)</f>
        <v>0</v>
      </c>
      <c r="P492" s="12">
        <f>LOOKUP(408012000,[1]PlanCuentas!$A$2:$A$6092,[1]PlanCuentas!G$2:G$6092)</f>
        <v>0</v>
      </c>
      <c r="Q492" s="13">
        <f t="shared" si="24"/>
        <v>0</v>
      </c>
    </row>
    <row r="493" spans="1:17" x14ac:dyDescent="0.2">
      <c r="A493" s="10">
        <v>6</v>
      </c>
      <c r="B493" s="11" t="str">
        <f>[1]Aseguradoras!B7</f>
        <v>La Consolidada S.A de Seguros</v>
      </c>
      <c r="C493" s="12">
        <f>LOOKUP(408010100,[1]PlanCuentas!$A$2:$A$6092,[1]PlanCuentas!H$2:H$6092)</f>
        <v>44193645</v>
      </c>
      <c r="D493" s="12">
        <f>LOOKUP(408010200,[1]PlanCuentas!$A$2:$A$6092,[1]PlanCuentas!H$2:H$6092)</f>
        <v>61257</v>
      </c>
      <c r="E493" s="12">
        <f>LOOKUP(408010300,[1]PlanCuentas!$A$2:$A$6092,[1]PlanCuentas!H$2:H$6092)</f>
        <v>0</v>
      </c>
      <c r="F493" s="12">
        <f>LOOKUP(408010400,[1]PlanCuentas!$A$2:$A$6092,[1]PlanCuentas!H$2:H$6092)</f>
        <v>52168993</v>
      </c>
      <c r="G493" s="12">
        <f>LOOKUP(408010500,[1]PlanCuentas!$A$2:$A$6092,[1]PlanCuentas!H$2:H$6092)</f>
        <v>0</v>
      </c>
      <c r="H493" s="12">
        <f>LOOKUP(408010600,[1]PlanCuentas!$A$2:$A$6092,[1]PlanCuentas!H$2:H$6092)</f>
        <v>296040</v>
      </c>
      <c r="I493" s="12">
        <f>LOOKUP(408010700,[1]PlanCuentas!$A$2:$A$6092,[1]PlanCuentas!H$2:H$6092)</f>
        <v>8712268</v>
      </c>
      <c r="J493" s="12">
        <f>LOOKUP(408010800,[1]PlanCuentas!$A$2:$A$6092,[1]PlanCuentas!H$2:H$6092)</f>
        <v>0</v>
      </c>
      <c r="K493" s="12">
        <f>LOOKUP(408010900,[1]PlanCuentas!$A$2:$A$6092,[1]PlanCuentas!H$2:H$6092)</f>
        <v>0</v>
      </c>
      <c r="L493" s="12">
        <f>LOOKUP(408011000,[1]PlanCuentas!$A$2:$A$6092,[1]PlanCuentas!H$2:H$6092)</f>
        <v>62519446</v>
      </c>
      <c r="M493" s="12">
        <f>LOOKUP(408011100,[1]PlanCuentas!$A$2:$A$6092,[1]PlanCuentas!H$2:H$6092)</f>
        <v>0</v>
      </c>
      <c r="N493" s="12">
        <f>LOOKUP(408011200,[1]PlanCuentas!$A$2:$A$6092,[1]PlanCuentas!H$2:H$6092)</f>
        <v>82331830</v>
      </c>
      <c r="O493" s="12">
        <f>LOOKUP(408011300,[1]PlanCuentas!$A$2:$A$6092,[1]PlanCuentas!H$2:H$6092)</f>
        <v>0</v>
      </c>
      <c r="P493" s="12">
        <f>LOOKUP(408012000,[1]PlanCuentas!$A$2:$A$6092,[1]PlanCuentas!H$2:H$6092)</f>
        <v>0</v>
      </c>
      <c r="Q493" s="13">
        <f t="shared" si="24"/>
        <v>250283479</v>
      </c>
    </row>
    <row r="494" spans="1:17" x14ac:dyDescent="0.2">
      <c r="A494" s="10">
        <v>7</v>
      </c>
      <c r="B494" s="11" t="str">
        <f>[1]Aseguradoras!B8</f>
        <v>El Productor S.A de Seguros y Reaseguros</v>
      </c>
      <c r="C494" s="12">
        <f>LOOKUP(408010100,[1]PlanCuentas!$A$2:$A$6092,[1]PlanCuentas!I$2:I$6092)</f>
        <v>227273</v>
      </c>
      <c r="D494" s="12">
        <f>LOOKUP(408010200,[1]PlanCuentas!$A$2:$A$6092,[1]PlanCuentas!I$2:I$6092)</f>
        <v>0</v>
      </c>
      <c r="E494" s="12">
        <f>LOOKUP(408010300,[1]PlanCuentas!$A$2:$A$6092,[1]PlanCuentas!I$2:I$6092)</f>
        <v>0</v>
      </c>
      <c r="F494" s="12">
        <f>LOOKUP(408010400,[1]PlanCuentas!$A$2:$A$6092,[1]PlanCuentas!I$2:I$6092)</f>
        <v>289942977</v>
      </c>
      <c r="G494" s="12">
        <f>LOOKUP(408010500,[1]PlanCuentas!$A$2:$A$6092,[1]PlanCuentas!I$2:I$6092)</f>
        <v>0</v>
      </c>
      <c r="H494" s="12">
        <f>LOOKUP(408010600,[1]PlanCuentas!$A$2:$A$6092,[1]PlanCuentas!I$2:I$6092)</f>
        <v>21576080</v>
      </c>
      <c r="I494" s="12">
        <f>LOOKUP(408010700,[1]PlanCuentas!$A$2:$A$6092,[1]PlanCuentas!I$2:I$6092)</f>
        <v>190909</v>
      </c>
      <c r="J494" s="12">
        <f>LOOKUP(408010800,[1]PlanCuentas!$A$2:$A$6092,[1]PlanCuentas!I$2:I$6092)</f>
        <v>0</v>
      </c>
      <c r="K494" s="12">
        <f>LOOKUP(408010900,[1]PlanCuentas!$A$2:$A$6092,[1]PlanCuentas!I$2:I$6092)</f>
        <v>133134102</v>
      </c>
      <c r="L494" s="12">
        <f>LOOKUP(408011000,[1]PlanCuentas!$A$2:$A$6092,[1]PlanCuentas!I$2:I$6092)</f>
        <v>0</v>
      </c>
      <c r="M494" s="12">
        <f>LOOKUP(408011100,[1]PlanCuentas!$A$2:$A$6092,[1]PlanCuentas!I$2:I$6092)</f>
        <v>0</v>
      </c>
      <c r="N494" s="12">
        <f>LOOKUP(408011200,[1]PlanCuentas!$A$2:$A$6092,[1]PlanCuentas!I$2:I$6092)</f>
        <v>715543</v>
      </c>
      <c r="O494" s="12">
        <f>LOOKUP(408011300,[1]PlanCuentas!$A$2:$A$6092,[1]PlanCuentas!I$2:I$6092)</f>
        <v>0</v>
      </c>
      <c r="P494" s="12">
        <f>LOOKUP(408012000,[1]PlanCuentas!$A$2:$A$6092,[1]PlanCuentas!I$2:I$6092)</f>
        <v>13260000</v>
      </c>
      <c r="Q494" s="13">
        <f t="shared" si="24"/>
        <v>459046884</v>
      </c>
    </row>
    <row r="495" spans="1:17" x14ac:dyDescent="0.2">
      <c r="A495" s="10">
        <v>8</v>
      </c>
      <c r="B495" s="11" t="str">
        <f>[1]Aseguradoras!B9</f>
        <v>Atalaya S.A de Seguros Generales</v>
      </c>
      <c r="C495" s="12">
        <f>LOOKUP(408010100,[1]PlanCuentas!$A$2:$A$6092,[1]PlanCuentas!J$2:J$6092)</f>
        <v>0</v>
      </c>
      <c r="D495" s="12">
        <f>LOOKUP(408010200,[1]PlanCuentas!$A$2:$A$6092,[1]PlanCuentas!J$2:J$6092)</f>
        <v>0</v>
      </c>
      <c r="E495" s="12">
        <f>LOOKUP(408010300,[1]PlanCuentas!$A$2:$A$6092,[1]PlanCuentas!J$2:J$6092)</f>
        <v>0</v>
      </c>
      <c r="F495" s="12">
        <f>LOOKUP(408010400,[1]PlanCuentas!$A$2:$A$6092,[1]PlanCuentas!J$2:J$6092)</f>
        <v>0</v>
      </c>
      <c r="G495" s="12">
        <f>LOOKUP(408010500,[1]PlanCuentas!$A$2:$A$6092,[1]PlanCuentas!J$2:J$6092)</f>
        <v>0</v>
      </c>
      <c r="H495" s="12">
        <f>LOOKUP(408010600,[1]PlanCuentas!$A$2:$A$6092,[1]PlanCuentas!J$2:J$6092)</f>
        <v>0</v>
      </c>
      <c r="I495" s="12">
        <f>LOOKUP(408010700,[1]PlanCuentas!$A$2:$A$6092,[1]PlanCuentas!J$2:J$6092)</f>
        <v>0</v>
      </c>
      <c r="J495" s="12">
        <f>LOOKUP(408010800,[1]PlanCuentas!$A$2:$A$6092,[1]PlanCuentas!J$2:J$6092)</f>
        <v>0</v>
      </c>
      <c r="K495" s="12">
        <f>LOOKUP(408010900,[1]PlanCuentas!$A$2:$A$6092,[1]PlanCuentas!J$2:J$6092)</f>
        <v>0</v>
      </c>
      <c r="L495" s="12">
        <f>LOOKUP(408011000,[1]PlanCuentas!$A$2:$A$6092,[1]PlanCuentas!J$2:J$6092)</f>
        <v>0</v>
      </c>
      <c r="M495" s="12">
        <f>LOOKUP(408011100,[1]PlanCuentas!$A$2:$A$6092,[1]PlanCuentas!J$2:J$6092)</f>
        <v>0</v>
      </c>
      <c r="N495" s="12">
        <f>LOOKUP(408011200,[1]PlanCuentas!$A$2:$A$6092,[1]PlanCuentas!J$2:J$6092)</f>
        <v>0</v>
      </c>
      <c r="O495" s="12">
        <f>LOOKUP(408011300,[1]PlanCuentas!$A$2:$A$6092,[1]PlanCuentas!J$2:J$6092)</f>
        <v>0</v>
      </c>
      <c r="P495" s="12">
        <f>LOOKUP(408012000,[1]PlanCuentas!$A$2:$A$6092,[1]PlanCuentas!J$2:J$6092)</f>
        <v>0</v>
      </c>
      <c r="Q495" s="13">
        <f t="shared" si="24"/>
        <v>0</v>
      </c>
    </row>
    <row r="496" spans="1:17" x14ac:dyDescent="0.2">
      <c r="A496" s="10">
        <v>9</v>
      </c>
      <c r="B496" s="11" t="str">
        <f>[1]Aseguradoras!B10</f>
        <v>La Independencia de Seguros S.A.</v>
      </c>
      <c r="C496" s="12">
        <f>LOOKUP(408010100,[1]PlanCuentas!$A$2:$A$6092,[1]PlanCuentas!K$2:K$6092)</f>
        <v>0</v>
      </c>
      <c r="D496" s="12">
        <f>LOOKUP(408010200,[1]PlanCuentas!$A$2:$A$6092,[1]PlanCuentas!K$2:K$6092)</f>
        <v>0</v>
      </c>
      <c r="E496" s="12">
        <f>LOOKUP(408010300,[1]PlanCuentas!$A$2:$A$6092,[1]PlanCuentas!K$2:K$6092)</f>
        <v>0</v>
      </c>
      <c r="F496" s="12">
        <f>LOOKUP(408010400,[1]PlanCuentas!$A$2:$A$6092,[1]PlanCuentas!K$2:K$6092)</f>
        <v>0</v>
      </c>
      <c r="G496" s="12">
        <f>LOOKUP(408010500,[1]PlanCuentas!$A$2:$A$6092,[1]PlanCuentas!K$2:K$6092)</f>
        <v>0</v>
      </c>
      <c r="H496" s="12">
        <f>LOOKUP(408010600,[1]PlanCuentas!$A$2:$A$6092,[1]PlanCuentas!K$2:K$6092)</f>
        <v>0</v>
      </c>
      <c r="I496" s="12">
        <f>LOOKUP(408010700,[1]PlanCuentas!$A$2:$A$6092,[1]PlanCuentas!K$2:K$6092)</f>
        <v>0</v>
      </c>
      <c r="J496" s="12">
        <f>LOOKUP(408010800,[1]PlanCuentas!$A$2:$A$6092,[1]PlanCuentas!K$2:K$6092)</f>
        <v>0</v>
      </c>
      <c r="K496" s="12">
        <f>LOOKUP(408010900,[1]PlanCuentas!$A$2:$A$6092,[1]PlanCuentas!K$2:K$6092)</f>
        <v>0</v>
      </c>
      <c r="L496" s="12">
        <f>LOOKUP(408011000,[1]PlanCuentas!$A$2:$A$6092,[1]PlanCuentas!K$2:K$6092)</f>
        <v>0</v>
      </c>
      <c r="M496" s="12">
        <f>LOOKUP(408011100,[1]PlanCuentas!$A$2:$A$6092,[1]PlanCuentas!K$2:K$6092)</f>
        <v>0</v>
      </c>
      <c r="N496" s="12">
        <f>LOOKUP(408011200,[1]PlanCuentas!$A$2:$A$6092,[1]PlanCuentas!K$2:K$6092)</f>
        <v>0</v>
      </c>
      <c r="O496" s="12">
        <f>LOOKUP(408011300,[1]PlanCuentas!$A$2:$A$6092,[1]PlanCuentas!K$2:K$6092)</f>
        <v>0</v>
      </c>
      <c r="P496" s="12">
        <f>LOOKUP(408012000,[1]PlanCuentas!$A$2:$A$6092,[1]PlanCuentas!K$2:K$6092)</f>
        <v>0</v>
      </c>
      <c r="Q496" s="13">
        <f t="shared" si="24"/>
        <v>0</v>
      </c>
    </row>
    <row r="497" spans="1:17" x14ac:dyDescent="0.2">
      <c r="A497" s="10">
        <v>10</v>
      </c>
      <c r="B497" s="11" t="str">
        <f>[1]Aseguradoras!B11</f>
        <v>Patria S.A de Seguros y Reaseguros</v>
      </c>
      <c r="C497" s="12">
        <f>LOOKUP(408010100,[1]PlanCuentas!$A$2:$A$6092,[1]PlanCuentas!L$2:L$6092)</f>
        <v>7959853</v>
      </c>
      <c r="D497" s="12">
        <f>LOOKUP(408010200,[1]PlanCuentas!$A$2:$A$6092,[1]PlanCuentas!L$2:L$6092)</f>
        <v>0</v>
      </c>
      <c r="E497" s="12">
        <f>LOOKUP(408010300,[1]PlanCuentas!$A$2:$A$6092,[1]PlanCuentas!L$2:L$6092)</f>
        <v>0</v>
      </c>
      <c r="F497" s="12">
        <f>LOOKUP(408010400,[1]PlanCuentas!$A$2:$A$6092,[1]PlanCuentas!L$2:L$6092)</f>
        <v>0</v>
      </c>
      <c r="G497" s="12">
        <f>LOOKUP(408010500,[1]PlanCuentas!$A$2:$A$6092,[1]PlanCuentas!L$2:L$6092)</f>
        <v>0</v>
      </c>
      <c r="H497" s="12">
        <f>LOOKUP(408010600,[1]PlanCuentas!$A$2:$A$6092,[1]PlanCuentas!L$2:L$6092)</f>
        <v>0</v>
      </c>
      <c r="I497" s="12">
        <f>LOOKUP(408010700,[1]PlanCuentas!$A$2:$A$6092,[1]PlanCuentas!L$2:L$6092)</f>
        <v>0</v>
      </c>
      <c r="J497" s="12">
        <f>LOOKUP(408010800,[1]PlanCuentas!$A$2:$A$6092,[1]PlanCuentas!L$2:L$6092)</f>
        <v>0</v>
      </c>
      <c r="K497" s="12">
        <f>LOOKUP(408010900,[1]PlanCuentas!$A$2:$A$6092,[1]PlanCuentas!L$2:L$6092)</f>
        <v>0</v>
      </c>
      <c r="L497" s="12">
        <f>LOOKUP(408011000,[1]PlanCuentas!$A$2:$A$6092,[1]PlanCuentas!L$2:L$6092)</f>
        <v>0</v>
      </c>
      <c r="M497" s="12">
        <f>LOOKUP(408011100,[1]PlanCuentas!$A$2:$A$6092,[1]PlanCuentas!L$2:L$6092)</f>
        <v>0</v>
      </c>
      <c r="N497" s="12">
        <f>LOOKUP(408011200,[1]PlanCuentas!$A$2:$A$6092,[1]PlanCuentas!L$2:L$6092)</f>
        <v>0</v>
      </c>
      <c r="O497" s="12">
        <f>LOOKUP(408011300,[1]PlanCuentas!$A$2:$A$6092,[1]PlanCuentas!L$2:L$6092)</f>
        <v>0</v>
      </c>
      <c r="P497" s="12">
        <f>LOOKUP(408012000,[1]PlanCuentas!$A$2:$A$6092,[1]PlanCuentas!L$2:L$6092)</f>
        <v>0</v>
      </c>
      <c r="Q497" s="13">
        <f t="shared" si="24"/>
        <v>7959853</v>
      </c>
    </row>
    <row r="498" spans="1:17" x14ac:dyDescent="0.2">
      <c r="A498" s="10">
        <v>11</v>
      </c>
      <c r="B498" s="11" t="str">
        <f>[1]Aseguradoras!B12</f>
        <v>Garantía S.A de Seguros y Reaseguros</v>
      </c>
      <c r="C498" s="12">
        <f>LOOKUP(408010100,[1]PlanCuentas!$A$2:$A$6092,[1]PlanCuentas!M$2:M$6092)</f>
        <v>0</v>
      </c>
      <c r="D498" s="12">
        <f>LOOKUP(408010200,[1]PlanCuentas!$A$2:$A$6092,[1]PlanCuentas!M$2:M$6092)</f>
        <v>0</v>
      </c>
      <c r="E498" s="12">
        <f>LOOKUP(408010300,[1]PlanCuentas!$A$2:$A$6092,[1]PlanCuentas!M$2:M$6092)</f>
        <v>0</v>
      </c>
      <c r="F498" s="12">
        <f>LOOKUP(408010400,[1]PlanCuentas!$A$2:$A$6092,[1]PlanCuentas!M$2:M$6092)</f>
        <v>0</v>
      </c>
      <c r="G498" s="12">
        <f>LOOKUP(408010500,[1]PlanCuentas!$A$2:$A$6092,[1]PlanCuentas!M$2:M$6092)</f>
        <v>0</v>
      </c>
      <c r="H498" s="12">
        <f>LOOKUP(408010600,[1]PlanCuentas!$A$2:$A$6092,[1]PlanCuentas!M$2:M$6092)</f>
        <v>0</v>
      </c>
      <c r="I498" s="12">
        <f>LOOKUP(408010700,[1]PlanCuentas!$A$2:$A$6092,[1]PlanCuentas!M$2:M$6092)</f>
        <v>0</v>
      </c>
      <c r="J498" s="12">
        <f>LOOKUP(408010800,[1]PlanCuentas!$A$2:$A$6092,[1]PlanCuentas!M$2:M$6092)</f>
        <v>0</v>
      </c>
      <c r="K498" s="12">
        <f>LOOKUP(408010900,[1]PlanCuentas!$A$2:$A$6092,[1]PlanCuentas!M$2:M$6092)</f>
        <v>0</v>
      </c>
      <c r="L498" s="12">
        <f>LOOKUP(408011000,[1]PlanCuentas!$A$2:$A$6092,[1]PlanCuentas!M$2:M$6092)</f>
        <v>0</v>
      </c>
      <c r="M498" s="12">
        <f>LOOKUP(408011100,[1]PlanCuentas!$A$2:$A$6092,[1]PlanCuentas!M$2:M$6092)</f>
        <v>0</v>
      </c>
      <c r="N498" s="12">
        <f>LOOKUP(408011200,[1]PlanCuentas!$A$2:$A$6092,[1]PlanCuentas!M$2:M$6092)</f>
        <v>0</v>
      </c>
      <c r="O498" s="12">
        <f>LOOKUP(408011300,[1]PlanCuentas!$A$2:$A$6092,[1]PlanCuentas!M$2:M$6092)</f>
        <v>0</v>
      </c>
      <c r="P498" s="12">
        <f>LOOKUP(408012000,[1]PlanCuentas!$A$2:$A$6092,[1]PlanCuentas!M$2:M$6092)</f>
        <v>0</v>
      </c>
      <c r="Q498" s="13">
        <f t="shared" si="24"/>
        <v>0</v>
      </c>
    </row>
    <row r="499" spans="1:17" x14ac:dyDescent="0.2">
      <c r="A499" s="10">
        <v>12</v>
      </c>
      <c r="B499" s="11" t="str">
        <f>[1]Aseguradoras!B13</f>
        <v>Aseguradora Paraguaya S.A.</v>
      </c>
      <c r="C499" s="12">
        <f>LOOKUP(408010100,[1]PlanCuentas!$A$2:$A$6092,[1]PlanCuentas!N$2:N$6092)</f>
        <v>0</v>
      </c>
      <c r="D499" s="12">
        <f>LOOKUP(408010200,[1]PlanCuentas!$A$2:$A$6092,[1]PlanCuentas!N$2:N$6092)</f>
        <v>0</v>
      </c>
      <c r="E499" s="12">
        <f>LOOKUP(408010300,[1]PlanCuentas!$A$2:$A$6092,[1]PlanCuentas!N$2:N$6092)</f>
        <v>0</v>
      </c>
      <c r="F499" s="12">
        <f>LOOKUP(408010400,[1]PlanCuentas!$A$2:$A$6092,[1]PlanCuentas!N$2:N$6092)</f>
        <v>0</v>
      </c>
      <c r="G499" s="12">
        <f>LOOKUP(408010500,[1]PlanCuentas!$A$2:$A$6092,[1]PlanCuentas!N$2:N$6092)</f>
        <v>0</v>
      </c>
      <c r="H499" s="12">
        <f>LOOKUP(408010600,[1]PlanCuentas!$A$2:$A$6092,[1]PlanCuentas!N$2:N$6092)</f>
        <v>0</v>
      </c>
      <c r="I499" s="12">
        <f>LOOKUP(408010700,[1]PlanCuentas!$A$2:$A$6092,[1]PlanCuentas!N$2:N$6092)</f>
        <v>0</v>
      </c>
      <c r="J499" s="12">
        <f>LOOKUP(408010800,[1]PlanCuentas!$A$2:$A$6092,[1]PlanCuentas!N$2:N$6092)</f>
        <v>0</v>
      </c>
      <c r="K499" s="12">
        <f>LOOKUP(408010900,[1]PlanCuentas!$A$2:$A$6092,[1]PlanCuentas!N$2:N$6092)</f>
        <v>0</v>
      </c>
      <c r="L499" s="12">
        <f>LOOKUP(408011000,[1]PlanCuentas!$A$2:$A$6092,[1]PlanCuentas!N$2:N$6092)</f>
        <v>0</v>
      </c>
      <c r="M499" s="12">
        <f>LOOKUP(408011100,[1]PlanCuentas!$A$2:$A$6092,[1]PlanCuentas!N$2:N$6092)</f>
        <v>0</v>
      </c>
      <c r="N499" s="12">
        <f>LOOKUP(408011200,[1]PlanCuentas!$A$2:$A$6092,[1]PlanCuentas!N$2:N$6092)</f>
        <v>0</v>
      </c>
      <c r="O499" s="12">
        <f>LOOKUP(408011300,[1]PlanCuentas!$A$2:$A$6092,[1]PlanCuentas!N$2:N$6092)</f>
        <v>0</v>
      </c>
      <c r="P499" s="12">
        <f>LOOKUP(408012000,[1]PlanCuentas!$A$2:$A$6092,[1]PlanCuentas!N$2:N$6092)</f>
        <v>0</v>
      </c>
      <c r="Q499" s="13">
        <f t="shared" si="24"/>
        <v>0</v>
      </c>
    </row>
    <row r="500" spans="1:17" x14ac:dyDescent="0.2">
      <c r="A500" s="10">
        <v>13</v>
      </c>
      <c r="B500" s="11" t="str">
        <f>[1]Aseguradoras!B14</f>
        <v>Fénix S.A de Seguros y Reaseguros</v>
      </c>
      <c r="C500" s="12">
        <f>LOOKUP(408010100,[1]PlanCuentas!$A$2:$A$6092,[1]PlanCuentas!O$2:O$6092)</f>
        <v>0</v>
      </c>
      <c r="D500" s="12">
        <f>LOOKUP(408010200,[1]PlanCuentas!$A$2:$A$6092,[1]PlanCuentas!O$2:O$6092)</f>
        <v>0</v>
      </c>
      <c r="E500" s="12">
        <f>LOOKUP(408010300,[1]PlanCuentas!$A$2:$A$6092,[1]PlanCuentas!O$2:O$6092)</f>
        <v>0</v>
      </c>
      <c r="F500" s="12">
        <f>LOOKUP(408010400,[1]PlanCuentas!$A$2:$A$6092,[1]PlanCuentas!O$2:O$6092)</f>
        <v>0</v>
      </c>
      <c r="G500" s="12">
        <f>LOOKUP(408010500,[1]PlanCuentas!$A$2:$A$6092,[1]PlanCuentas!O$2:O$6092)</f>
        <v>0</v>
      </c>
      <c r="H500" s="12">
        <f>LOOKUP(408010600,[1]PlanCuentas!$A$2:$A$6092,[1]PlanCuentas!O$2:O$6092)</f>
        <v>0</v>
      </c>
      <c r="I500" s="12">
        <f>LOOKUP(408010700,[1]PlanCuentas!$A$2:$A$6092,[1]PlanCuentas!O$2:O$6092)</f>
        <v>0</v>
      </c>
      <c r="J500" s="12">
        <f>LOOKUP(408010800,[1]PlanCuentas!$A$2:$A$6092,[1]PlanCuentas!O$2:O$6092)</f>
        <v>0</v>
      </c>
      <c r="K500" s="12">
        <f>LOOKUP(408010900,[1]PlanCuentas!$A$2:$A$6092,[1]PlanCuentas!O$2:O$6092)</f>
        <v>0</v>
      </c>
      <c r="L500" s="12">
        <f>LOOKUP(408011000,[1]PlanCuentas!$A$2:$A$6092,[1]PlanCuentas!O$2:O$6092)</f>
        <v>0</v>
      </c>
      <c r="M500" s="12">
        <f>LOOKUP(408011100,[1]PlanCuentas!$A$2:$A$6092,[1]PlanCuentas!O$2:O$6092)</f>
        <v>0</v>
      </c>
      <c r="N500" s="12">
        <f>LOOKUP(408011200,[1]PlanCuentas!$A$2:$A$6092,[1]PlanCuentas!O$2:O$6092)</f>
        <v>0</v>
      </c>
      <c r="O500" s="12">
        <f>LOOKUP(408011300,[1]PlanCuentas!$A$2:$A$6092,[1]PlanCuentas!O$2:O$6092)</f>
        <v>0</v>
      </c>
      <c r="P500" s="12">
        <f>LOOKUP(408012000,[1]PlanCuentas!$A$2:$A$6092,[1]PlanCuentas!O$2:O$6092)</f>
        <v>0</v>
      </c>
      <c r="Q500" s="13">
        <f t="shared" si="24"/>
        <v>0</v>
      </c>
    </row>
    <row r="501" spans="1:17" x14ac:dyDescent="0.2">
      <c r="A501" s="10">
        <v>14</v>
      </c>
      <c r="B501" s="11" t="str">
        <f>[1]Aseguradoras!B15</f>
        <v>Central S.A de Seguros</v>
      </c>
      <c r="C501" s="12">
        <f>LOOKUP(408010100,[1]PlanCuentas!$A$2:$A$6092,[1]PlanCuentas!P$2:P$6092)</f>
        <v>0</v>
      </c>
      <c r="D501" s="12">
        <f>LOOKUP(408010200,[1]PlanCuentas!$A$2:$A$6092,[1]PlanCuentas!P$2:P$6092)</f>
        <v>0</v>
      </c>
      <c r="E501" s="12">
        <f>LOOKUP(408010300,[1]PlanCuentas!$A$2:$A$6092,[1]PlanCuentas!P$2:P$6092)</f>
        <v>0</v>
      </c>
      <c r="F501" s="12">
        <f>LOOKUP(408010400,[1]PlanCuentas!$A$2:$A$6092,[1]PlanCuentas!P$2:P$6092)</f>
        <v>0</v>
      </c>
      <c r="G501" s="12">
        <f>LOOKUP(408010500,[1]PlanCuentas!$A$2:$A$6092,[1]PlanCuentas!P$2:P$6092)</f>
        <v>0</v>
      </c>
      <c r="H501" s="12">
        <f>LOOKUP(408010600,[1]PlanCuentas!$A$2:$A$6092,[1]PlanCuentas!P$2:P$6092)</f>
        <v>0</v>
      </c>
      <c r="I501" s="12">
        <f>LOOKUP(408010700,[1]PlanCuentas!$A$2:$A$6092,[1]PlanCuentas!P$2:P$6092)</f>
        <v>0</v>
      </c>
      <c r="J501" s="12">
        <f>LOOKUP(408010800,[1]PlanCuentas!$A$2:$A$6092,[1]PlanCuentas!P$2:P$6092)</f>
        <v>0</v>
      </c>
      <c r="K501" s="12">
        <f>LOOKUP(408010900,[1]PlanCuentas!$A$2:$A$6092,[1]PlanCuentas!P$2:P$6092)</f>
        <v>0</v>
      </c>
      <c r="L501" s="12">
        <f>LOOKUP(408011000,[1]PlanCuentas!$A$2:$A$6092,[1]PlanCuentas!P$2:P$6092)</f>
        <v>0</v>
      </c>
      <c r="M501" s="12">
        <f>LOOKUP(408011100,[1]PlanCuentas!$A$2:$A$6092,[1]PlanCuentas!P$2:P$6092)</f>
        <v>0</v>
      </c>
      <c r="N501" s="12">
        <f>LOOKUP(408011200,[1]PlanCuentas!$A$2:$A$6092,[1]PlanCuentas!P$2:P$6092)</f>
        <v>0</v>
      </c>
      <c r="O501" s="12">
        <f>LOOKUP(408011300,[1]PlanCuentas!$A$2:$A$6092,[1]PlanCuentas!P$2:P$6092)</f>
        <v>0</v>
      </c>
      <c r="P501" s="12">
        <f>LOOKUP(408012000,[1]PlanCuentas!$A$2:$A$6092,[1]PlanCuentas!P$2:P$6092)</f>
        <v>0</v>
      </c>
      <c r="Q501" s="13">
        <f t="shared" si="24"/>
        <v>0</v>
      </c>
    </row>
    <row r="502" spans="1:17" x14ac:dyDescent="0.2">
      <c r="A502" s="10">
        <v>15</v>
      </c>
      <c r="B502" s="11" t="str">
        <f>[1]Aseguradoras!B16</f>
        <v>Seguros Chaco S.A de Seguros y Reaseguros</v>
      </c>
      <c r="C502" s="12">
        <f>LOOKUP(408010100,[1]PlanCuentas!$A$2:$A$6092,[1]PlanCuentas!Q$2:Q$6092)</f>
        <v>0</v>
      </c>
      <c r="D502" s="12">
        <f>LOOKUP(408010200,[1]PlanCuentas!$A$2:$A$6092,[1]PlanCuentas!Q$2:Q$6092)</f>
        <v>0</v>
      </c>
      <c r="E502" s="12">
        <f>LOOKUP(408010300,[1]PlanCuentas!$A$2:$A$6092,[1]PlanCuentas!Q$2:Q$6092)</f>
        <v>0</v>
      </c>
      <c r="F502" s="12">
        <f>LOOKUP(408010400,[1]PlanCuentas!$A$2:$A$6092,[1]PlanCuentas!Q$2:Q$6092)</f>
        <v>0</v>
      </c>
      <c r="G502" s="12">
        <f>LOOKUP(408010500,[1]PlanCuentas!$A$2:$A$6092,[1]PlanCuentas!Q$2:Q$6092)</f>
        <v>0</v>
      </c>
      <c r="H502" s="12">
        <f>LOOKUP(408010600,[1]PlanCuentas!$A$2:$A$6092,[1]PlanCuentas!Q$2:Q$6092)</f>
        <v>0</v>
      </c>
      <c r="I502" s="12">
        <f>LOOKUP(408010700,[1]PlanCuentas!$A$2:$A$6092,[1]PlanCuentas!Q$2:Q$6092)</f>
        <v>0</v>
      </c>
      <c r="J502" s="12">
        <f>LOOKUP(408010800,[1]PlanCuentas!$A$2:$A$6092,[1]PlanCuentas!Q$2:Q$6092)</f>
        <v>0</v>
      </c>
      <c r="K502" s="12">
        <f>LOOKUP(408010900,[1]PlanCuentas!$A$2:$A$6092,[1]PlanCuentas!Q$2:Q$6092)</f>
        <v>0</v>
      </c>
      <c r="L502" s="12">
        <f>LOOKUP(408011000,[1]PlanCuentas!$A$2:$A$6092,[1]PlanCuentas!Q$2:Q$6092)</f>
        <v>0</v>
      </c>
      <c r="M502" s="12">
        <f>LOOKUP(408011100,[1]PlanCuentas!$A$2:$A$6092,[1]PlanCuentas!Q$2:Q$6092)</f>
        <v>0</v>
      </c>
      <c r="N502" s="12">
        <f>LOOKUP(408011200,[1]PlanCuentas!$A$2:$A$6092,[1]PlanCuentas!Q$2:Q$6092)</f>
        <v>0</v>
      </c>
      <c r="O502" s="12">
        <f>LOOKUP(408011300,[1]PlanCuentas!$A$2:$A$6092,[1]PlanCuentas!Q$2:Q$6092)</f>
        <v>0</v>
      </c>
      <c r="P502" s="12">
        <f>LOOKUP(408012000,[1]PlanCuentas!$A$2:$A$6092,[1]PlanCuentas!Q$2:Q$6092)</f>
        <v>0</v>
      </c>
      <c r="Q502" s="13">
        <f t="shared" si="24"/>
        <v>0</v>
      </c>
    </row>
    <row r="503" spans="1:17" x14ac:dyDescent="0.2">
      <c r="A503" s="10">
        <v>16</v>
      </c>
      <c r="B503" s="11" t="str">
        <f>[1]Aseguradoras!B17</f>
        <v>El Sol Del Paraguay Compañía de Seguros y Reaseguros S.A.</v>
      </c>
      <c r="C503" s="12">
        <f>LOOKUP(408010100,[1]PlanCuentas!$A$2:$A$6092,[1]PlanCuentas!R$2:R$6092)</f>
        <v>265640</v>
      </c>
      <c r="D503" s="12">
        <f>LOOKUP(408010200,[1]PlanCuentas!$A$2:$A$6092,[1]PlanCuentas!R$2:R$6092)</f>
        <v>0</v>
      </c>
      <c r="E503" s="12">
        <f>LOOKUP(408010300,[1]PlanCuentas!$A$2:$A$6092,[1]PlanCuentas!R$2:R$6092)</f>
        <v>0</v>
      </c>
      <c r="F503" s="12">
        <f>LOOKUP(408010400,[1]PlanCuentas!$A$2:$A$6092,[1]PlanCuentas!R$2:R$6092)</f>
        <v>32269594</v>
      </c>
      <c r="G503" s="12">
        <f>LOOKUP(408010500,[1]PlanCuentas!$A$2:$A$6092,[1]PlanCuentas!R$2:R$6092)</f>
        <v>0</v>
      </c>
      <c r="H503" s="12">
        <f>LOOKUP(408010600,[1]PlanCuentas!$A$2:$A$6092,[1]PlanCuentas!R$2:R$6092)</f>
        <v>0</v>
      </c>
      <c r="I503" s="12">
        <f>LOOKUP(408010700,[1]PlanCuentas!$A$2:$A$6092,[1]PlanCuentas!R$2:R$6092)</f>
        <v>0</v>
      </c>
      <c r="J503" s="12">
        <f>LOOKUP(408010800,[1]PlanCuentas!$A$2:$A$6092,[1]PlanCuentas!R$2:R$6092)</f>
        <v>0</v>
      </c>
      <c r="K503" s="12">
        <f>LOOKUP(408010900,[1]PlanCuentas!$A$2:$A$6092,[1]PlanCuentas!R$2:R$6092)</f>
        <v>0</v>
      </c>
      <c r="L503" s="12">
        <f>LOOKUP(408011000,[1]PlanCuentas!$A$2:$A$6092,[1]PlanCuentas!R$2:R$6092)</f>
        <v>0</v>
      </c>
      <c r="M503" s="12">
        <f>LOOKUP(408011100,[1]PlanCuentas!$A$2:$A$6092,[1]PlanCuentas!R$2:R$6092)</f>
        <v>0</v>
      </c>
      <c r="N503" s="12">
        <f>LOOKUP(408011200,[1]PlanCuentas!$A$2:$A$6092,[1]PlanCuentas!R$2:R$6092)</f>
        <v>0</v>
      </c>
      <c r="O503" s="12">
        <f>LOOKUP(408011300,[1]PlanCuentas!$A$2:$A$6092,[1]PlanCuentas!R$2:R$6092)</f>
        <v>0</v>
      </c>
      <c r="P503" s="12">
        <f>LOOKUP(408012000,[1]PlanCuentas!$A$2:$A$6092,[1]PlanCuentas!R$2:R$6092)</f>
        <v>0</v>
      </c>
      <c r="Q503" s="13">
        <f t="shared" si="24"/>
        <v>32535234</v>
      </c>
    </row>
    <row r="504" spans="1:17" x14ac:dyDescent="0.2">
      <c r="A504" s="10">
        <v>17</v>
      </c>
      <c r="B504" s="11" t="str">
        <f>[1]Aseguradoras!B18</f>
        <v>Intercontinental de Seguros y Reaseguros S.A.</v>
      </c>
      <c r="C504" s="12">
        <f>LOOKUP(408010100,[1]PlanCuentas!$A$2:$A$6092,[1]PlanCuentas!S$2:S$6092)</f>
        <v>0</v>
      </c>
      <c r="D504" s="12">
        <f>LOOKUP(408010200,[1]PlanCuentas!$A$2:$A$6092,[1]PlanCuentas!S$2:S$6092)</f>
        <v>0</v>
      </c>
      <c r="E504" s="12">
        <f>LOOKUP(408010300,[1]PlanCuentas!$A$2:$A$6092,[1]PlanCuentas!S$2:S$6092)</f>
        <v>0</v>
      </c>
      <c r="F504" s="12">
        <f>LOOKUP(408010400,[1]PlanCuentas!$A$2:$A$6092,[1]PlanCuentas!S$2:S$6092)</f>
        <v>0</v>
      </c>
      <c r="G504" s="12">
        <f>LOOKUP(408010500,[1]PlanCuentas!$A$2:$A$6092,[1]PlanCuentas!S$2:S$6092)</f>
        <v>0</v>
      </c>
      <c r="H504" s="12">
        <f>LOOKUP(408010600,[1]PlanCuentas!$A$2:$A$6092,[1]PlanCuentas!S$2:S$6092)</f>
        <v>0</v>
      </c>
      <c r="I504" s="12">
        <f>LOOKUP(408010700,[1]PlanCuentas!$A$2:$A$6092,[1]PlanCuentas!S$2:S$6092)</f>
        <v>0</v>
      </c>
      <c r="J504" s="12">
        <f>LOOKUP(408010800,[1]PlanCuentas!$A$2:$A$6092,[1]PlanCuentas!S$2:S$6092)</f>
        <v>0</v>
      </c>
      <c r="K504" s="12">
        <f>LOOKUP(408010900,[1]PlanCuentas!$A$2:$A$6092,[1]PlanCuentas!S$2:S$6092)</f>
        <v>0</v>
      </c>
      <c r="L504" s="12">
        <f>LOOKUP(408011000,[1]PlanCuentas!$A$2:$A$6092,[1]PlanCuentas!S$2:S$6092)</f>
        <v>0</v>
      </c>
      <c r="M504" s="12">
        <f>LOOKUP(408011100,[1]PlanCuentas!$A$2:$A$6092,[1]PlanCuentas!S$2:S$6092)</f>
        <v>0</v>
      </c>
      <c r="N504" s="12">
        <f>LOOKUP(408011200,[1]PlanCuentas!$A$2:$A$6092,[1]PlanCuentas!S$2:S$6092)</f>
        <v>0</v>
      </c>
      <c r="O504" s="12">
        <f>LOOKUP(408011300,[1]PlanCuentas!$A$2:$A$6092,[1]PlanCuentas!S$2:S$6092)</f>
        <v>0</v>
      </c>
      <c r="P504" s="12">
        <f>LOOKUP(408012000,[1]PlanCuentas!$A$2:$A$6092,[1]PlanCuentas!S$2:S$6092)</f>
        <v>0</v>
      </c>
      <c r="Q504" s="13">
        <f t="shared" si="24"/>
        <v>0</v>
      </c>
    </row>
    <row r="505" spans="1:17" x14ac:dyDescent="0.2">
      <c r="A505" s="10">
        <v>18</v>
      </c>
      <c r="B505" s="11" t="str">
        <f>[1]Aseguradoras!B19</f>
        <v>Seguridad S.A Compañía de Seguros</v>
      </c>
      <c r="C505" s="12">
        <f>LOOKUP(408010100,[1]PlanCuentas!$A$2:$A$6092,[1]PlanCuentas!T$2:T$6092)</f>
        <v>0</v>
      </c>
      <c r="D505" s="12">
        <f>LOOKUP(408010200,[1]PlanCuentas!$A$2:$A$6092,[1]PlanCuentas!T$2:T$6092)</f>
        <v>0</v>
      </c>
      <c r="E505" s="12">
        <f>LOOKUP(408010300,[1]PlanCuentas!$A$2:$A$6092,[1]PlanCuentas!T$2:T$6092)</f>
        <v>0</v>
      </c>
      <c r="F505" s="12">
        <f>LOOKUP(408010400,[1]PlanCuentas!$A$2:$A$6092,[1]PlanCuentas!T$2:T$6092)</f>
        <v>0</v>
      </c>
      <c r="G505" s="12">
        <f>LOOKUP(408010500,[1]PlanCuentas!$A$2:$A$6092,[1]PlanCuentas!T$2:T$6092)</f>
        <v>0</v>
      </c>
      <c r="H505" s="12">
        <f>LOOKUP(408010600,[1]PlanCuentas!$A$2:$A$6092,[1]PlanCuentas!T$2:T$6092)</f>
        <v>0</v>
      </c>
      <c r="I505" s="12">
        <f>LOOKUP(408010700,[1]PlanCuentas!$A$2:$A$6092,[1]PlanCuentas!T$2:T$6092)</f>
        <v>0</v>
      </c>
      <c r="J505" s="12">
        <f>LOOKUP(408010800,[1]PlanCuentas!$A$2:$A$6092,[1]PlanCuentas!T$2:T$6092)</f>
        <v>0</v>
      </c>
      <c r="K505" s="12">
        <f>LOOKUP(408010900,[1]PlanCuentas!$A$2:$A$6092,[1]PlanCuentas!T$2:T$6092)</f>
        <v>0</v>
      </c>
      <c r="L505" s="12">
        <f>LOOKUP(408011000,[1]PlanCuentas!$A$2:$A$6092,[1]PlanCuentas!T$2:T$6092)</f>
        <v>0</v>
      </c>
      <c r="M505" s="12">
        <f>LOOKUP(408011100,[1]PlanCuentas!$A$2:$A$6092,[1]PlanCuentas!T$2:T$6092)</f>
        <v>0</v>
      </c>
      <c r="N505" s="12">
        <f>LOOKUP(408011200,[1]PlanCuentas!$A$2:$A$6092,[1]PlanCuentas!T$2:T$6092)</f>
        <v>0</v>
      </c>
      <c r="O505" s="12">
        <f>LOOKUP(408011300,[1]PlanCuentas!$A$2:$A$6092,[1]PlanCuentas!T$2:T$6092)</f>
        <v>0</v>
      </c>
      <c r="P505" s="12">
        <f>LOOKUP(408012000,[1]PlanCuentas!$A$2:$A$6092,[1]PlanCuentas!T$2:T$6092)</f>
        <v>0</v>
      </c>
      <c r="Q505" s="13">
        <f t="shared" si="24"/>
        <v>0</v>
      </c>
    </row>
    <row r="506" spans="1:17" x14ac:dyDescent="0.2">
      <c r="A506" s="10">
        <v>19</v>
      </c>
      <c r="B506" s="11" t="str">
        <f>[1]Aseguradoras!B20</f>
        <v>Universo de Seguros y Reaseguros S.A.</v>
      </c>
      <c r="C506" s="12">
        <f>LOOKUP(408010100,[1]PlanCuentas!$A$2:$A$6092,[1]PlanCuentas!U$2:U$6092)</f>
        <v>0</v>
      </c>
      <c r="D506" s="12">
        <f>LOOKUP(408010200,[1]PlanCuentas!$A$2:$A$6092,[1]PlanCuentas!U$2:U$6092)</f>
        <v>0</v>
      </c>
      <c r="E506" s="12">
        <f>LOOKUP(408010300,[1]PlanCuentas!$A$2:$A$6092,[1]PlanCuentas!U$2:U$6092)</f>
        <v>0</v>
      </c>
      <c r="F506" s="12">
        <f>LOOKUP(408010400,[1]PlanCuentas!$A$2:$A$6092,[1]PlanCuentas!U$2:U$6092)</f>
        <v>0</v>
      </c>
      <c r="G506" s="12">
        <f>LOOKUP(408010500,[1]PlanCuentas!$A$2:$A$6092,[1]PlanCuentas!U$2:U$6092)</f>
        <v>0</v>
      </c>
      <c r="H506" s="12">
        <f>LOOKUP(408010600,[1]PlanCuentas!$A$2:$A$6092,[1]PlanCuentas!U$2:U$6092)</f>
        <v>0</v>
      </c>
      <c r="I506" s="12">
        <f>LOOKUP(408010700,[1]PlanCuentas!$A$2:$A$6092,[1]PlanCuentas!U$2:U$6092)</f>
        <v>0</v>
      </c>
      <c r="J506" s="12">
        <f>LOOKUP(408010800,[1]PlanCuentas!$A$2:$A$6092,[1]PlanCuentas!U$2:U$6092)</f>
        <v>0</v>
      </c>
      <c r="K506" s="12">
        <f>LOOKUP(408010900,[1]PlanCuentas!$A$2:$A$6092,[1]PlanCuentas!U$2:U$6092)</f>
        <v>0</v>
      </c>
      <c r="L506" s="12">
        <f>LOOKUP(408011000,[1]PlanCuentas!$A$2:$A$6092,[1]PlanCuentas!U$2:U$6092)</f>
        <v>0</v>
      </c>
      <c r="M506" s="12">
        <f>LOOKUP(408011100,[1]PlanCuentas!$A$2:$A$6092,[1]PlanCuentas!U$2:U$6092)</f>
        <v>0</v>
      </c>
      <c r="N506" s="12">
        <f>LOOKUP(408011200,[1]PlanCuentas!$A$2:$A$6092,[1]PlanCuentas!U$2:U$6092)</f>
        <v>0</v>
      </c>
      <c r="O506" s="12">
        <f>LOOKUP(408011300,[1]PlanCuentas!$A$2:$A$6092,[1]PlanCuentas!U$2:U$6092)</f>
        <v>0</v>
      </c>
      <c r="P506" s="12">
        <f>LOOKUP(408012000,[1]PlanCuentas!$A$2:$A$6092,[1]PlanCuentas!U$2:U$6092)</f>
        <v>0</v>
      </c>
      <c r="Q506" s="13">
        <f t="shared" si="24"/>
        <v>0</v>
      </c>
    </row>
    <row r="507" spans="1:17" x14ac:dyDescent="0.2">
      <c r="A507" s="10">
        <v>20</v>
      </c>
      <c r="B507" s="11" t="str">
        <f>[1]Aseguradoras!B21</f>
        <v>Aseguradora Yacyreta S.A de Seguros y Reaseguros</v>
      </c>
      <c r="C507" s="12">
        <f>LOOKUP(408010100,[1]PlanCuentas!$A$2:$A$6092,[1]PlanCuentas!V$2:V$6092)</f>
        <v>29607687</v>
      </c>
      <c r="D507" s="12">
        <f>LOOKUP(408010200,[1]PlanCuentas!$A$2:$A$6092,[1]PlanCuentas!V$2:V$6092)</f>
        <v>0</v>
      </c>
      <c r="E507" s="12">
        <f>LOOKUP(408010300,[1]PlanCuentas!$A$2:$A$6092,[1]PlanCuentas!V$2:V$6092)</f>
        <v>0</v>
      </c>
      <c r="F507" s="12">
        <f>LOOKUP(408010400,[1]PlanCuentas!$A$2:$A$6092,[1]PlanCuentas!V$2:V$6092)</f>
        <v>195823477</v>
      </c>
      <c r="G507" s="12">
        <f>LOOKUP(408010500,[1]PlanCuentas!$A$2:$A$6092,[1]PlanCuentas!V$2:V$6092)</f>
        <v>0</v>
      </c>
      <c r="H507" s="12">
        <f>LOOKUP(408010600,[1]PlanCuentas!$A$2:$A$6092,[1]PlanCuentas!V$2:V$6092)</f>
        <v>111019</v>
      </c>
      <c r="I507" s="12">
        <f>LOOKUP(408010700,[1]PlanCuentas!$A$2:$A$6092,[1]PlanCuentas!V$2:V$6092)</f>
        <v>119136</v>
      </c>
      <c r="J507" s="12">
        <f>LOOKUP(408010800,[1]PlanCuentas!$A$2:$A$6092,[1]PlanCuentas!V$2:V$6092)</f>
        <v>0</v>
      </c>
      <c r="K507" s="12">
        <f>LOOKUP(408010900,[1]PlanCuentas!$A$2:$A$6092,[1]PlanCuentas!V$2:V$6092)</f>
        <v>7011770</v>
      </c>
      <c r="L507" s="12">
        <f>LOOKUP(408011000,[1]PlanCuentas!$A$2:$A$6092,[1]PlanCuentas!V$2:V$6092)</f>
        <v>5214540</v>
      </c>
      <c r="M507" s="12">
        <f>LOOKUP(408011100,[1]PlanCuentas!$A$2:$A$6092,[1]PlanCuentas!V$2:V$6092)</f>
        <v>0</v>
      </c>
      <c r="N507" s="12">
        <f>LOOKUP(408011200,[1]PlanCuentas!$A$2:$A$6092,[1]PlanCuentas!V$2:V$6092)</f>
        <v>54635711</v>
      </c>
      <c r="O507" s="12">
        <f>LOOKUP(408011300,[1]PlanCuentas!$A$2:$A$6092,[1]PlanCuentas!V$2:V$6092)</f>
        <v>0</v>
      </c>
      <c r="P507" s="12">
        <f>LOOKUP(408012000,[1]PlanCuentas!$A$2:$A$6092,[1]PlanCuentas!V$2:V$6092)</f>
        <v>0</v>
      </c>
      <c r="Q507" s="13">
        <f t="shared" si="24"/>
        <v>292523340</v>
      </c>
    </row>
    <row r="508" spans="1:17" x14ac:dyDescent="0.2">
      <c r="A508" s="10">
        <v>21</v>
      </c>
      <c r="B508" s="11" t="str">
        <f>[1]Aseguradoras!B22</f>
        <v>La Agricola S.A de Seguros y Reaseguros</v>
      </c>
      <c r="C508" s="12">
        <f>LOOKUP(408010100,[1]PlanCuentas!$A$2:$A$6092,[1]PlanCuentas!W$2:W$6092)</f>
        <v>0</v>
      </c>
      <c r="D508" s="12">
        <f>LOOKUP(408010200,[1]PlanCuentas!$A$2:$A$6092,[1]PlanCuentas!W$2:W$6092)</f>
        <v>0</v>
      </c>
      <c r="E508" s="12">
        <f>LOOKUP(408010300,[1]PlanCuentas!$A$2:$A$6092,[1]PlanCuentas!W$2:W$6092)</f>
        <v>0</v>
      </c>
      <c r="F508" s="12">
        <f>LOOKUP(408010400,[1]PlanCuentas!$A$2:$A$6092,[1]PlanCuentas!W$2:W$6092)</f>
        <v>369291680</v>
      </c>
      <c r="G508" s="12">
        <f>LOOKUP(408010500,[1]PlanCuentas!$A$2:$A$6092,[1]PlanCuentas!W$2:W$6092)</f>
        <v>0</v>
      </c>
      <c r="H508" s="12">
        <f>LOOKUP(408010600,[1]PlanCuentas!$A$2:$A$6092,[1]PlanCuentas!W$2:W$6092)</f>
        <v>0</v>
      </c>
      <c r="I508" s="12">
        <f>LOOKUP(408010700,[1]PlanCuentas!$A$2:$A$6092,[1]PlanCuentas!W$2:W$6092)</f>
        <v>0</v>
      </c>
      <c r="J508" s="12">
        <f>LOOKUP(408010800,[1]PlanCuentas!$A$2:$A$6092,[1]PlanCuentas!W$2:W$6092)</f>
        <v>0</v>
      </c>
      <c r="K508" s="12">
        <f>LOOKUP(408010900,[1]PlanCuentas!$A$2:$A$6092,[1]PlanCuentas!W$2:W$6092)</f>
        <v>0</v>
      </c>
      <c r="L508" s="12">
        <f>LOOKUP(408011000,[1]PlanCuentas!$A$2:$A$6092,[1]PlanCuentas!W$2:W$6092)</f>
        <v>0</v>
      </c>
      <c r="M508" s="12">
        <f>LOOKUP(408011100,[1]PlanCuentas!$A$2:$A$6092,[1]PlanCuentas!W$2:W$6092)</f>
        <v>0</v>
      </c>
      <c r="N508" s="12">
        <f>LOOKUP(408011200,[1]PlanCuentas!$A$2:$A$6092,[1]PlanCuentas!W$2:W$6092)</f>
        <v>0</v>
      </c>
      <c r="O508" s="12">
        <f>LOOKUP(408011300,[1]PlanCuentas!$A$2:$A$6092,[1]PlanCuentas!W$2:W$6092)</f>
        <v>0</v>
      </c>
      <c r="P508" s="12">
        <f>LOOKUP(408012000,[1]PlanCuentas!$A$2:$A$6092,[1]PlanCuentas!W$2:W$6092)</f>
        <v>0</v>
      </c>
      <c r="Q508" s="13">
        <f t="shared" si="24"/>
        <v>369291680</v>
      </c>
    </row>
    <row r="509" spans="1:17" x14ac:dyDescent="0.2">
      <c r="A509" s="10">
        <v>22</v>
      </c>
      <c r="B509" s="11" t="str">
        <f>[1]Aseguradoras!B23</f>
        <v>Grupo General de Seguros y Reaseguros S.A.</v>
      </c>
      <c r="C509" s="12">
        <f>LOOKUP(408010100,[1]PlanCuentas!$A$2:$A$6092,[1]PlanCuentas!X$2:X$6092)</f>
        <v>15400</v>
      </c>
      <c r="D509" s="12">
        <f>LOOKUP(408010200,[1]PlanCuentas!$A$2:$A$6092,[1]PlanCuentas!X$2:X$6092)</f>
        <v>0</v>
      </c>
      <c r="E509" s="12">
        <f>LOOKUP(408010300,[1]PlanCuentas!$A$2:$A$6092,[1]PlanCuentas!X$2:X$6092)</f>
        <v>0</v>
      </c>
      <c r="F509" s="12">
        <f>LOOKUP(408010400,[1]PlanCuentas!$A$2:$A$6092,[1]PlanCuentas!X$2:X$6092)</f>
        <v>6788347</v>
      </c>
      <c r="G509" s="12">
        <f>LOOKUP(408010500,[1]PlanCuentas!$A$2:$A$6092,[1]PlanCuentas!X$2:X$6092)</f>
        <v>0</v>
      </c>
      <c r="H509" s="12">
        <f>LOOKUP(408010600,[1]PlanCuentas!$A$2:$A$6092,[1]PlanCuentas!X$2:X$6092)</f>
        <v>0</v>
      </c>
      <c r="I509" s="12">
        <f>LOOKUP(408010700,[1]PlanCuentas!$A$2:$A$6092,[1]PlanCuentas!X$2:X$6092)</f>
        <v>0</v>
      </c>
      <c r="J509" s="12">
        <f>LOOKUP(408010800,[1]PlanCuentas!$A$2:$A$6092,[1]PlanCuentas!X$2:X$6092)</f>
        <v>0</v>
      </c>
      <c r="K509" s="12">
        <f>LOOKUP(408010900,[1]PlanCuentas!$A$2:$A$6092,[1]PlanCuentas!X$2:X$6092)</f>
        <v>0</v>
      </c>
      <c r="L509" s="12">
        <f>LOOKUP(408011000,[1]PlanCuentas!$A$2:$A$6092,[1]PlanCuentas!X$2:X$6092)</f>
        <v>0</v>
      </c>
      <c r="M509" s="12">
        <f>LOOKUP(408011100,[1]PlanCuentas!$A$2:$A$6092,[1]PlanCuentas!X$2:X$6092)</f>
        <v>0</v>
      </c>
      <c r="N509" s="12">
        <f>LOOKUP(408011200,[1]PlanCuentas!$A$2:$A$6092,[1]PlanCuentas!X$2:X$6092)</f>
        <v>0</v>
      </c>
      <c r="O509" s="12">
        <f>LOOKUP(408011300,[1]PlanCuentas!$A$2:$A$6092,[1]PlanCuentas!X$2:X$6092)</f>
        <v>0</v>
      </c>
      <c r="P509" s="12">
        <f>LOOKUP(408012000,[1]PlanCuentas!$A$2:$A$6092,[1]PlanCuentas!X$2:X$6092)</f>
        <v>0</v>
      </c>
      <c r="Q509" s="13">
        <f t="shared" si="24"/>
        <v>6803747</v>
      </c>
    </row>
    <row r="510" spans="1:17" x14ac:dyDescent="0.2">
      <c r="A510" s="10">
        <v>23</v>
      </c>
      <c r="B510" s="11" t="str">
        <f>[1]Aseguradoras!B24</f>
        <v>Alfa S.A de Seguros y Reaseguros</v>
      </c>
      <c r="C510" s="12">
        <f>LOOKUP(408010100,[1]PlanCuentas!$A$2:$A$6092,[1]PlanCuentas!Y$2:Y$6092)</f>
        <v>0</v>
      </c>
      <c r="D510" s="12">
        <f>LOOKUP(408010200,[1]PlanCuentas!$A$2:$A$6092,[1]PlanCuentas!Y$2:Y$6092)</f>
        <v>0</v>
      </c>
      <c r="E510" s="12">
        <f>LOOKUP(408010300,[1]PlanCuentas!$A$2:$A$6092,[1]PlanCuentas!Y$2:Y$6092)</f>
        <v>0</v>
      </c>
      <c r="F510" s="12">
        <f>LOOKUP(408010400,[1]PlanCuentas!$A$2:$A$6092,[1]PlanCuentas!Y$2:Y$6092)</f>
        <v>0</v>
      </c>
      <c r="G510" s="12">
        <f>LOOKUP(408010500,[1]PlanCuentas!$A$2:$A$6092,[1]PlanCuentas!Y$2:Y$6092)</f>
        <v>0</v>
      </c>
      <c r="H510" s="12">
        <f>LOOKUP(408010600,[1]PlanCuentas!$A$2:$A$6092,[1]PlanCuentas!Y$2:Y$6092)</f>
        <v>0</v>
      </c>
      <c r="I510" s="12">
        <f>LOOKUP(408010700,[1]PlanCuentas!$A$2:$A$6092,[1]PlanCuentas!Y$2:Y$6092)</f>
        <v>0</v>
      </c>
      <c r="J510" s="12">
        <f>LOOKUP(408010800,[1]PlanCuentas!$A$2:$A$6092,[1]PlanCuentas!Y$2:Y$6092)</f>
        <v>0</v>
      </c>
      <c r="K510" s="12">
        <f>LOOKUP(408010900,[1]PlanCuentas!$A$2:$A$6092,[1]PlanCuentas!Y$2:Y$6092)</f>
        <v>0</v>
      </c>
      <c r="L510" s="12">
        <f>LOOKUP(408011000,[1]PlanCuentas!$A$2:$A$6092,[1]PlanCuentas!Y$2:Y$6092)</f>
        <v>0</v>
      </c>
      <c r="M510" s="12">
        <f>LOOKUP(408011100,[1]PlanCuentas!$A$2:$A$6092,[1]PlanCuentas!Y$2:Y$6092)</f>
        <v>0</v>
      </c>
      <c r="N510" s="12">
        <f>LOOKUP(408011200,[1]PlanCuentas!$A$2:$A$6092,[1]PlanCuentas!Y$2:Y$6092)</f>
        <v>0</v>
      </c>
      <c r="O510" s="12">
        <f>LOOKUP(408011300,[1]PlanCuentas!$A$2:$A$6092,[1]PlanCuentas!Y$2:Y$6092)</f>
        <v>0</v>
      </c>
      <c r="P510" s="12">
        <f>LOOKUP(408012000,[1]PlanCuentas!$A$2:$A$6092,[1]PlanCuentas!Y$2:Y$6092)</f>
        <v>0</v>
      </c>
      <c r="Q510" s="13">
        <f t="shared" si="24"/>
        <v>0</v>
      </c>
    </row>
    <row r="511" spans="1:17" x14ac:dyDescent="0.2">
      <c r="A511" s="10">
        <v>24</v>
      </c>
      <c r="B511" s="11" t="str">
        <f>[1]Aseguradoras!B25</f>
        <v>Cenit de Seguros S.A.</v>
      </c>
      <c r="C511" s="12">
        <f>LOOKUP(408010100,[1]PlanCuentas!$A$2:$A$6092,[1]PlanCuentas!Z$2:Z$6092)</f>
        <v>0</v>
      </c>
      <c r="D511" s="12">
        <f>LOOKUP(408010200,[1]PlanCuentas!$A$2:$A$6092,[1]PlanCuentas!Z$2:Z$6092)</f>
        <v>0</v>
      </c>
      <c r="E511" s="12">
        <f>LOOKUP(408010300,[1]PlanCuentas!$A$2:$A$6092,[1]PlanCuentas!Z$2:Z$6092)</f>
        <v>0</v>
      </c>
      <c r="F511" s="12">
        <f>LOOKUP(408010400,[1]PlanCuentas!$A$2:$A$6092,[1]PlanCuentas!Z$2:Z$6092)</f>
        <v>0</v>
      </c>
      <c r="G511" s="12">
        <f>LOOKUP(408010500,[1]PlanCuentas!$A$2:$A$6092,[1]PlanCuentas!Z$2:Z$6092)</f>
        <v>0</v>
      </c>
      <c r="H511" s="12">
        <f>LOOKUP(408010600,[1]PlanCuentas!$A$2:$A$6092,[1]PlanCuentas!Z$2:Z$6092)</f>
        <v>0</v>
      </c>
      <c r="I511" s="12">
        <f>LOOKUP(408010700,[1]PlanCuentas!$A$2:$A$6092,[1]PlanCuentas!Z$2:Z$6092)</f>
        <v>0</v>
      </c>
      <c r="J511" s="12">
        <f>LOOKUP(408010800,[1]PlanCuentas!$A$2:$A$6092,[1]PlanCuentas!Z$2:Z$6092)</f>
        <v>0</v>
      </c>
      <c r="K511" s="12">
        <f>LOOKUP(408010900,[1]PlanCuentas!$A$2:$A$6092,[1]PlanCuentas!Z$2:Z$6092)</f>
        <v>0</v>
      </c>
      <c r="L511" s="12">
        <f>LOOKUP(408011000,[1]PlanCuentas!$A$2:$A$6092,[1]PlanCuentas!Z$2:Z$6092)</f>
        <v>0</v>
      </c>
      <c r="M511" s="12">
        <f>LOOKUP(408011100,[1]PlanCuentas!$A$2:$A$6092,[1]PlanCuentas!Z$2:Z$6092)</f>
        <v>0</v>
      </c>
      <c r="N511" s="12">
        <f>LOOKUP(408011200,[1]PlanCuentas!$A$2:$A$6092,[1]PlanCuentas!Z$2:Z$6092)</f>
        <v>0</v>
      </c>
      <c r="O511" s="12">
        <f>LOOKUP(408011300,[1]PlanCuentas!$A$2:$A$6092,[1]PlanCuentas!Z$2:Z$6092)</f>
        <v>0</v>
      </c>
      <c r="P511" s="12">
        <f>LOOKUP(408012000,[1]PlanCuentas!$A$2:$A$6092,[1]PlanCuentas!Z$2:Z$6092)</f>
        <v>0</v>
      </c>
      <c r="Q511" s="13">
        <f t="shared" si="24"/>
        <v>0</v>
      </c>
    </row>
    <row r="512" spans="1:17" x14ac:dyDescent="0.2">
      <c r="A512" s="10">
        <v>25</v>
      </c>
      <c r="B512" s="11" t="str">
        <f>[1]Aseguradoras!B26</f>
        <v>La Meridional Paraguaya S.A de Seguros</v>
      </c>
      <c r="C512" s="12">
        <f>LOOKUP(408010100,[1]PlanCuentas!$A$2:$A$6092,[1]PlanCuentas!AA$2:AA$6092)</f>
        <v>11397420</v>
      </c>
      <c r="D512" s="12">
        <f>LOOKUP(408010200,[1]PlanCuentas!$A$2:$A$6092,[1]PlanCuentas!AA$2:AA$6092)</f>
        <v>0</v>
      </c>
      <c r="E512" s="12">
        <f>LOOKUP(408010300,[1]PlanCuentas!$A$2:$A$6092,[1]PlanCuentas!AA$2:AA$6092)</f>
        <v>0</v>
      </c>
      <c r="F512" s="12">
        <f>LOOKUP(408010400,[1]PlanCuentas!$A$2:$A$6092,[1]PlanCuentas!AA$2:AA$6092)</f>
        <v>0</v>
      </c>
      <c r="G512" s="12">
        <f>LOOKUP(408010500,[1]PlanCuentas!$A$2:$A$6092,[1]PlanCuentas!AA$2:AA$6092)</f>
        <v>0</v>
      </c>
      <c r="H512" s="12">
        <f>LOOKUP(408010600,[1]PlanCuentas!$A$2:$A$6092,[1]PlanCuentas!AA$2:AA$6092)</f>
        <v>0</v>
      </c>
      <c r="I512" s="12">
        <f>LOOKUP(408010700,[1]PlanCuentas!$A$2:$A$6092,[1]PlanCuentas!AA$2:AA$6092)</f>
        <v>0</v>
      </c>
      <c r="J512" s="12">
        <f>LOOKUP(408010800,[1]PlanCuentas!$A$2:$A$6092,[1]PlanCuentas!AA$2:AA$6092)</f>
        <v>0</v>
      </c>
      <c r="K512" s="12">
        <f>LOOKUP(408010900,[1]PlanCuentas!$A$2:$A$6092,[1]PlanCuentas!AA$2:AA$6092)</f>
        <v>0</v>
      </c>
      <c r="L512" s="12">
        <f>LOOKUP(408011000,[1]PlanCuentas!$A$2:$A$6092,[1]PlanCuentas!AA$2:AA$6092)</f>
        <v>0</v>
      </c>
      <c r="M512" s="12">
        <f>LOOKUP(408011100,[1]PlanCuentas!$A$2:$A$6092,[1]PlanCuentas!AA$2:AA$6092)</f>
        <v>0</v>
      </c>
      <c r="N512" s="12">
        <f>LOOKUP(408011200,[1]PlanCuentas!$A$2:$A$6092,[1]PlanCuentas!AA$2:AA$6092)</f>
        <v>0</v>
      </c>
      <c r="O512" s="12">
        <f>LOOKUP(408011300,[1]PlanCuentas!$A$2:$A$6092,[1]PlanCuentas!AA$2:AA$6092)</f>
        <v>0</v>
      </c>
      <c r="P512" s="12">
        <f>LOOKUP(408012000,[1]PlanCuentas!$A$2:$A$6092,[1]PlanCuentas!AA$2:AA$6092)</f>
        <v>0</v>
      </c>
      <c r="Q512" s="13">
        <f t="shared" si="24"/>
        <v>11397420</v>
      </c>
    </row>
    <row r="513" spans="1:17" x14ac:dyDescent="0.2">
      <c r="A513" s="10">
        <v>26</v>
      </c>
      <c r="B513" s="11" t="str">
        <f>[1]Aseguradoras!B27</f>
        <v>Aseguradora Del Este S.A de Seguros y Reaseguros</v>
      </c>
      <c r="C513" s="12">
        <f>LOOKUP(408010100,[1]PlanCuentas!$A$2:$A$6092,[1]PlanCuentas!AB$2:AB$6092)</f>
        <v>0</v>
      </c>
      <c r="D513" s="12">
        <f>LOOKUP(408010200,[1]PlanCuentas!$A$2:$A$6092,[1]PlanCuentas!AB$2:AB$6092)</f>
        <v>0</v>
      </c>
      <c r="E513" s="12">
        <f>LOOKUP(408010300,[1]PlanCuentas!$A$2:$A$6092,[1]PlanCuentas!AB$2:AB$6092)</f>
        <v>0</v>
      </c>
      <c r="F513" s="12">
        <f>LOOKUP(408010400,[1]PlanCuentas!$A$2:$A$6092,[1]PlanCuentas!AB$2:AB$6092)</f>
        <v>0</v>
      </c>
      <c r="G513" s="12">
        <f>LOOKUP(408010500,[1]PlanCuentas!$A$2:$A$6092,[1]PlanCuentas!AB$2:AB$6092)</f>
        <v>0</v>
      </c>
      <c r="H513" s="12">
        <f>LOOKUP(408010600,[1]PlanCuentas!$A$2:$A$6092,[1]PlanCuentas!AB$2:AB$6092)</f>
        <v>0</v>
      </c>
      <c r="I513" s="12">
        <f>LOOKUP(408010700,[1]PlanCuentas!$A$2:$A$6092,[1]PlanCuentas!AB$2:AB$6092)</f>
        <v>0</v>
      </c>
      <c r="J513" s="12">
        <f>LOOKUP(408010800,[1]PlanCuentas!$A$2:$A$6092,[1]PlanCuentas!AB$2:AB$6092)</f>
        <v>0</v>
      </c>
      <c r="K513" s="12">
        <f>LOOKUP(408010900,[1]PlanCuentas!$A$2:$A$6092,[1]PlanCuentas!AB$2:AB$6092)</f>
        <v>0</v>
      </c>
      <c r="L513" s="12">
        <f>LOOKUP(408011000,[1]PlanCuentas!$A$2:$A$6092,[1]PlanCuentas!AB$2:AB$6092)</f>
        <v>0</v>
      </c>
      <c r="M513" s="12">
        <f>LOOKUP(408011100,[1]PlanCuentas!$A$2:$A$6092,[1]PlanCuentas!AB$2:AB$6092)</f>
        <v>0</v>
      </c>
      <c r="N513" s="12">
        <f>LOOKUP(408011200,[1]PlanCuentas!$A$2:$A$6092,[1]PlanCuentas!AB$2:AB$6092)</f>
        <v>0</v>
      </c>
      <c r="O513" s="12">
        <f>LOOKUP(408011300,[1]PlanCuentas!$A$2:$A$6092,[1]PlanCuentas!AB$2:AB$6092)</f>
        <v>0</v>
      </c>
      <c r="P513" s="12">
        <f>LOOKUP(408012000,[1]PlanCuentas!$A$2:$A$6092,[1]PlanCuentas!AB$2:AB$6092)</f>
        <v>173409102</v>
      </c>
      <c r="Q513" s="13">
        <f t="shared" si="24"/>
        <v>173409102</v>
      </c>
    </row>
    <row r="514" spans="1:17" x14ac:dyDescent="0.2">
      <c r="A514" s="10">
        <v>27</v>
      </c>
      <c r="B514" s="11" t="str">
        <f>[1]Aseguradoras!B28</f>
        <v>Imperio S.A de Seguros y Reaseguros</v>
      </c>
      <c r="C514" s="12">
        <f>LOOKUP(408010100,[1]PlanCuentas!$A$2:$A$6092,[1]PlanCuentas!AC$2:AC$6092)</f>
        <v>0</v>
      </c>
      <c r="D514" s="12">
        <f>LOOKUP(408010200,[1]PlanCuentas!$A$2:$A$6092,[1]PlanCuentas!AC$2:AC$6092)</f>
        <v>0</v>
      </c>
      <c r="E514" s="12">
        <f>LOOKUP(408010300,[1]PlanCuentas!$A$2:$A$6092,[1]PlanCuentas!AC$2:AC$6092)</f>
        <v>0</v>
      </c>
      <c r="F514" s="12">
        <f>LOOKUP(408010400,[1]PlanCuentas!$A$2:$A$6092,[1]PlanCuentas!AC$2:AC$6092)</f>
        <v>0</v>
      </c>
      <c r="G514" s="12">
        <f>LOOKUP(408010500,[1]PlanCuentas!$A$2:$A$6092,[1]PlanCuentas!AC$2:AC$6092)</f>
        <v>0</v>
      </c>
      <c r="H514" s="12">
        <f>LOOKUP(408010600,[1]PlanCuentas!$A$2:$A$6092,[1]PlanCuentas!AC$2:AC$6092)</f>
        <v>0</v>
      </c>
      <c r="I514" s="12">
        <f>LOOKUP(408010700,[1]PlanCuentas!$A$2:$A$6092,[1]PlanCuentas!AC$2:AC$6092)</f>
        <v>0</v>
      </c>
      <c r="J514" s="12">
        <f>LOOKUP(408010800,[1]PlanCuentas!$A$2:$A$6092,[1]PlanCuentas!AC$2:AC$6092)</f>
        <v>0</v>
      </c>
      <c r="K514" s="12">
        <f>LOOKUP(408010900,[1]PlanCuentas!$A$2:$A$6092,[1]PlanCuentas!AC$2:AC$6092)</f>
        <v>0</v>
      </c>
      <c r="L514" s="12">
        <f>LOOKUP(408011000,[1]PlanCuentas!$A$2:$A$6092,[1]PlanCuentas!AC$2:AC$6092)</f>
        <v>0</v>
      </c>
      <c r="M514" s="12">
        <f>LOOKUP(408011100,[1]PlanCuentas!$A$2:$A$6092,[1]PlanCuentas!AC$2:AC$6092)</f>
        <v>0</v>
      </c>
      <c r="N514" s="12">
        <f>LOOKUP(408011200,[1]PlanCuentas!$A$2:$A$6092,[1]PlanCuentas!AC$2:AC$6092)</f>
        <v>0</v>
      </c>
      <c r="O514" s="12">
        <f>LOOKUP(408011300,[1]PlanCuentas!$A$2:$A$6092,[1]PlanCuentas!AC$2:AC$6092)</f>
        <v>0</v>
      </c>
      <c r="P514" s="12">
        <f>LOOKUP(408012000,[1]PlanCuentas!$A$2:$A$6092,[1]PlanCuentas!AC$2:AC$6092)</f>
        <v>0</v>
      </c>
      <c r="Q514" s="13">
        <f t="shared" si="24"/>
        <v>0</v>
      </c>
    </row>
    <row r="515" spans="1:17" x14ac:dyDescent="0.2">
      <c r="A515" s="10">
        <v>28</v>
      </c>
      <c r="B515" s="11" t="str">
        <f>[1]Aseguradoras!B29</f>
        <v>Regional S.A de Seguros y Reaseguros</v>
      </c>
      <c r="C515" s="12">
        <f>LOOKUP(408010100,[1]PlanCuentas!$A$2:$A$6092,[1]PlanCuentas!AD$2:AD$6092)</f>
        <v>0</v>
      </c>
      <c r="D515" s="12">
        <f>LOOKUP(408010200,[1]PlanCuentas!$A$2:$A$6092,[1]PlanCuentas!AD$2:AD$6092)</f>
        <v>0</v>
      </c>
      <c r="E515" s="12">
        <f>LOOKUP(408010300,[1]PlanCuentas!$A$2:$A$6092,[1]PlanCuentas!AD$2:AD$6092)</f>
        <v>0</v>
      </c>
      <c r="F515" s="12">
        <f>LOOKUP(408010400,[1]PlanCuentas!$A$2:$A$6092,[1]PlanCuentas!AD$2:AD$6092)</f>
        <v>0</v>
      </c>
      <c r="G515" s="12">
        <f>LOOKUP(408010500,[1]PlanCuentas!$A$2:$A$6092,[1]PlanCuentas!AD$2:AD$6092)</f>
        <v>0</v>
      </c>
      <c r="H515" s="12">
        <f>LOOKUP(408010600,[1]PlanCuentas!$A$2:$A$6092,[1]PlanCuentas!AD$2:AD$6092)</f>
        <v>0</v>
      </c>
      <c r="I515" s="12">
        <f>LOOKUP(408010700,[1]PlanCuentas!$A$2:$A$6092,[1]PlanCuentas!AD$2:AD$6092)</f>
        <v>0</v>
      </c>
      <c r="J515" s="12">
        <f>LOOKUP(408010800,[1]PlanCuentas!$A$2:$A$6092,[1]PlanCuentas!AD$2:AD$6092)</f>
        <v>0</v>
      </c>
      <c r="K515" s="12">
        <f>LOOKUP(408010900,[1]PlanCuentas!$A$2:$A$6092,[1]PlanCuentas!AD$2:AD$6092)</f>
        <v>0</v>
      </c>
      <c r="L515" s="12">
        <f>LOOKUP(408011000,[1]PlanCuentas!$A$2:$A$6092,[1]PlanCuentas!AD$2:AD$6092)</f>
        <v>0</v>
      </c>
      <c r="M515" s="12">
        <f>LOOKUP(408011100,[1]PlanCuentas!$A$2:$A$6092,[1]PlanCuentas!AD$2:AD$6092)</f>
        <v>0</v>
      </c>
      <c r="N515" s="12">
        <f>LOOKUP(408011200,[1]PlanCuentas!$A$2:$A$6092,[1]PlanCuentas!AD$2:AD$6092)</f>
        <v>0</v>
      </c>
      <c r="O515" s="12">
        <f>LOOKUP(408011300,[1]PlanCuentas!$A$2:$A$6092,[1]PlanCuentas!AD$2:AD$6092)</f>
        <v>0</v>
      </c>
      <c r="P515" s="12">
        <f>LOOKUP(408012000,[1]PlanCuentas!$A$2:$A$6092,[1]PlanCuentas!AD$2:AD$6092)</f>
        <v>0</v>
      </c>
      <c r="Q515" s="13">
        <f t="shared" si="24"/>
        <v>0</v>
      </c>
    </row>
    <row r="516" spans="1:17" s="37" customFormat="1" x14ac:dyDescent="0.2">
      <c r="A516" s="10">
        <v>29</v>
      </c>
      <c r="B516" s="11" t="str">
        <f>[1]Aseguradoras!B30</f>
        <v>Mapfre Paraguay Compañía de Seguros S.A.</v>
      </c>
      <c r="C516" s="12">
        <f>LOOKUP(408010100,[1]PlanCuentas!$A$2:$A$6092,[1]PlanCuentas!AE$2:AE$6092)</f>
        <v>0</v>
      </c>
      <c r="D516" s="12">
        <f>LOOKUP(408010200,[1]PlanCuentas!$A$2:$A$6092,[1]PlanCuentas!AE$2:AE$6092)</f>
        <v>0</v>
      </c>
      <c r="E516" s="12">
        <f>LOOKUP(408010300,[1]PlanCuentas!$A$2:$A$6092,[1]PlanCuentas!AE$2:AE$6092)</f>
        <v>0</v>
      </c>
      <c r="F516" s="12">
        <f>LOOKUP(408010400,[1]PlanCuentas!$A$2:$A$6092,[1]PlanCuentas!AE$2:AE$6092)</f>
        <v>0</v>
      </c>
      <c r="G516" s="12">
        <f>LOOKUP(408010500,[1]PlanCuentas!$A$2:$A$6092,[1]PlanCuentas!AE$2:AE$6092)</f>
        <v>0</v>
      </c>
      <c r="H516" s="12">
        <f>LOOKUP(408010600,[1]PlanCuentas!$A$2:$A$6092,[1]PlanCuentas!AE$2:AE$6092)</f>
        <v>0</v>
      </c>
      <c r="I516" s="12">
        <f>LOOKUP(408010700,[1]PlanCuentas!$A$2:$A$6092,[1]PlanCuentas!AE$2:AE$6092)</f>
        <v>0</v>
      </c>
      <c r="J516" s="12">
        <f>LOOKUP(408010800,[1]PlanCuentas!$A$2:$A$6092,[1]PlanCuentas!AE$2:AE$6092)</f>
        <v>0</v>
      </c>
      <c r="K516" s="12">
        <f>LOOKUP(408010900,[1]PlanCuentas!$A$2:$A$6092,[1]PlanCuentas!AE$2:AE$6092)</f>
        <v>0</v>
      </c>
      <c r="L516" s="12">
        <f>LOOKUP(408011000,[1]PlanCuentas!$A$2:$A$6092,[1]PlanCuentas!AE$2:AE$6092)</f>
        <v>0</v>
      </c>
      <c r="M516" s="12">
        <f>LOOKUP(408011100,[1]PlanCuentas!$A$2:$A$6092,[1]PlanCuentas!AE$2:AE$6092)</f>
        <v>0</v>
      </c>
      <c r="N516" s="12">
        <f>LOOKUP(408011200,[1]PlanCuentas!$A$2:$A$6092,[1]PlanCuentas!AE$2:AE$6092)</f>
        <v>0</v>
      </c>
      <c r="O516" s="12">
        <f>LOOKUP(408011300,[1]PlanCuentas!$A$2:$A$6092,[1]PlanCuentas!AE$2:AE$6092)</f>
        <v>0</v>
      </c>
      <c r="P516" s="12">
        <f>LOOKUP(408012000,[1]PlanCuentas!$A$2:$A$6092,[1]PlanCuentas!AE$2:AE$6092)</f>
        <v>0</v>
      </c>
      <c r="Q516" s="13">
        <f t="shared" si="24"/>
        <v>0</v>
      </c>
    </row>
    <row r="517" spans="1:17" x14ac:dyDescent="0.2">
      <c r="A517" s="10">
        <v>30</v>
      </c>
      <c r="B517" s="11" t="str">
        <f>[1]Aseguradoras!B31</f>
        <v>Aseguradora Tajy Propiedad Cooperativa S.A. de Seguros</v>
      </c>
      <c r="C517" s="12">
        <f>LOOKUP(408010100,[1]PlanCuentas!$A$2:$A$6092,[1]PlanCuentas!AF$2:AF$6092)</f>
        <v>0</v>
      </c>
      <c r="D517" s="12">
        <f>LOOKUP(408010200,[1]PlanCuentas!$A$2:$A$6092,[1]PlanCuentas!AF$2:AF$6092)</f>
        <v>0</v>
      </c>
      <c r="E517" s="12">
        <f>LOOKUP(408010300,[1]PlanCuentas!$A$2:$A$6092,[1]PlanCuentas!AF$2:AF$6092)</f>
        <v>0</v>
      </c>
      <c r="F517" s="12">
        <f>LOOKUP(408010400,[1]PlanCuentas!$A$2:$A$6092,[1]PlanCuentas!AF$2:AF$6092)</f>
        <v>0</v>
      </c>
      <c r="G517" s="12">
        <f>LOOKUP(408010500,[1]PlanCuentas!$A$2:$A$6092,[1]PlanCuentas!AF$2:AF$6092)</f>
        <v>0</v>
      </c>
      <c r="H517" s="12">
        <f>LOOKUP(408010600,[1]PlanCuentas!$A$2:$A$6092,[1]PlanCuentas!AF$2:AF$6092)</f>
        <v>0</v>
      </c>
      <c r="I517" s="12">
        <f>LOOKUP(408010700,[1]PlanCuentas!$A$2:$A$6092,[1]PlanCuentas!AF$2:AF$6092)</f>
        <v>0</v>
      </c>
      <c r="J517" s="12">
        <f>LOOKUP(408010800,[1]PlanCuentas!$A$2:$A$6092,[1]PlanCuentas!AF$2:AF$6092)</f>
        <v>0</v>
      </c>
      <c r="K517" s="12">
        <f>LOOKUP(408010900,[1]PlanCuentas!$A$2:$A$6092,[1]PlanCuentas!AF$2:AF$6092)</f>
        <v>0</v>
      </c>
      <c r="L517" s="12">
        <f>LOOKUP(408011000,[1]PlanCuentas!$A$2:$A$6092,[1]PlanCuentas!AF$2:AF$6092)</f>
        <v>0</v>
      </c>
      <c r="M517" s="12">
        <f>LOOKUP(408011100,[1]PlanCuentas!$A$2:$A$6092,[1]PlanCuentas!AF$2:AF$6092)</f>
        <v>0</v>
      </c>
      <c r="N517" s="12">
        <f>LOOKUP(408011200,[1]PlanCuentas!$A$2:$A$6092,[1]PlanCuentas!AF$2:AF$6092)</f>
        <v>0</v>
      </c>
      <c r="O517" s="12">
        <f>LOOKUP(408011300,[1]PlanCuentas!$A$2:$A$6092,[1]PlanCuentas!AF$2:AF$6092)</f>
        <v>0</v>
      </c>
      <c r="P517" s="12">
        <f>LOOKUP(408012000,[1]PlanCuentas!$A$2:$A$6092,[1]PlanCuentas!AF$2:AF$6092)</f>
        <v>0</v>
      </c>
      <c r="Q517" s="13">
        <f t="shared" si="24"/>
        <v>0</v>
      </c>
    </row>
    <row r="518" spans="1:17" x14ac:dyDescent="0.2">
      <c r="A518" s="10">
        <v>31</v>
      </c>
      <c r="B518" s="11" t="str">
        <f>[1]Aseguradoras!B32</f>
        <v>Aseguradora del Sur S.A. Seguros Generales - ASUR</v>
      </c>
      <c r="C518" s="12">
        <f>LOOKUP(408010100,[1]PlanCuentas!$A$2:$A$6092,[1]PlanCuentas!AG$2:AG$6092)</f>
        <v>0</v>
      </c>
      <c r="D518" s="12">
        <f>LOOKUP(408010200,[1]PlanCuentas!$A$2:$A$6092,[1]PlanCuentas!AG$2:AG$6092)</f>
        <v>0</v>
      </c>
      <c r="E518" s="12">
        <f>LOOKUP(408010300,[1]PlanCuentas!$A$2:$A$6092,[1]PlanCuentas!AG$2:AG$6092)</f>
        <v>0</v>
      </c>
      <c r="F518" s="12">
        <f>LOOKUP(408010400,[1]PlanCuentas!$A$2:$A$6092,[1]PlanCuentas!AG$2:AG$6092)</f>
        <v>0</v>
      </c>
      <c r="G518" s="12">
        <f>LOOKUP(408010500,[1]PlanCuentas!$A$2:$A$6092,[1]PlanCuentas!AG$2:AG$6092)</f>
        <v>0</v>
      </c>
      <c r="H518" s="12">
        <f>LOOKUP(408010600,[1]PlanCuentas!$A$2:$A$6092,[1]PlanCuentas!AG$2:AG$6092)</f>
        <v>0</v>
      </c>
      <c r="I518" s="12">
        <f>LOOKUP(408010700,[1]PlanCuentas!$A$2:$A$6092,[1]PlanCuentas!AG$2:AG$6092)</f>
        <v>0</v>
      </c>
      <c r="J518" s="12">
        <f>LOOKUP(408010800,[1]PlanCuentas!$A$2:$A$6092,[1]PlanCuentas!AG$2:AG$6092)</f>
        <v>0</v>
      </c>
      <c r="K518" s="12">
        <f>LOOKUP(408010900,[1]PlanCuentas!$A$2:$A$6092,[1]PlanCuentas!AG$2:AG$6092)</f>
        <v>0</v>
      </c>
      <c r="L518" s="12">
        <f>LOOKUP(408011000,[1]PlanCuentas!$A$2:$A$6092,[1]PlanCuentas!AG$2:AG$6092)</f>
        <v>0</v>
      </c>
      <c r="M518" s="12">
        <f>LOOKUP(408011100,[1]PlanCuentas!$A$2:$A$6092,[1]PlanCuentas!AG$2:AG$6092)</f>
        <v>0</v>
      </c>
      <c r="N518" s="12">
        <f>LOOKUP(408011200,[1]PlanCuentas!$A$2:$A$6092,[1]PlanCuentas!AG$2:AG$6092)</f>
        <v>0</v>
      </c>
      <c r="O518" s="12">
        <f>LOOKUP(408011300,[1]PlanCuentas!$A$2:$A$6092,[1]PlanCuentas!AG$2:AG$6092)</f>
        <v>0</v>
      </c>
      <c r="P518" s="12">
        <f>LOOKUP(408012000,[1]PlanCuentas!$A$2:$A$6092,[1]PlanCuentas!AG$2:AG$6092)</f>
        <v>0</v>
      </c>
      <c r="Q518" s="13">
        <f t="shared" si="24"/>
        <v>0</v>
      </c>
    </row>
    <row r="519" spans="1:17" x14ac:dyDescent="0.2">
      <c r="A519" s="10">
        <v>32</v>
      </c>
      <c r="B519" s="11" t="str">
        <f>[1]Aseguradoras!B33</f>
        <v>Panal Compañía De Seguros Generales S.A.</v>
      </c>
      <c r="C519" s="12">
        <f>LOOKUP(408010100,[1]PlanCuentas!$A$2:$A$6092,[1]PlanCuentas!AH$2:AH$6092)</f>
        <v>0</v>
      </c>
      <c r="D519" s="12">
        <f>LOOKUP(408010200,[1]PlanCuentas!$A$2:$A$6092,[1]PlanCuentas!AH$2:AH$6092)</f>
        <v>0</v>
      </c>
      <c r="E519" s="12">
        <f>LOOKUP(408010300,[1]PlanCuentas!$A$2:$A$6092,[1]PlanCuentas!AH$2:AH$6092)</f>
        <v>0</v>
      </c>
      <c r="F519" s="12">
        <f>LOOKUP(408010400,[1]PlanCuentas!$A$2:$A$6092,[1]PlanCuentas!AH$2:AH$6092)</f>
        <v>0</v>
      </c>
      <c r="G519" s="12">
        <f>LOOKUP(408010500,[1]PlanCuentas!$A$2:$A$6092,[1]PlanCuentas!AH$2:AH$6092)</f>
        <v>0</v>
      </c>
      <c r="H519" s="12">
        <f>LOOKUP(408010600,[1]PlanCuentas!$A$2:$A$6092,[1]PlanCuentas!AH$2:AH$6092)</f>
        <v>0</v>
      </c>
      <c r="I519" s="12">
        <f>LOOKUP(408010700,[1]PlanCuentas!$A$2:$A$6092,[1]PlanCuentas!AH$2:AH$6092)</f>
        <v>0</v>
      </c>
      <c r="J519" s="12">
        <f>LOOKUP(408010800,[1]PlanCuentas!$A$2:$A$6092,[1]PlanCuentas!AH$2:AH$6092)</f>
        <v>0</v>
      </c>
      <c r="K519" s="12">
        <f>LOOKUP(408010900,[1]PlanCuentas!$A$2:$A$6092,[1]PlanCuentas!AH$2:AH$6092)</f>
        <v>0</v>
      </c>
      <c r="L519" s="12">
        <f>LOOKUP(408011000,[1]PlanCuentas!$A$2:$A$6092,[1]PlanCuentas!AH$2:AH$6092)</f>
        <v>0</v>
      </c>
      <c r="M519" s="12">
        <f>LOOKUP(408011100,[1]PlanCuentas!$A$2:$A$6092,[1]PlanCuentas!AH$2:AH$6092)</f>
        <v>0</v>
      </c>
      <c r="N519" s="12">
        <f>LOOKUP(408011200,[1]PlanCuentas!$A$2:$A$6092,[1]PlanCuentas!AH$2:AH$6092)</f>
        <v>0</v>
      </c>
      <c r="O519" s="12">
        <f>LOOKUP(408011300,[1]PlanCuentas!$A$2:$A$6092,[1]PlanCuentas!AH$2:AH$6092)</f>
        <v>0</v>
      </c>
      <c r="P519" s="12">
        <f>LOOKUP(408012000,[1]PlanCuentas!$A$2:$A$6092,[1]PlanCuentas!AH$2:AH$6092)</f>
        <v>0</v>
      </c>
      <c r="Q519" s="13">
        <f t="shared" si="24"/>
        <v>0</v>
      </c>
    </row>
    <row r="520" spans="1:17" x14ac:dyDescent="0.2">
      <c r="A520" s="10">
        <v>33</v>
      </c>
      <c r="B520" s="19" t="str">
        <f>[1]Aseguradoras!B34</f>
        <v>Sancor Seguros del Paraguay S.A.</v>
      </c>
      <c r="C520" s="12">
        <f>LOOKUP(408010100,[1]PlanCuentas!$A$2:$A$6092,[1]PlanCuentas!AI$2:AI$6092)</f>
        <v>0</v>
      </c>
      <c r="D520" s="12">
        <f>LOOKUP(408010200,[1]PlanCuentas!$A$2:$A$6092,[1]PlanCuentas!AI$2:AI$6092)</f>
        <v>0</v>
      </c>
      <c r="E520" s="12">
        <f>LOOKUP(408010300,[1]PlanCuentas!$A$2:$A$6092,[1]PlanCuentas!AI$2:AI$6092)</f>
        <v>0</v>
      </c>
      <c r="F520" s="12">
        <f>LOOKUP(408010400,[1]PlanCuentas!$A$2:$A$6092,[1]PlanCuentas!AI$2:AI$6092)</f>
        <v>0</v>
      </c>
      <c r="G520" s="12">
        <f>LOOKUP(408010500,[1]PlanCuentas!$A$2:$A$6092,[1]PlanCuentas!AI$2:AI$6092)</f>
        <v>0</v>
      </c>
      <c r="H520" s="12">
        <f>LOOKUP(408010600,[1]PlanCuentas!$A$2:$A$6092,[1]PlanCuentas!AI$2:AI$6092)</f>
        <v>0</v>
      </c>
      <c r="I520" s="12">
        <f>LOOKUP(408010700,[1]PlanCuentas!$A$2:$A$6092,[1]PlanCuentas!AI$2:AI$6092)</f>
        <v>0</v>
      </c>
      <c r="J520" s="12">
        <f>LOOKUP(408010800,[1]PlanCuentas!$A$2:$A$6092,[1]PlanCuentas!AI$2:AI$6092)</f>
        <v>0</v>
      </c>
      <c r="K520" s="12">
        <f>LOOKUP(408010900,[1]PlanCuentas!$A$2:$A$6092,[1]PlanCuentas!AI$2:AI$6092)</f>
        <v>0</v>
      </c>
      <c r="L520" s="12">
        <f>LOOKUP(408011000,[1]PlanCuentas!$A$2:$A$6092,[1]PlanCuentas!AI$2:AI$6092)</f>
        <v>0</v>
      </c>
      <c r="M520" s="12">
        <f>LOOKUP(408011100,[1]PlanCuentas!$A$2:$A$6092,[1]PlanCuentas!AI$2:AI$6092)</f>
        <v>0</v>
      </c>
      <c r="N520" s="12">
        <f>LOOKUP(408011200,[1]PlanCuentas!$A$2:$A$6092,[1]PlanCuentas!AI$2:AI$6092)</f>
        <v>0</v>
      </c>
      <c r="O520" s="12">
        <f>LOOKUP(408011300,[1]PlanCuentas!$A$2:$A$6092,[1]PlanCuentas!AI$2:AI$6092)</f>
        <v>0</v>
      </c>
      <c r="P520" s="12">
        <f>LOOKUP(408012000,[1]PlanCuentas!$A$2:$A$6092,[1]PlanCuentas!AI$2:AI$6092)</f>
        <v>0</v>
      </c>
      <c r="Q520" s="13">
        <f>SUM(C520:P520)</f>
        <v>0</v>
      </c>
    </row>
    <row r="521" spans="1:17" x14ac:dyDescent="0.2">
      <c r="A521" s="14"/>
      <c r="B521" s="15" t="s">
        <v>18</v>
      </c>
      <c r="C521" s="17">
        <f t="shared" ref="C521:Q521" si="25">SUBTOTAL(109,C488:C520)</f>
        <v>428244999</v>
      </c>
      <c r="D521" s="17">
        <f t="shared" si="25"/>
        <v>61257</v>
      </c>
      <c r="E521" s="17">
        <f t="shared" si="25"/>
        <v>51388889</v>
      </c>
      <c r="F521" s="17">
        <f t="shared" si="25"/>
        <v>1462016880</v>
      </c>
      <c r="G521" s="17">
        <f t="shared" si="25"/>
        <v>0</v>
      </c>
      <c r="H521" s="17">
        <f t="shared" si="25"/>
        <v>21983139</v>
      </c>
      <c r="I521" s="17">
        <f t="shared" si="25"/>
        <v>9022313</v>
      </c>
      <c r="J521" s="17">
        <f t="shared" si="25"/>
        <v>0</v>
      </c>
      <c r="K521" s="17">
        <f t="shared" si="25"/>
        <v>141151142</v>
      </c>
      <c r="L521" s="17">
        <f t="shared" si="25"/>
        <v>67733986</v>
      </c>
      <c r="M521" s="17">
        <f t="shared" si="25"/>
        <v>0</v>
      </c>
      <c r="N521" s="17">
        <f t="shared" si="25"/>
        <v>261520750</v>
      </c>
      <c r="O521" s="17">
        <f t="shared" si="25"/>
        <v>0</v>
      </c>
      <c r="P521" s="17">
        <f t="shared" si="25"/>
        <v>186669102</v>
      </c>
      <c r="Q521" s="17">
        <f t="shared" si="25"/>
        <v>2629792457</v>
      </c>
    </row>
    <row r="523" spans="1:17" ht="28.35" customHeight="1" x14ac:dyDescent="0.2">
      <c r="A523" s="1" t="s">
        <v>38</v>
      </c>
      <c r="B523" s="47" t="s">
        <v>40</v>
      </c>
      <c r="C523" s="47"/>
      <c r="D523" s="2"/>
      <c r="E523" s="3"/>
      <c r="F523" s="4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</row>
    <row r="524" spans="1:17" ht="24" x14ac:dyDescent="0.2">
      <c r="A524" s="7" t="s">
        <v>2</v>
      </c>
      <c r="B524" s="8" t="s">
        <v>3</v>
      </c>
      <c r="C524" s="9" t="s">
        <v>4</v>
      </c>
      <c r="D524" s="9" t="s">
        <v>5</v>
      </c>
      <c r="E524" s="9" t="s">
        <v>6</v>
      </c>
      <c r="F524" s="36" t="s">
        <v>7</v>
      </c>
      <c r="G524" s="9" t="s">
        <v>8</v>
      </c>
      <c r="H524" s="9" t="s">
        <v>9</v>
      </c>
      <c r="I524" s="9" t="s">
        <v>10</v>
      </c>
      <c r="J524" s="9" t="s">
        <v>11</v>
      </c>
      <c r="K524" s="9" t="s">
        <v>12</v>
      </c>
      <c r="L524" s="9" t="s">
        <v>13</v>
      </c>
      <c r="M524" s="9" t="s">
        <v>14</v>
      </c>
      <c r="N524" s="9" t="s">
        <v>15</v>
      </c>
      <c r="O524" s="9" t="s">
        <v>16</v>
      </c>
      <c r="P524" s="8" t="s">
        <v>17</v>
      </c>
      <c r="Q524" s="8" t="s">
        <v>18</v>
      </c>
    </row>
    <row r="525" spans="1:17" x14ac:dyDescent="0.2">
      <c r="A525" s="10">
        <v>1</v>
      </c>
      <c r="B525" s="11" t="str">
        <f>[1]Aseguradoras!B2</f>
        <v>El Comercio Paraguayo S.A. de Seguros</v>
      </c>
      <c r="C525" s="12">
        <f>LOOKUP(408020100,[1]PlanCuentas!$A$2:$A$6092,[1]PlanCuentas!C$2:C$6092)</f>
        <v>0</v>
      </c>
      <c r="D525" s="12">
        <f>LOOKUP(408020200,[1]PlanCuentas!$A$2:$A$6092,[1]PlanCuentas!C$2:C$6092)</f>
        <v>0</v>
      </c>
      <c r="E525" s="12">
        <f>LOOKUP(408020300,[1]PlanCuentas!$A$2:$A$6092,[1]PlanCuentas!C$2:C$6092)</f>
        <v>0</v>
      </c>
      <c r="F525" s="12">
        <f>LOOKUP(408020400,[1]PlanCuentas!$A$2:$A$6092,[1]PlanCuentas!C$2:C$6092)</f>
        <v>0</v>
      </c>
      <c r="G525" s="12">
        <f>LOOKUP(408020500,[1]PlanCuentas!$A$2:$A$6092,[1]PlanCuentas!C$2:C$6092)</f>
        <v>0</v>
      </c>
      <c r="H525" s="12">
        <f>LOOKUP(408020600,[1]PlanCuentas!$A$2:$A$6092,[1]PlanCuentas!C$2:C$6092)</f>
        <v>0</v>
      </c>
      <c r="I525" s="12">
        <f>LOOKUP(408020700,[1]PlanCuentas!$A$2:$A$6092,[1]PlanCuentas!C$2:C$6092)</f>
        <v>0</v>
      </c>
      <c r="J525" s="12">
        <f>LOOKUP(408020800,[1]PlanCuentas!$A$2:$A$6092,[1]PlanCuentas!C$2:C$6092)</f>
        <v>0</v>
      </c>
      <c r="K525" s="12">
        <f>LOOKUP(408020900,[1]PlanCuentas!$A$2:$A$6092,[1]PlanCuentas!C$2:C$6092)</f>
        <v>0</v>
      </c>
      <c r="L525" s="12">
        <f>LOOKUP(408021000,[1]PlanCuentas!$A$2:$A$6092,[1]PlanCuentas!C$2:C$6092)</f>
        <v>0</v>
      </c>
      <c r="M525" s="12">
        <f>LOOKUP(408021100,[1]PlanCuentas!$A$2:$A$6092,[1]PlanCuentas!C$2:C$6092)</f>
        <v>0</v>
      </c>
      <c r="N525" s="12">
        <f>LOOKUP(408021200,[1]PlanCuentas!$A$2:$A$6092,[1]PlanCuentas!C$2:C$6092)</f>
        <v>0</v>
      </c>
      <c r="O525" s="12">
        <f>LOOKUP(408021300,[1]PlanCuentas!$A$2:$A$6092,[1]PlanCuentas!C$2:C$6092)</f>
        <v>0</v>
      </c>
      <c r="P525" s="12">
        <f>LOOKUP(408022000,[1]PlanCuentas!$A$2:$A$6092,[1]PlanCuentas!C$2:C$6092)</f>
        <v>0</v>
      </c>
      <c r="Q525" s="13">
        <f t="shared" ref="Q525:Q556" si="26">SUM(C525:P525)</f>
        <v>0</v>
      </c>
    </row>
    <row r="526" spans="1:17" x14ac:dyDescent="0.2">
      <c r="A526" s="10">
        <v>2</v>
      </c>
      <c r="B526" s="11" t="str">
        <f>[1]Aseguradoras!B3</f>
        <v>La Rural S.A de Seguros</v>
      </c>
      <c r="C526" s="12">
        <f>LOOKUP(408020100,[1]PlanCuentas!$A$2:$A$6092,[1]PlanCuentas!D$2:D$6092)</f>
        <v>0</v>
      </c>
      <c r="D526" s="12">
        <f>LOOKUP(408020200,[1]PlanCuentas!$A$2:$A$6092,[1]PlanCuentas!D$2:D$6092)</f>
        <v>0</v>
      </c>
      <c r="E526" s="12">
        <f>LOOKUP(408020300,[1]PlanCuentas!$A$2:$A$6092,[1]PlanCuentas!D$2:D$6092)</f>
        <v>0</v>
      </c>
      <c r="F526" s="12">
        <f>LOOKUP(408020400,[1]PlanCuentas!$A$2:$A$6092,[1]PlanCuentas!D$2:D$6092)</f>
        <v>0</v>
      </c>
      <c r="G526" s="12">
        <f>LOOKUP(408020500,[1]PlanCuentas!$A$2:$A$6092,[1]PlanCuentas!D$2:D$6092)</f>
        <v>0</v>
      </c>
      <c r="H526" s="12">
        <f>LOOKUP(408020600,[1]PlanCuentas!$A$2:$A$6092,[1]PlanCuentas!D$2:D$6092)</f>
        <v>0</v>
      </c>
      <c r="I526" s="12">
        <f>LOOKUP(408020700,[1]PlanCuentas!$A$2:$A$6092,[1]PlanCuentas!D$2:D$6092)</f>
        <v>0</v>
      </c>
      <c r="J526" s="12">
        <f>LOOKUP(408020800,[1]PlanCuentas!$A$2:$A$6092,[1]PlanCuentas!D$2:D$6092)</f>
        <v>0</v>
      </c>
      <c r="K526" s="12">
        <f>LOOKUP(408020900,[1]PlanCuentas!$A$2:$A$6092,[1]PlanCuentas!D$2:D$6092)</f>
        <v>0</v>
      </c>
      <c r="L526" s="12">
        <f>LOOKUP(408021000,[1]PlanCuentas!$A$2:$A$6092,[1]PlanCuentas!D$2:D$6092)</f>
        <v>0</v>
      </c>
      <c r="M526" s="12">
        <f>LOOKUP(408021100,[1]PlanCuentas!$A$2:$A$6092,[1]PlanCuentas!D$2:D$6092)</f>
        <v>0</v>
      </c>
      <c r="N526" s="12">
        <f>LOOKUP(408021200,[1]PlanCuentas!$A$2:$A$6092,[1]PlanCuentas!D$2:D$6092)</f>
        <v>0</v>
      </c>
      <c r="O526" s="12">
        <f>LOOKUP(408021300,[1]PlanCuentas!$A$2:$A$6092,[1]PlanCuentas!D$2:D$6092)</f>
        <v>0</v>
      </c>
      <c r="P526" s="12">
        <f>LOOKUP(408022000,[1]PlanCuentas!$A$2:$A$6092,[1]PlanCuentas!D$2:D$6092)</f>
        <v>0</v>
      </c>
      <c r="Q526" s="13">
        <f t="shared" si="26"/>
        <v>0</v>
      </c>
    </row>
    <row r="527" spans="1:17" x14ac:dyDescent="0.2">
      <c r="A527" s="10">
        <v>3</v>
      </c>
      <c r="B527" s="11" t="str">
        <f>[1]Aseguradoras!B4</f>
        <v>La Paraguaya S.A de Seguros</v>
      </c>
      <c r="C527" s="12">
        <f>LOOKUP(408020100,[1]PlanCuentas!$A$2:$A$6092,[1]PlanCuentas!E$2:E$6092)</f>
        <v>0</v>
      </c>
      <c r="D527" s="12">
        <f>LOOKUP(408020200,[1]PlanCuentas!$A$2:$A$6092,[1]PlanCuentas!E$2:E$6092)</f>
        <v>0</v>
      </c>
      <c r="E527" s="12">
        <f>LOOKUP(408020300,[1]PlanCuentas!$A$2:$A$6092,[1]PlanCuentas!E$2:E$6092)</f>
        <v>0</v>
      </c>
      <c r="F527" s="12">
        <f>LOOKUP(408020400,[1]PlanCuentas!$A$2:$A$6092,[1]PlanCuentas!E$2:E$6092)</f>
        <v>0</v>
      </c>
      <c r="G527" s="12">
        <f>LOOKUP(408020500,[1]PlanCuentas!$A$2:$A$6092,[1]PlanCuentas!E$2:E$6092)</f>
        <v>0</v>
      </c>
      <c r="H527" s="12">
        <f>LOOKUP(408020600,[1]PlanCuentas!$A$2:$A$6092,[1]PlanCuentas!E$2:E$6092)</f>
        <v>0</v>
      </c>
      <c r="I527" s="12">
        <f>LOOKUP(408020700,[1]PlanCuentas!$A$2:$A$6092,[1]PlanCuentas!E$2:E$6092)</f>
        <v>0</v>
      </c>
      <c r="J527" s="12">
        <f>LOOKUP(408020800,[1]PlanCuentas!$A$2:$A$6092,[1]PlanCuentas!E$2:E$6092)</f>
        <v>0</v>
      </c>
      <c r="K527" s="12">
        <f>LOOKUP(408020900,[1]PlanCuentas!$A$2:$A$6092,[1]PlanCuentas!E$2:E$6092)</f>
        <v>0</v>
      </c>
      <c r="L527" s="12">
        <f>LOOKUP(408021000,[1]PlanCuentas!$A$2:$A$6092,[1]PlanCuentas!E$2:E$6092)</f>
        <v>0</v>
      </c>
      <c r="M527" s="12">
        <f>LOOKUP(408021100,[1]PlanCuentas!$A$2:$A$6092,[1]PlanCuentas!E$2:E$6092)</f>
        <v>0</v>
      </c>
      <c r="N527" s="12">
        <f>LOOKUP(408021200,[1]PlanCuentas!$A$2:$A$6092,[1]PlanCuentas!E$2:E$6092)</f>
        <v>0</v>
      </c>
      <c r="O527" s="12">
        <f>LOOKUP(408021300,[1]PlanCuentas!$A$2:$A$6092,[1]PlanCuentas!E$2:E$6092)</f>
        <v>0</v>
      </c>
      <c r="P527" s="12">
        <f>LOOKUP(408022000,[1]PlanCuentas!$A$2:$A$6092,[1]PlanCuentas!E$2:E$6092)</f>
        <v>0</v>
      </c>
      <c r="Q527" s="13">
        <f t="shared" si="26"/>
        <v>0</v>
      </c>
    </row>
    <row r="528" spans="1:17" x14ac:dyDescent="0.2">
      <c r="A528" s="10">
        <v>4</v>
      </c>
      <c r="B528" s="11" t="str">
        <f>[1]Aseguradoras!B5</f>
        <v>Seguros Generales S. A (SEGESA)</v>
      </c>
      <c r="C528" s="12">
        <f>LOOKUP(408020100,[1]PlanCuentas!$A$2:$A$6092,[1]PlanCuentas!F$2:F$6092)</f>
        <v>0</v>
      </c>
      <c r="D528" s="12">
        <f>LOOKUP(408020200,[1]PlanCuentas!$A$2:$A$6092,[1]PlanCuentas!F$2:F$6092)</f>
        <v>0</v>
      </c>
      <c r="E528" s="12">
        <f>LOOKUP(408020300,[1]PlanCuentas!$A$2:$A$6092,[1]PlanCuentas!F$2:F$6092)</f>
        <v>0</v>
      </c>
      <c r="F528" s="12">
        <f>LOOKUP(408020400,[1]PlanCuentas!$A$2:$A$6092,[1]PlanCuentas!F$2:F$6092)</f>
        <v>78600282</v>
      </c>
      <c r="G528" s="12">
        <f>LOOKUP(408020500,[1]PlanCuentas!$A$2:$A$6092,[1]PlanCuentas!F$2:F$6092)</f>
        <v>0</v>
      </c>
      <c r="H528" s="12">
        <f>LOOKUP(408020600,[1]PlanCuentas!$A$2:$A$6092,[1]PlanCuentas!F$2:F$6092)</f>
        <v>0</v>
      </c>
      <c r="I528" s="12">
        <f>LOOKUP(408020700,[1]PlanCuentas!$A$2:$A$6092,[1]PlanCuentas!F$2:F$6092)</f>
        <v>0</v>
      </c>
      <c r="J528" s="12">
        <f>LOOKUP(408020800,[1]PlanCuentas!$A$2:$A$6092,[1]PlanCuentas!F$2:F$6092)</f>
        <v>0</v>
      </c>
      <c r="K528" s="12">
        <f>LOOKUP(408020900,[1]PlanCuentas!$A$2:$A$6092,[1]PlanCuentas!F$2:F$6092)</f>
        <v>0</v>
      </c>
      <c r="L528" s="12">
        <f>LOOKUP(408021000,[1]PlanCuentas!$A$2:$A$6092,[1]PlanCuentas!F$2:F$6092)</f>
        <v>0</v>
      </c>
      <c r="M528" s="12">
        <f>LOOKUP(408021100,[1]PlanCuentas!$A$2:$A$6092,[1]PlanCuentas!F$2:F$6092)</f>
        <v>0</v>
      </c>
      <c r="N528" s="12">
        <f>LOOKUP(408021200,[1]PlanCuentas!$A$2:$A$6092,[1]PlanCuentas!F$2:F$6092)</f>
        <v>0</v>
      </c>
      <c r="O528" s="12">
        <f>LOOKUP(408021300,[1]PlanCuentas!$A$2:$A$6092,[1]PlanCuentas!F$2:F$6092)</f>
        <v>0</v>
      </c>
      <c r="P528" s="12">
        <f>LOOKUP(408022000,[1]PlanCuentas!$A$2:$A$6092,[1]PlanCuentas!F$2:F$6092)</f>
        <v>0</v>
      </c>
      <c r="Q528" s="13">
        <f t="shared" si="26"/>
        <v>78600282</v>
      </c>
    </row>
    <row r="529" spans="1:17" x14ac:dyDescent="0.2">
      <c r="A529" s="10">
        <v>5</v>
      </c>
      <c r="B529" s="11" t="str">
        <f>[1]Aseguradoras!B6</f>
        <v>Rumbos S.A de Seguros</v>
      </c>
      <c r="C529" s="12">
        <f>LOOKUP(408020100,[1]PlanCuentas!$A$2:$A$6092,[1]PlanCuentas!G$2:G$6092)</f>
        <v>0</v>
      </c>
      <c r="D529" s="12">
        <f>LOOKUP(408020200,[1]PlanCuentas!$A$2:$A$6092,[1]PlanCuentas!G$2:G$6092)</f>
        <v>0</v>
      </c>
      <c r="E529" s="12">
        <f>LOOKUP(408020300,[1]PlanCuentas!$A$2:$A$6092,[1]PlanCuentas!G$2:G$6092)</f>
        <v>0</v>
      </c>
      <c r="F529" s="12">
        <f>LOOKUP(408020400,[1]PlanCuentas!$A$2:$A$6092,[1]PlanCuentas!G$2:G$6092)</f>
        <v>0</v>
      </c>
      <c r="G529" s="12">
        <f>LOOKUP(408020500,[1]PlanCuentas!$A$2:$A$6092,[1]PlanCuentas!G$2:G$6092)</f>
        <v>0</v>
      </c>
      <c r="H529" s="12">
        <f>LOOKUP(408020600,[1]PlanCuentas!$A$2:$A$6092,[1]PlanCuentas!G$2:G$6092)</f>
        <v>0</v>
      </c>
      <c r="I529" s="12">
        <f>LOOKUP(408020700,[1]PlanCuentas!$A$2:$A$6092,[1]PlanCuentas!G$2:G$6092)</f>
        <v>0</v>
      </c>
      <c r="J529" s="12">
        <f>LOOKUP(408020800,[1]PlanCuentas!$A$2:$A$6092,[1]PlanCuentas!G$2:G$6092)</f>
        <v>0</v>
      </c>
      <c r="K529" s="12">
        <f>LOOKUP(408020900,[1]PlanCuentas!$A$2:$A$6092,[1]PlanCuentas!G$2:G$6092)</f>
        <v>0</v>
      </c>
      <c r="L529" s="12">
        <f>LOOKUP(408021000,[1]PlanCuentas!$A$2:$A$6092,[1]PlanCuentas!G$2:G$6092)</f>
        <v>0</v>
      </c>
      <c r="M529" s="12">
        <f>LOOKUP(408021100,[1]PlanCuentas!$A$2:$A$6092,[1]PlanCuentas!G$2:G$6092)</f>
        <v>0</v>
      </c>
      <c r="N529" s="12">
        <f>LOOKUP(408021200,[1]PlanCuentas!$A$2:$A$6092,[1]PlanCuentas!G$2:G$6092)</f>
        <v>0</v>
      </c>
      <c r="O529" s="12">
        <f>LOOKUP(408021300,[1]PlanCuentas!$A$2:$A$6092,[1]PlanCuentas!G$2:G$6092)</f>
        <v>0</v>
      </c>
      <c r="P529" s="12">
        <f>LOOKUP(408022000,[1]PlanCuentas!$A$2:$A$6092,[1]PlanCuentas!G$2:G$6092)</f>
        <v>0</v>
      </c>
      <c r="Q529" s="13">
        <f t="shared" si="26"/>
        <v>0</v>
      </c>
    </row>
    <row r="530" spans="1:17" x14ac:dyDescent="0.2">
      <c r="A530" s="10">
        <v>6</v>
      </c>
      <c r="B530" s="11" t="str">
        <f>[1]Aseguradoras!B7</f>
        <v>La Consolidada S.A de Seguros</v>
      </c>
      <c r="C530" s="12">
        <f>LOOKUP(408020100,[1]PlanCuentas!$A$2:$A$6092,[1]PlanCuentas!H$2:H$6092)</f>
        <v>0</v>
      </c>
      <c r="D530" s="12">
        <f>LOOKUP(408020200,[1]PlanCuentas!$A$2:$A$6092,[1]PlanCuentas!H$2:H$6092)</f>
        <v>0</v>
      </c>
      <c r="E530" s="12">
        <f>LOOKUP(408020300,[1]PlanCuentas!$A$2:$A$6092,[1]PlanCuentas!H$2:H$6092)</f>
        <v>0</v>
      </c>
      <c r="F530" s="12">
        <f>LOOKUP(408020400,[1]PlanCuentas!$A$2:$A$6092,[1]PlanCuentas!H$2:H$6092)</f>
        <v>0</v>
      </c>
      <c r="G530" s="12">
        <f>LOOKUP(408020500,[1]PlanCuentas!$A$2:$A$6092,[1]PlanCuentas!H$2:H$6092)</f>
        <v>0</v>
      </c>
      <c r="H530" s="12">
        <f>LOOKUP(408020600,[1]PlanCuentas!$A$2:$A$6092,[1]PlanCuentas!H$2:H$6092)</f>
        <v>0</v>
      </c>
      <c r="I530" s="12">
        <f>LOOKUP(408020700,[1]PlanCuentas!$A$2:$A$6092,[1]PlanCuentas!H$2:H$6092)</f>
        <v>0</v>
      </c>
      <c r="J530" s="12">
        <f>LOOKUP(408020800,[1]PlanCuentas!$A$2:$A$6092,[1]PlanCuentas!H$2:H$6092)</f>
        <v>0</v>
      </c>
      <c r="K530" s="12">
        <f>LOOKUP(408020900,[1]PlanCuentas!$A$2:$A$6092,[1]PlanCuentas!H$2:H$6092)</f>
        <v>0</v>
      </c>
      <c r="L530" s="12">
        <f>LOOKUP(408021000,[1]PlanCuentas!$A$2:$A$6092,[1]PlanCuentas!H$2:H$6092)</f>
        <v>0</v>
      </c>
      <c r="M530" s="12">
        <f>LOOKUP(408021100,[1]PlanCuentas!$A$2:$A$6092,[1]PlanCuentas!H$2:H$6092)</f>
        <v>0</v>
      </c>
      <c r="N530" s="12">
        <f>LOOKUP(408021200,[1]PlanCuentas!$A$2:$A$6092,[1]PlanCuentas!H$2:H$6092)</f>
        <v>0</v>
      </c>
      <c r="O530" s="12">
        <f>LOOKUP(408021300,[1]PlanCuentas!$A$2:$A$6092,[1]PlanCuentas!H$2:H$6092)</f>
        <v>0</v>
      </c>
      <c r="P530" s="12">
        <f>LOOKUP(408022000,[1]PlanCuentas!$A$2:$A$6092,[1]PlanCuentas!H$2:H$6092)</f>
        <v>0</v>
      </c>
      <c r="Q530" s="13">
        <f t="shared" si="26"/>
        <v>0</v>
      </c>
    </row>
    <row r="531" spans="1:17" x14ac:dyDescent="0.2">
      <c r="A531" s="10">
        <v>7</v>
      </c>
      <c r="B531" s="11" t="str">
        <f>[1]Aseguradoras!B8</f>
        <v>El Productor S.A de Seguros y Reaseguros</v>
      </c>
      <c r="C531" s="12">
        <f>LOOKUP(408020100,[1]PlanCuentas!$A$2:$A$6092,[1]PlanCuentas!I$2:I$6092)</f>
        <v>0</v>
      </c>
      <c r="D531" s="12">
        <f>LOOKUP(408020200,[1]PlanCuentas!$A$2:$A$6092,[1]PlanCuentas!I$2:I$6092)</f>
        <v>0</v>
      </c>
      <c r="E531" s="12">
        <f>LOOKUP(408020300,[1]PlanCuentas!$A$2:$A$6092,[1]PlanCuentas!I$2:I$6092)</f>
        <v>0</v>
      </c>
      <c r="F531" s="12">
        <f>LOOKUP(408020400,[1]PlanCuentas!$A$2:$A$6092,[1]PlanCuentas!I$2:I$6092)</f>
        <v>0</v>
      </c>
      <c r="G531" s="12">
        <f>LOOKUP(408020500,[1]PlanCuentas!$A$2:$A$6092,[1]PlanCuentas!I$2:I$6092)</f>
        <v>0</v>
      </c>
      <c r="H531" s="12">
        <f>LOOKUP(408020600,[1]PlanCuentas!$A$2:$A$6092,[1]PlanCuentas!I$2:I$6092)</f>
        <v>0</v>
      </c>
      <c r="I531" s="12">
        <f>LOOKUP(408020700,[1]PlanCuentas!$A$2:$A$6092,[1]PlanCuentas!I$2:I$6092)</f>
        <v>0</v>
      </c>
      <c r="J531" s="12">
        <f>LOOKUP(408020800,[1]PlanCuentas!$A$2:$A$6092,[1]PlanCuentas!I$2:I$6092)</f>
        <v>0</v>
      </c>
      <c r="K531" s="12">
        <f>LOOKUP(408020900,[1]PlanCuentas!$A$2:$A$6092,[1]PlanCuentas!I$2:I$6092)</f>
        <v>0</v>
      </c>
      <c r="L531" s="12">
        <f>LOOKUP(408021000,[1]PlanCuentas!$A$2:$A$6092,[1]PlanCuentas!I$2:I$6092)</f>
        <v>0</v>
      </c>
      <c r="M531" s="12">
        <f>LOOKUP(408021100,[1]PlanCuentas!$A$2:$A$6092,[1]PlanCuentas!I$2:I$6092)</f>
        <v>0</v>
      </c>
      <c r="N531" s="12">
        <f>LOOKUP(408021200,[1]PlanCuentas!$A$2:$A$6092,[1]PlanCuentas!I$2:I$6092)</f>
        <v>0</v>
      </c>
      <c r="O531" s="12">
        <f>LOOKUP(408021300,[1]PlanCuentas!$A$2:$A$6092,[1]PlanCuentas!I$2:I$6092)</f>
        <v>0</v>
      </c>
      <c r="P531" s="12">
        <f>LOOKUP(408022000,[1]PlanCuentas!$A$2:$A$6092,[1]PlanCuentas!I$2:I$6092)</f>
        <v>0</v>
      </c>
      <c r="Q531" s="13">
        <f t="shared" si="26"/>
        <v>0</v>
      </c>
    </row>
    <row r="532" spans="1:17" x14ac:dyDescent="0.2">
      <c r="A532" s="10">
        <v>8</v>
      </c>
      <c r="B532" s="11" t="str">
        <f>[1]Aseguradoras!B9</f>
        <v>Atalaya S.A de Seguros Generales</v>
      </c>
      <c r="C532" s="12">
        <f>LOOKUP(408020100,[1]PlanCuentas!$A$2:$A$6092,[1]PlanCuentas!J$2:J$6092)</f>
        <v>0</v>
      </c>
      <c r="D532" s="12">
        <f>LOOKUP(408020200,[1]PlanCuentas!$A$2:$A$6092,[1]PlanCuentas!J$2:J$6092)</f>
        <v>0</v>
      </c>
      <c r="E532" s="12">
        <f>LOOKUP(408020300,[1]PlanCuentas!$A$2:$A$6092,[1]PlanCuentas!J$2:J$6092)</f>
        <v>0</v>
      </c>
      <c r="F532" s="12">
        <f>LOOKUP(408020400,[1]PlanCuentas!$A$2:$A$6092,[1]PlanCuentas!J$2:J$6092)</f>
        <v>0</v>
      </c>
      <c r="G532" s="12">
        <f>LOOKUP(408020500,[1]PlanCuentas!$A$2:$A$6092,[1]PlanCuentas!J$2:J$6092)</f>
        <v>0</v>
      </c>
      <c r="H532" s="12">
        <f>LOOKUP(408020600,[1]PlanCuentas!$A$2:$A$6092,[1]PlanCuentas!J$2:J$6092)</f>
        <v>0</v>
      </c>
      <c r="I532" s="12">
        <f>LOOKUP(408020700,[1]PlanCuentas!$A$2:$A$6092,[1]PlanCuentas!J$2:J$6092)</f>
        <v>0</v>
      </c>
      <c r="J532" s="12">
        <f>LOOKUP(408020800,[1]PlanCuentas!$A$2:$A$6092,[1]PlanCuentas!J$2:J$6092)</f>
        <v>0</v>
      </c>
      <c r="K532" s="12">
        <f>LOOKUP(408020900,[1]PlanCuentas!$A$2:$A$6092,[1]PlanCuentas!J$2:J$6092)</f>
        <v>0</v>
      </c>
      <c r="L532" s="12">
        <f>LOOKUP(408021000,[1]PlanCuentas!$A$2:$A$6092,[1]PlanCuentas!J$2:J$6092)</f>
        <v>0</v>
      </c>
      <c r="M532" s="12">
        <f>LOOKUP(408021100,[1]PlanCuentas!$A$2:$A$6092,[1]PlanCuentas!J$2:J$6092)</f>
        <v>0</v>
      </c>
      <c r="N532" s="12">
        <f>LOOKUP(408021200,[1]PlanCuentas!$A$2:$A$6092,[1]PlanCuentas!J$2:J$6092)</f>
        <v>0</v>
      </c>
      <c r="O532" s="12">
        <f>LOOKUP(408021300,[1]PlanCuentas!$A$2:$A$6092,[1]PlanCuentas!J$2:J$6092)</f>
        <v>0</v>
      </c>
      <c r="P532" s="12">
        <f>LOOKUP(408022000,[1]PlanCuentas!$A$2:$A$6092,[1]PlanCuentas!J$2:J$6092)</f>
        <v>0</v>
      </c>
      <c r="Q532" s="13">
        <f t="shared" si="26"/>
        <v>0</v>
      </c>
    </row>
    <row r="533" spans="1:17" x14ac:dyDescent="0.2">
      <c r="A533" s="10">
        <v>9</v>
      </c>
      <c r="B533" s="11" t="str">
        <f>[1]Aseguradoras!B10</f>
        <v>La Independencia de Seguros S.A.</v>
      </c>
      <c r="C533" s="12">
        <f>LOOKUP(408020100,[1]PlanCuentas!$A$2:$A$6092,[1]PlanCuentas!K$2:K$6092)</f>
        <v>0</v>
      </c>
      <c r="D533" s="12">
        <f>LOOKUP(408020200,[1]PlanCuentas!$A$2:$A$6092,[1]PlanCuentas!K$2:K$6092)</f>
        <v>0</v>
      </c>
      <c r="E533" s="12">
        <f>LOOKUP(408020300,[1]PlanCuentas!$A$2:$A$6092,[1]PlanCuentas!K$2:K$6092)</f>
        <v>0</v>
      </c>
      <c r="F533" s="12">
        <f>LOOKUP(408020400,[1]PlanCuentas!$A$2:$A$6092,[1]PlanCuentas!K$2:K$6092)</f>
        <v>0</v>
      </c>
      <c r="G533" s="12">
        <f>LOOKUP(408020500,[1]PlanCuentas!$A$2:$A$6092,[1]PlanCuentas!K$2:K$6092)</f>
        <v>0</v>
      </c>
      <c r="H533" s="12">
        <f>LOOKUP(408020600,[1]PlanCuentas!$A$2:$A$6092,[1]PlanCuentas!K$2:K$6092)</f>
        <v>0</v>
      </c>
      <c r="I533" s="12">
        <f>LOOKUP(408020700,[1]PlanCuentas!$A$2:$A$6092,[1]PlanCuentas!K$2:K$6092)</f>
        <v>0</v>
      </c>
      <c r="J533" s="12">
        <f>LOOKUP(408020800,[1]PlanCuentas!$A$2:$A$6092,[1]PlanCuentas!K$2:K$6092)</f>
        <v>0</v>
      </c>
      <c r="K533" s="12">
        <f>LOOKUP(408020900,[1]PlanCuentas!$A$2:$A$6092,[1]PlanCuentas!K$2:K$6092)</f>
        <v>0</v>
      </c>
      <c r="L533" s="12">
        <f>LOOKUP(408021000,[1]PlanCuentas!$A$2:$A$6092,[1]PlanCuentas!K$2:K$6092)</f>
        <v>0</v>
      </c>
      <c r="M533" s="12">
        <f>LOOKUP(408021100,[1]PlanCuentas!$A$2:$A$6092,[1]PlanCuentas!K$2:K$6092)</f>
        <v>0</v>
      </c>
      <c r="N533" s="12">
        <f>LOOKUP(408021200,[1]PlanCuentas!$A$2:$A$6092,[1]PlanCuentas!K$2:K$6092)</f>
        <v>0</v>
      </c>
      <c r="O533" s="12">
        <f>LOOKUP(408021300,[1]PlanCuentas!$A$2:$A$6092,[1]PlanCuentas!K$2:K$6092)</f>
        <v>0</v>
      </c>
      <c r="P533" s="12">
        <f>LOOKUP(408022000,[1]PlanCuentas!$A$2:$A$6092,[1]PlanCuentas!K$2:K$6092)</f>
        <v>0</v>
      </c>
      <c r="Q533" s="13">
        <f t="shared" si="26"/>
        <v>0</v>
      </c>
    </row>
    <row r="534" spans="1:17" x14ac:dyDescent="0.2">
      <c r="A534" s="10">
        <v>10</v>
      </c>
      <c r="B534" s="11" t="str">
        <f>[1]Aseguradoras!B11</f>
        <v>Patria S.A de Seguros y Reaseguros</v>
      </c>
      <c r="C534" s="12">
        <f>LOOKUP(408020100,[1]PlanCuentas!$A$2:$A$6092,[1]PlanCuentas!L$2:L$6092)</f>
        <v>0</v>
      </c>
      <c r="D534" s="12">
        <f>LOOKUP(408020200,[1]PlanCuentas!$A$2:$A$6092,[1]PlanCuentas!L$2:L$6092)</f>
        <v>0</v>
      </c>
      <c r="E534" s="12">
        <f>LOOKUP(408020300,[1]PlanCuentas!$A$2:$A$6092,[1]PlanCuentas!L$2:L$6092)</f>
        <v>0</v>
      </c>
      <c r="F534" s="12">
        <f>LOOKUP(408020400,[1]PlanCuentas!$A$2:$A$6092,[1]PlanCuentas!L$2:L$6092)</f>
        <v>0</v>
      </c>
      <c r="G534" s="12">
        <f>LOOKUP(408020500,[1]PlanCuentas!$A$2:$A$6092,[1]PlanCuentas!L$2:L$6092)</f>
        <v>0</v>
      </c>
      <c r="H534" s="12">
        <f>LOOKUP(408020600,[1]PlanCuentas!$A$2:$A$6092,[1]PlanCuentas!L$2:L$6092)</f>
        <v>0</v>
      </c>
      <c r="I534" s="12">
        <f>LOOKUP(408020700,[1]PlanCuentas!$A$2:$A$6092,[1]PlanCuentas!L$2:L$6092)</f>
        <v>0</v>
      </c>
      <c r="J534" s="12">
        <f>LOOKUP(408020800,[1]PlanCuentas!$A$2:$A$6092,[1]PlanCuentas!L$2:L$6092)</f>
        <v>0</v>
      </c>
      <c r="K534" s="12">
        <f>LOOKUP(408020900,[1]PlanCuentas!$A$2:$A$6092,[1]PlanCuentas!L$2:L$6092)</f>
        <v>0</v>
      </c>
      <c r="L534" s="12">
        <f>LOOKUP(408021000,[1]PlanCuentas!$A$2:$A$6092,[1]PlanCuentas!L$2:L$6092)</f>
        <v>0</v>
      </c>
      <c r="M534" s="12">
        <f>LOOKUP(408021100,[1]PlanCuentas!$A$2:$A$6092,[1]PlanCuentas!L$2:L$6092)</f>
        <v>0</v>
      </c>
      <c r="N534" s="12">
        <f>LOOKUP(408021200,[1]PlanCuentas!$A$2:$A$6092,[1]PlanCuentas!L$2:L$6092)</f>
        <v>0</v>
      </c>
      <c r="O534" s="12">
        <f>LOOKUP(408021300,[1]PlanCuentas!$A$2:$A$6092,[1]PlanCuentas!L$2:L$6092)</f>
        <v>0</v>
      </c>
      <c r="P534" s="12">
        <f>LOOKUP(408022000,[1]PlanCuentas!$A$2:$A$6092,[1]PlanCuentas!L$2:L$6092)</f>
        <v>0</v>
      </c>
      <c r="Q534" s="13">
        <f t="shared" si="26"/>
        <v>0</v>
      </c>
    </row>
    <row r="535" spans="1:17" x14ac:dyDescent="0.2">
      <c r="A535" s="10">
        <v>11</v>
      </c>
      <c r="B535" s="11" t="str">
        <f>[1]Aseguradoras!B12</f>
        <v>Garantía S.A de Seguros y Reaseguros</v>
      </c>
      <c r="C535" s="12">
        <f>LOOKUP(408020100,[1]PlanCuentas!$A$2:$A$6092,[1]PlanCuentas!M$2:M$6092)</f>
        <v>0</v>
      </c>
      <c r="D535" s="12">
        <f>LOOKUP(408020200,[1]PlanCuentas!$A$2:$A$6092,[1]PlanCuentas!M$2:M$6092)</f>
        <v>0</v>
      </c>
      <c r="E535" s="12">
        <f>LOOKUP(408020300,[1]PlanCuentas!$A$2:$A$6092,[1]PlanCuentas!M$2:M$6092)</f>
        <v>0</v>
      </c>
      <c r="F535" s="12">
        <f>LOOKUP(408020400,[1]PlanCuentas!$A$2:$A$6092,[1]PlanCuentas!M$2:M$6092)</f>
        <v>38560954</v>
      </c>
      <c r="G535" s="12">
        <f>LOOKUP(408020500,[1]PlanCuentas!$A$2:$A$6092,[1]PlanCuentas!M$2:M$6092)</f>
        <v>0</v>
      </c>
      <c r="H535" s="12">
        <f>LOOKUP(408020600,[1]PlanCuentas!$A$2:$A$6092,[1]PlanCuentas!M$2:M$6092)</f>
        <v>0</v>
      </c>
      <c r="I535" s="12">
        <f>LOOKUP(408020700,[1]PlanCuentas!$A$2:$A$6092,[1]PlanCuentas!M$2:M$6092)</f>
        <v>0</v>
      </c>
      <c r="J535" s="12">
        <f>LOOKUP(408020800,[1]PlanCuentas!$A$2:$A$6092,[1]PlanCuentas!M$2:M$6092)</f>
        <v>0</v>
      </c>
      <c r="K535" s="12">
        <f>LOOKUP(408020900,[1]PlanCuentas!$A$2:$A$6092,[1]PlanCuentas!M$2:M$6092)</f>
        <v>0</v>
      </c>
      <c r="L535" s="12">
        <f>LOOKUP(408021000,[1]PlanCuentas!$A$2:$A$6092,[1]PlanCuentas!M$2:M$6092)</f>
        <v>0</v>
      </c>
      <c r="M535" s="12">
        <f>LOOKUP(408021100,[1]PlanCuentas!$A$2:$A$6092,[1]PlanCuentas!M$2:M$6092)</f>
        <v>0</v>
      </c>
      <c r="N535" s="12">
        <f>LOOKUP(408021200,[1]PlanCuentas!$A$2:$A$6092,[1]PlanCuentas!M$2:M$6092)</f>
        <v>0</v>
      </c>
      <c r="O535" s="12">
        <f>LOOKUP(408021300,[1]PlanCuentas!$A$2:$A$6092,[1]PlanCuentas!M$2:M$6092)</f>
        <v>0</v>
      </c>
      <c r="P535" s="12">
        <f>LOOKUP(408022000,[1]PlanCuentas!$A$2:$A$6092,[1]PlanCuentas!M$2:M$6092)</f>
        <v>0</v>
      </c>
      <c r="Q535" s="13">
        <f t="shared" si="26"/>
        <v>38560954</v>
      </c>
    </row>
    <row r="536" spans="1:17" x14ac:dyDescent="0.2">
      <c r="A536" s="10">
        <v>12</v>
      </c>
      <c r="B536" s="11" t="str">
        <f>[1]Aseguradoras!B13</f>
        <v>Aseguradora Paraguaya S.A.</v>
      </c>
      <c r="C536" s="12">
        <f>LOOKUP(408020100,[1]PlanCuentas!$A$2:$A$6092,[1]PlanCuentas!N$2:N$6092)</f>
        <v>0</v>
      </c>
      <c r="D536" s="12">
        <f>LOOKUP(408020200,[1]PlanCuentas!$A$2:$A$6092,[1]PlanCuentas!N$2:N$6092)</f>
        <v>0</v>
      </c>
      <c r="E536" s="12">
        <f>LOOKUP(408020300,[1]PlanCuentas!$A$2:$A$6092,[1]PlanCuentas!N$2:N$6092)</f>
        <v>0</v>
      </c>
      <c r="F536" s="12">
        <f>LOOKUP(408020400,[1]PlanCuentas!$A$2:$A$6092,[1]PlanCuentas!N$2:N$6092)</f>
        <v>239573587</v>
      </c>
      <c r="G536" s="12">
        <f>LOOKUP(408020500,[1]PlanCuentas!$A$2:$A$6092,[1]PlanCuentas!N$2:N$6092)</f>
        <v>0</v>
      </c>
      <c r="H536" s="12">
        <f>LOOKUP(408020600,[1]PlanCuentas!$A$2:$A$6092,[1]PlanCuentas!N$2:N$6092)</f>
        <v>0</v>
      </c>
      <c r="I536" s="12">
        <f>LOOKUP(408020700,[1]PlanCuentas!$A$2:$A$6092,[1]PlanCuentas!N$2:N$6092)</f>
        <v>0</v>
      </c>
      <c r="J536" s="12">
        <f>LOOKUP(408020800,[1]PlanCuentas!$A$2:$A$6092,[1]PlanCuentas!N$2:N$6092)</f>
        <v>0</v>
      </c>
      <c r="K536" s="12">
        <f>LOOKUP(408020900,[1]PlanCuentas!$A$2:$A$6092,[1]PlanCuentas!N$2:N$6092)</f>
        <v>0</v>
      </c>
      <c r="L536" s="12">
        <f>LOOKUP(408021000,[1]PlanCuentas!$A$2:$A$6092,[1]PlanCuentas!N$2:N$6092)</f>
        <v>0</v>
      </c>
      <c r="M536" s="12">
        <f>LOOKUP(408021100,[1]PlanCuentas!$A$2:$A$6092,[1]PlanCuentas!N$2:N$6092)</f>
        <v>0</v>
      </c>
      <c r="N536" s="12">
        <f>LOOKUP(408021200,[1]PlanCuentas!$A$2:$A$6092,[1]PlanCuentas!N$2:N$6092)</f>
        <v>0</v>
      </c>
      <c r="O536" s="12">
        <f>LOOKUP(408021300,[1]PlanCuentas!$A$2:$A$6092,[1]PlanCuentas!N$2:N$6092)</f>
        <v>0</v>
      </c>
      <c r="P536" s="12">
        <f>LOOKUP(408022000,[1]PlanCuentas!$A$2:$A$6092,[1]PlanCuentas!N$2:N$6092)</f>
        <v>0</v>
      </c>
      <c r="Q536" s="13">
        <f t="shared" si="26"/>
        <v>239573587</v>
      </c>
    </row>
    <row r="537" spans="1:17" x14ac:dyDescent="0.2">
      <c r="A537" s="10">
        <v>13</v>
      </c>
      <c r="B537" s="11" t="str">
        <f>[1]Aseguradoras!B14</f>
        <v>Fénix S.A de Seguros y Reaseguros</v>
      </c>
      <c r="C537" s="12">
        <f>LOOKUP(408020100,[1]PlanCuentas!$A$2:$A$6092,[1]PlanCuentas!O$2:O$6092)</f>
        <v>0</v>
      </c>
      <c r="D537" s="12">
        <f>LOOKUP(408020200,[1]PlanCuentas!$A$2:$A$6092,[1]PlanCuentas!O$2:O$6092)</f>
        <v>0</v>
      </c>
      <c r="E537" s="12">
        <f>LOOKUP(408020300,[1]PlanCuentas!$A$2:$A$6092,[1]PlanCuentas!O$2:O$6092)</f>
        <v>0</v>
      </c>
      <c r="F537" s="12">
        <f>LOOKUP(408020400,[1]PlanCuentas!$A$2:$A$6092,[1]PlanCuentas!O$2:O$6092)</f>
        <v>195562484</v>
      </c>
      <c r="G537" s="12">
        <f>LOOKUP(408020500,[1]PlanCuentas!$A$2:$A$6092,[1]PlanCuentas!O$2:O$6092)</f>
        <v>0</v>
      </c>
      <c r="H537" s="12">
        <f>LOOKUP(408020600,[1]PlanCuentas!$A$2:$A$6092,[1]PlanCuentas!O$2:O$6092)</f>
        <v>0</v>
      </c>
      <c r="I537" s="12">
        <f>LOOKUP(408020700,[1]PlanCuentas!$A$2:$A$6092,[1]PlanCuentas!O$2:O$6092)</f>
        <v>0</v>
      </c>
      <c r="J537" s="12">
        <f>LOOKUP(408020800,[1]PlanCuentas!$A$2:$A$6092,[1]PlanCuentas!O$2:O$6092)</f>
        <v>0</v>
      </c>
      <c r="K537" s="12">
        <f>LOOKUP(408020900,[1]PlanCuentas!$A$2:$A$6092,[1]PlanCuentas!O$2:O$6092)</f>
        <v>0</v>
      </c>
      <c r="L537" s="12">
        <f>LOOKUP(408021000,[1]PlanCuentas!$A$2:$A$6092,[1]PlanCuentas!O$2:O$6092)</f>
        <v>0</v>
      </c>
      <c r="M537" s="12">
        <f>LOOKUP(408021100,[1]PlanCuentas!$A$2:$A$6092,[1]PlanCuentas!O$2:O$6092)</f>
        <v>0</v>
      </c>
      <c r="N537" s="12">
        <f>LOOKUP(408021200,[1]PlanCuentas!$A$2:$A$6092,[1]PlanCuentas!O$2:O$6092)</f>
        <v>0</v>
      </c>
      <c r="O537" s="12">
        <f>LOOKUP(408021300,[1]PlanCuentas!$A$2:$A$6092,[1]PlanCuentas!O$2:O$6092)</f>
        <v>0</v>
      </c>
      <c r="P537" s="12">
        <f>LOOKUP(408022000,[1]PlanCuentas!$A$2:$A$6092,[1]PlanCuentas!O$2:O$6092)</f>
        <v>0</v>
      </c>
      <c r="Q537" s="13">
        <f t="shared" si="26"/>
        <v>195562484</v>
      </c>
    </row>
    <row r="538" spans="1:17" x14ac:dyDescent="0.2">
      <c r="A538" s="10">
        <v>14</v>
      </c>
      <c r="B538" s="11" t="str">
        <f>[1]Aseguradoras!B15</f>
        <v>Central S.A de Seguros</v>
      </c>
      <c r="C538" s="12">
        <f>LOOKUP(408020100,[1]PlanCuentas!$A$2:$A$6092,[1]PlanCuentas!P$2:P$6092)</f>
        <v>0</v>
      </c>
      <c r="D538" s="12">
        <f>LOOKUP(408020200,[1]PlanCuentas!$A$2:$A$6092,[1]PlanCuentas!P$2:P$6092)</f>
        <v>0</v>
      </c>
      <c r="E538" s="12">
        <f>LOOKUP(408020300,[1]PlanCuentas!$A$2:$A$6092,[1]PlanCuentas!P$2:P$6092)</f>
        <v>0</v>
      </c>
      <c r="F538" s="12">
        <f>LOOKUP(408020400,[1]PlanCuentas!$A$2:$A$6092,[1]PlanCuentas!P$2:P$6092)</f>
        <v>0</v>
      </c>
      <c r="G538" s="12">
        <f>LOOKUP(408020500,[1]PlanCuentas!$A$2:$A$6092,[1]PlanCuentas!P$2:P$6092)</f>
        <v>0</v>
      </c>
      <c r="H538" s="12">
        <f>LOOKUP(408020600,[1]PlanCuentas!$A$2:$A$6092,[1]PlanCuentas!P$2:P$6092)</f>
        <v>0</v>
      </c>
      <c r="I538" s="12">
        <f>LOOKUP(408020700,[1]PlanCuentas!$A$2:$A$6092,[1]PlanCuentas!P$2:P$6092)</f>
        <v>0</v>
      </c>
      <c r="J538" s="12">
        <f>LOOKUP(408020800,[1]PlanCuentas!$A$2:$A$6092,[1]PlanCuentas!P$2:P$6092)</f>
        <v>0</v>
      </c>
      <c r="K538" s="12">
        <f>LOOKUP(408020900,[1]PlanCuentas!$A$2:$A$6092,[1]PlanCuentas!P$2:P$6092)</f>
        <v>0</v>
      </c>
      <c r="L538" s="12">
        <f>LOOKUP(408021000,[1]PlanCuentas!$A$2:$A$6092,[1]PlanCuentas!P$2:P$6092)</f>
        <v>0</v>
      </c>
      <c r="M538" s="12">
        <f>LOOKUP(408021100,[1]PlanCuentas!$A$2:$A$6092,[1]PlanCuentas!P$2:P$6092)</f>
        <v>0</v>
      </c>
      <c r="N538" s="12">
        <f>LOOKUP(408021200,[1]PlanCuentas!$A$2:$A$6092,[1]PlanCuentas!P$2:P$6092)</f>
        <v>0</v>
      </c>
      <c r="O538" s="12">
        <f>LOOKUP(408021300,[1]PlanCuentas!$A$2:$A$6092,[1]PlanCuentas!P$2:P$6092)</f>
        <v>0</v>
      </c>
      <c r="P538" s="12">
        <f>LOOKUP(408022000,[1]PlanCuentas!$A$2:$A$6092,[1]PlanCuentas!P$2:P$6092)</f>
        <v>0</v>
      </c>
      <c r="Q538" s="13">
        <f t="shared" si="26"/>
        <v>0</v>
      </c>
    </row>
    <row r="539" spans="1:17" x14ac:dyDescent="0.2">
      <c r="A539" s="10">
        <v>15</v>
      </c>
      <c r="B539" s="11" t="str">
        <f>[1]Aseguradoras!B16</f>
        <v>Seguros Chaco S.A de Seguros y Reaseguros</v>
      </c>
      <c r="C539" s="12">
        <f>LOOKUP(408020100,[1]PlanCuentas!$A$2:$A$6092,[1]PlanCuentas!Q$2:Q$6092)</f>
        <v>0</v>
      </c>
      <c r="D539" s="12">
        <f>LOOKUP(408020200,[1]PlanCuentas!$A$2:$A$6092,[1]PlanCuentas!Q$2:Q$6092)</f>
        <v>0</v>
      </c>
      <c r="E539" s="12">
        <f>LOOKUP(408020300,[1]PlanCuentas!$A$2:$A$6092,[1]PlanCuentas!Q$2:Q$6092)</f>
        <v>0</v>
      </c>
      <c r="F539" s="12">
        <f>LOOKUP(408020400,[1]PlanCuentas!$A$2:$A$6092,[1]PlanCuentas!Q$2:Q$6092)</f>
        <v>0</v>
      </c>
      <c r="G539" s="12">
        <f>LOOKUP(408020500,[1]PlanCuentas!$A$2:$A$6092,[1]PlanCuentas!Q$2:Q$6092)</f>
        <v>0</v>
      </c>
      <c r="H539" s="12">
        <f>LOOKUP(408020600,[1]PlanCuentas!$A$2:$A$6092,[1]PlanCuentas!Q$2:Q$6092)</f>
        <v>0</v>
      </c>
      <c r="I539" s="12">
        <f>LOOKUP(408020700,[1]PlanCuentas!$A$2:$A$6092,[1]PlanCuentas!Q$2:Q$6092)</f>
        <v>0</v>
      </c>
      <c r="J539" s="12">
        <f>LOOKUP(408020800,[1]PlanCuentas!$A$2:$A$6092,[1]PlanCuentas!Q$2:Q$6092)</f>
        <v>0</v>
      </c>
      <c r="K539" s="12">
        <f>LOOKUP(408020900,[1]PlanCuentas!$A$2:$A$6092,[1]PlanCuentas!Q$2:Q$6092)</f>
        <v>0</v>
      </c>
      <c r="L539" s="12">
        <f>LOOKUP(408021000,[1]PlanCuentas!$A$2:$A$6092,[1]PlanCuentas!Q$2:Q$6092)</f>
        <v>0</v>
      </c>
      <c r="M539" s="12">
        <f>LOOKUP(408021100,[1]PlanCuentas!$A$2:$A$6092,[1]PlanCuentas!Q$2:Q$6092)</f>
        <v>0</v>
      </c>
      <c r="N539" s="12">
        <f>LOOKUP(408021200,[1]PlanCuentas!$A$2:$A$6092,[1]PlanCuentas!Q$2:Q$6092)</f>
        <v>0</v>
      </c>
      <c r="O539" s="12">
        <f>LOOKUP(408021300,[1]PlanCuentas!$A$2:$A$6092,[1]PlanCuentas!Q$2:Q$6092)</f>
        <v>0</v>
      </c>
      <c r="P539" s="12">
        <f>LOOKUP(408022000,[1]PlanCuentas!$A$2:$A$6092,[1]PlanCuentas!Q$2:Q$6092)</f>
        <v>0</v>
      </c>
      <c r="Q539" s="13">
        <f t="shared" si="26"/>
        <v>0</v>
      </c>
    </row>
    <row r="540" spans="1:17" x14ac:dyDescent="0.2">
      <c r="A540" s="10">
        <v>16</v>
      </c>
      <c r="B540" s="11" t="str">
        <f>[1]Aseguradoras!B17</f>
        <v>El Sol Del Paraguay Compañía de Seguros y Reaseguros S.A.</v>
      </c>
      <c r="C540" s="12">
        <f>LOOKUP(408020100,[1]PlanCuentas!$A$2:$A$6092,[1]PlanCuentas!R$2:R$6092)</f>
        <v>0</v>
      </c>
      <c r="D540" s="12">
        <f>LOOKUP(408020200,[1]PlanCuentas!$A$2:$A$6092,[1]PlanCuentas!R$2:R$6092)</f>
        <v>0</v>
      </c>
      <c r="E540" s="12">
        <f>LOOKUP(408020300,[1]PlanCuentas!$A$2:$A$6092,[1]PlanCuentas!R$2:R$6092)</f>
        <v>0</v>
      </c>
      <c r="F540" s="12">
        <f>LOOKUP(408020400,[1]PlanCuentas!$A$2:$A$6092,[1]PlanCuentas!R$2:R$6092)</f>
        <v>0</v>
      </c>
      <c r="G540" s="12">
        <f>LOOKUP(408020500,[1]PlanCuentas!$A$2:$A$6092,[1]PlanCuentas!R$2:R$6092)</f>
        <v>0</v>
      </c>
      <c r="H540" s="12">
        <f>LOOKUP(408020600,[1]PlanCuentas!$A$2:$A$6092,[1]PlanCuentas!R$2:R$6092)</f>
        <v>0</v>
      </c>
      <c r="I540" s="12">
        <f>LOOKUP(408020700,[1]PlanCuentas!$A$2:$A$6092,[1]PlanCuentas!R$2:R$6092)</f>
        <v>0</v>
      </c>
      <c r="J540" s="12">
        <f>LOOKUP(408020800,[1]PlanCuentas!$A$2:$A$6092,[1]PlanCuentas!R$2:R$6092)</f>
        <v>0</v>
      </c>
      <c r="K540" s="12">
        <f>LOOKUP(408020900,[1]PlanCuentas!$A$2:$A$6092,[1]PlanCuentas!R$2:R$6092)</f>
        <v>0</v>
      </c>
      <c r="L540" s="12">
        <f>LOOKUP(408021000,[1]PlanCuentas!$A$2:$A$6092,[1]PlanCuentas!R$2:R$6092)</f>
        <v>0</v>
      </c>
      <c r="M540" s="12">
        <f>LOOKUP(408021100,[1]PlanCuentas!$A$2:$A$6092,[1]PlanCuentas!R$2:R$6092)</f>
        <v>0</v>
      </c>
      <c r="N540" s="12">
        <f>LOOKUP(408021200,[1]PlanCuentas!$A$2:$A$6092,[1]PlanCuentas!R$2:R$6092)</f>
        <v>0</v>
      </c>
      <c r="O540" s="12">
        <f>LOOKUP(408021300,[1]PlanCuentas!$A$2:$A$6092,[1]PlanCuentas!R$2:R$6092)</f>
        <v>0</v>
      </c>
      <c r="P540" s="12">
        <f>LOOKUP(408022000,[1]PlanCuentas!$A$2:$A$6092,[1]PlanCuentas!R$2:R$6092)</f>
        <v>0</v>
      </c>
      <c r="Q540" s="13">
        <f t="shared" si="26"/>
        <v>0</v>
      </c>
    </row>
    <row r="541" spans="1:17" x14ac:dyDescent="0.2">
      <c r="A541" s="10">
        <v>17</v>
      </c>
      <c r="B541" s="11" t="str">
        <f>[1]Aseguradoras!B18</f>
        <v>Intercontinental de Seguros y Reaseguros S.A.</v>
      </c>
      <c r="C541" s="12">
        <f>LOOKUP(408020100,[1]PlanCuentas!$A$2:$A$6092,[1]PlanCuentas!S$2:S$6092)</f>
        <v>0</v>
      </c>
      <c r="D541" s="12">
        <f>LOOKUP(408020200,[1]PlanCuentas!$A$2:$A$6092,[1]PlanCuentas!S$2:S$6092)</f>
        <v>0</v>
      </c>
      <c r="E541" s="12">
        <f>LOOKUP(408020300,[1]PlanCuentas!$A$2:$A$6092,[1]PlanCuentas!S$2:S$6092)</f>
        <v>0</v>
      </c>
      <c r="F541" s="12">
        <f>LOOKUP(408020400,[1]PlanCuentas!$A$2:$A$6092,[1]PlanCuentas!S$2:S$6092)</f>
        <v>0</v>
      </c>
      <c r="G541" s="12">
        <f>LOOKUP(408020500,[1]PlanCuentas!$A$2:$A$6092,[1]PlanCuentas!S$2:S$6092)</f>
        <v>0</v>
      </c>
      <c r="H541" s="12">
        <f>LOOKUP(408020600,[1]PlanCuentas!$A$2:$A$6092,[1]PlanCuentas!S$2:S$6092)</f>
        <v>0</v>
      </c>
      <c r="I541" s="12">
        <f>LOOKUP(408020700,[1]PlanCuentas!$A$2:$A$6092,[1]PlanCuentas!S$2:S$6092)</f>
        <v>0</v>
      </c>
      <c r="J541" s="12">
        <f>LOOKUP(408020800,[1]PlanCuentas!$A$2:$A$6092,[1]PlanCuentas!S$2:S$6092)</f>
        <v>0</v>
      </c>
      <c r="K541" s="12">
        <f>LOOKUP(408020900,[1]PlanCuentas!$A$2:$A$6092,[1]PlanCuentas!S$2:S$6092)</f>
        <v>0</v>
      </c>
      <c r="L541" s="12">
        <f>LOOKUP(408021000,[1]PlanCuentas!$A$2:$A$6092,[1]PlanCuentas!S$2:S$6092)</f>
        <v>0</v>
      </c>
      <c r="M541" s="12">
        <f>LOOKUP(408021100,[1]PlanCuentas!$A$2:$A$6092,[1]PlanCuentas!S$2:S$6092)</f>
        <v>0</v>
      </c>
      <c r="N541" s="12">
        <f>LOOKUP(408021200,[1]PlanCuentas!$A$2:$A$6092,[1]PlanCuentas!S$2:S$6092)</f>
        <v>0</v>
      </c>
      <c r="O541" s="12">
        <f>LOOKUP(408021300,[1]PlanCuentas!$A$2:$A$6092,[1]PlanCuentas!S$2:S$6092)</f>
        <v>0</v>
      </c>
      <c r="P541" s="12">
        <f>LOOKUP(408022000,[1]PlanCuentas!$A$2:$A$6092,[1]PlanCuentas!S$2:S$6092)</f>
        <v>0</v>
      </c>
      <c r="Q541" s="13">
        <f t="shared" si="26"/>
        <v>0</v>
      </c>
    </row>
    <row r="542" spans="1:17" x14ac:dyDescent="0.2">
      <c r="A542" s="10">
        <v>18</v>
      </c>
      <c r="B542" s="11" t="str">
        <f>[1]Aseguradoras!B19</f>
        <v>Seguridad S.A Compañía de Seguros</v>
      </c>
      <c r="C542" s="12">
        <f>LOOKUP(408020100,[1]PlanCuentas!$A$2:$A$6092,[1]PlanCuentas!T$2:T$6092)</f>
        <v>0</v>
      </c>
      <c r="D542" s="12">
        <f>LOOKUP(408020200,[1]PlanCuentas!$A$2:$A$6092,[1]PlanCuentas!T$2:T$6092)</f>
        <v>0</v>
      </c>
      <c r="E542" s="12">
        <f>LOOKUP(408020300,[1]PlanCuentas!$A$2:$A$6092,[1]PlanCuentas!T$2:T$6092)</f>
        <v>0</v>
      </c>
      <c r="F542" s="12">
        <f>LOOKUP(408020400,[1]PlanCuentas!$A$2:$A$6092,[1]PlanCuentas!T$2:T$6092)</f>
        <v>0</v>
      </c>
      <c r="G542" s="12">
        <f>LOOKUP(408020500,[1]PlanCuentas!$A$2:$A$6092,[1]PlanCuentas!T$2:T$6092)</f>
        <v>0</v>
      </c>
      <c r="H542" s="12">
        <f>LOOKUP(408020600,[1]PlanCuentas!$A$2:$A$6092,[1]PlanCuentas!T$2:T$6092)</f>
        <v>0</v>
      </c>
      <c r="I542" s="12">
        <f>LOOKUP(408020700,[1]PlanCuentas!$A$2:$A$6092,[1]PlanCuentas!T$2:T$6092)</f>
        <v>0</v>
      </c>
      <c r="J542" s="12">
        <f>LOOKUP(408020800,[1]PlanCuentas!$A$2:$A$6092,[1]PlanCuentas!T$2:T$6092)</f>
        <v>0</v>
      </c>
      <c r="K542" s="12">
        <f>LOOKUP(408020900,[1]PlanCuentas!$A$2:$A$6092,[1]PlanCuentas!T$2:T$6092)</f>
        <v>0</v>
      </c>
      <c r="L542" s="12">
        <f>LOOKUP(408021000,[1]PlanCuentas!$A$2:$A$6092,[1]PlanCuentas!T$2:T$6092)</f>
        <v>0</v>
      </c>
      <c r="M542" s="12">
        <f>LOOKUP(408021100,[1]PlanCuentas!$A$2:$A$6092,[1]PlanCuentas!T$2:T$6092)</f>
        <v>0</v>
      </c>
      <c r="N542" s="12">
        <f>LOOKUP(408021200,[1]PlanCuentas!$A$2:$A$6092,[1]PlanCuentas!T$2:T$6092)</f>
        <v>0</v>
      </c>
      <c r="O542" s="12">
        <f>LOOKUP(408021300,[1]PlanCuentas!$A$2:$A$6092,[1]PlanCuentas!T$2:T$6092)</f>
        <v>0</v>
      </c>
      <c r="P542" s="12">
        <f>LOOKUP(408022000,[1]PlanCuentas!$A$2:$A$6092,[1]PlanCuentas!T$2:T$6092)</f>
        <v>0</v>
      </c>
      <c r="Q542" s="13">
        <f t="shared" si="26"/>
        <v>0</v>
      </c>
    </row>
    <row r="543" spans="1:17" x14ac:dyDescent="0.2">
      <c r="A543" s="10">
        <v>19</v>
      </c>
      <c r="B543" s="11" t="str">
        <f>[1]Aseguradoras!B20</f>
        <v>Universo de Seguros y Reaseguros S.A.</v>
      </c>
      <c r="C543" s="12">
        <f>LOOKUP(408020100,[1]PlanCuentas!$A$2:$A$6092,[1]PlanCuentas!U$2:U$6092)</f>
        <v>0</v>
      </c>
      <c r="D543" s="12">
        <f>LOOKUP(408020200,[1]PlanCuentas!$A$2:$A$6092,[1]PlanCuentas!U$2:U$6092)</f>
        <v>0</v>
      </c>
      <c r="E543" s="12">
        <f>LOOKUP(408020300,[1]PlanCuentas!$A$2:$A$6092,[1]PlanCuentas!U$2:U$6092)</f>
        <v>0</v>
      </c>
      <c r="F543" s="12">
        <f>LOOKUP(408020400,[1]PlanCuentas!$A$2:$A$6092,[1]PlanCuentas!U$2:U$6092)</f>
        <v>0</v>
      </c>
      <c r="G543" s="12">
        <f>LOOKUP(408020500,[1]PlanCuentas!$A$2:$A$6092,[1]PlanCuentas!U$2:U$6092)</f>
        <v>0</v>
      </c>
      <c r="H543" s="12">
        <f>LOOKUP(408020600,[1]PlanCuentas!$A$2:$A$6092,[1]PlanCuentas!U$2:U$6092)</f>
        <v>0</v>
      </c>
      <c r="I543" s="12">
        <f>LOOKUP(408020700,[1]PlanCuentas!$A$2:$A$6092,[1]PlanCuentas!U$2:U$6092)</f>
        <v>0</v>
      </c>
      <c r="J543" s="12">
        <f>LOOKUP(408020800,[1]PlanCuentas!$A$2:$A$6092,[1]PlanCuentas!U$2:U$6092)</f>
        <v>0</v>
      </c>
      <c r="K543" s="12">
        <f>LOOKUP(408020900,[1]PlanCuentas!$A$2:$A$6092,[1]PlanCuentas!U$2:U$6092)</f>
        <v>0</v>
      </c>
      <c r="L543" s="12">
        <f>LOOKUP(408021000,[1]PlanCuentas!$A$2:$A$6092,[1]PlanCuentas!U$2:U$6092)</f>
        <v>0</v>
      </c>
      <c r="M543" s="12">
        <f>LOOKUP(408021100,[1]PlanCuentas!$A$2:$A$6092,[1]PlanCuentas!U$2:U$6092)</f>
        <v>0</v>
      </c>
      <c r="N543" s="12">
        <f>LOOKUP(408021200,[1]PlanCuentas!$A$2:$A$6092,[1]PlanCuentas!U$2:U$6092)</f>
        <v>0</v>
      </c>
      <c r="O543" s="12">
        <f>LOOKUP(408021300,[1]PlanCuentas!$A$2:$A$6092,[1]PlanCuentas!U$2:U$6092)</f>
        <v>0</v>
      </c>
      <c r="P543" s="12">
        <f>LOOKUP(408022000,[1]PlanCuentas!$A$2:$A$6092,[1]PlanCuentas!U$2:U$6092)</f>
        <v>0</v>
      </c>
      <c r="Q543" s="13">
        <f t="shared" si="26"/>
        <v>0</v>
      </c>
    </row>
    <row r="544" spans="1:17" x14ac:dyDescent="0.2">
      <c r="A544" s="10">
        <v>20</v>
      </c>
      <c r="B544" s="11" t="str">
        <f>[1]Aseguradoras!B21</f>
        <v>Aseguradora Yacyreta S.A de Seguros y Reaseguros</v>
      </c>
      <c r="C544" s="12">
        <f>LOOKUP(408020100,[1]PlanCuentas!$A$2:$A$6092,[1]PlanCuentas!V$2:V$6092)</f>
        <v>0</v>
      </c>
      <c r="D544" s="12">
        <f>LOOKUP(408020200,[1]PlanCuentas!$A$2:$A$6092,[1]PlanCuentas!V$2:V$6092)</f>
        <v>0</v>
      </c>
      <c r="E544" s="12">
        <f>LOOKUP(408020300,[1]PlanCuentas!$A$2:$A$6092,[1]PlanCuentas!V$2:V$6092)</f>
        <v>0</v>
      </c>
      <c r="F544" s="12">
        <f>LOOKUP(408020400,[1]PlanCuentas!$A$2:$A$6092,[1]PlanCuentas!V$2:V$6092)</f>
        <v>0</v>
      </c>
      <c r="G544" s="12">
        <f>LOOKUP(408020500,[1]PlanCuentas!$A$2:$A$6092,[1]PlanCuentas!V$2:V$6092)</f>
        <v>0</v>
      </c>
      <c r="H544" s="12">
        <f>LOOKUP(408020600,[1]PlanCuentas!$A$2:$A$6092,[1]PlanCuentas!V$2:V$6092)</f>
        <v>0</v>
      </c>
      <c r="I544" s="12">
        <f>LOOKUP(408020700,[1]PlanCuentas!$A$2:$A$6092,[1]PlanCuentas!V$2:V$6092)</f>
        <v>0</v>
      </c>
      <c r="J544" s="12">
        <f>LOOKUP(408020800,[1]PlanCuentas!$A$2:$A$6092,[1]PlanCuentas!V$2:V$6092)</f>
        <v>0</v>
      </c>
      <c r="K544" s="12">
        <f>LOOKUP(408020900,[1]PlanCuentas!$A$2:$A$6092,[1]PlanCuentas!V$2:V$6092)</f>
        <v>0</v>
      </c>
      <c r="L544" s="12">
        <f>LOOKUP(408021000,[1]PlanCuentas!$A$2:$A$6092,[1]PlanCuentas!V$2:V$6092)</f>
        <v>0</v>
      </c>
      <c r="M544" s="12">
        <f>LOOKUP(408021100,[1]PlanCuentas!$A$2:$A$6092,[1]PlanCuentas!V$2:V$6092)</f>
        <v>0</v>
      </c>
      <c r="N544" s="12">
        <f>LOOKUP(408021200,[1]PlanCuentas!$A$2:$A$6092,[1]PlanCuentas!V$2:V$6092)</f>
        <v>0</v>
      </c>
      <c r="O544" s="12">
        <f>LOOKUP(408021300,[1]PlanCuentas!$A$2:$A$6092,[1]PlanCuentas!V$2:V$6092)</f>
        <v>0</v>
      </c>
      <c r="P544" s="12">
        <f>LOOKUP(408022000,[1]PlanCuentas!$A$2:$A$6092,[1]PlanCuentas!V$2:V$6092)</f>
        <v>0</v>
      </c>
      <c r="Q544" s="13">
        <f t="shared" si="26"/>
        <v>0</v>
      </c>
    </row>
    <row r="545" spans="1:33" x14ac:dyDescent="0.2">
      <c r="A545" s="10">
        <v>21</v>
      </c>
      <c r="B545" s="11" t="str">
        <f>[1]Aseguradoras!B22</f>
        <v>La Agricola S.A de Seguros y Reaseguros</v>
      </c>
      <c r="C545" s="12">
        <f>LOOKUP(408020100,[1]PlanCuentas!$A$2:$A$6092,[1]PlanCuentas!W$2:W$6092)</f>
        <v>420662498</v>
      </c>
      <c r="D545" s="12">
        <f>LOOKUP(408020200,[1]PlanCuentas!$A$2:$A$6092,[1]PlanCuentas!W$2:W$6092)</f>
        <v>0</v>
      </c>
      <c r="E545" s="12">
        <f>LOOKUP(408020300,[1]PlanCuentas!$A$2:$A$6092,[1]PlanCuentas!W$2:W$6092)</f>
        <v>0</v>
      </c>
      <c r="F545" s="12">
        <f>LOOKUP(408020400,[1]PlanCuentas!$A$2:$A$6092,[1]PlanCuentas!W$2:W$6092)</f>
        <v>0</v>
      </c>
      <c r="G545" s="12">
        <f>LOOKUP(408020500,[1]PlanCuentas!$A$2:$A$6092,[1]PlanCuentas!W$2:W$6092)</f>
        <v>0</v>
      </c>
      <c r="H545" s="12">
        <f>LOOKUP(408020600,[1]PlanCuentas!$A$2:$A$6092,[1]PlanCuentas!W$2:W$6092)</f>
        <v>0</v>
      </c>
      <c r="I545" s="12">
        <f>LOOKUP(408020700,[1]PlanCuentas!$A$2:$A$6092,[1]PlanCuentas!W$2:W$6092)</f>
        <v>0</v>
      </c>
      <c r="J545" s="12">
        <f>LOOKUP(408020800,[1]PlanCuentas!$A$2:$A$6092,[1]PlanCuentas!W$2:W$6092)</f>
        <v>0</v>
      </c>
      <c r="K545" s="12">
        <f>LOOKUP(408020900,[1]PlanCuentas!$A$2:$A$6092,[1]PlanCuentas!W$2:W$6092)</f>
        <v>0</v>
      </c>
      <c r="L545" s="12">
        <f>LOOKUP(408021000,[1]PlanCuentas!$A$2:$A$6092,[1]PlanCuentas!W$2:W$6092)</f>
        <v>0</v>
      </c>
      <c r="M545" s="12">
        <f>LOOKUP(408021100,[1]PlanCuentas!$A$2:$A$6092,[1]PlanCuentas!W$2:W$6092)</f>
        <v>0</v>
      </c>
      <c r="N545" s="12">
        <f>LOOKUP(408021200,[1]PlanCuentas!$A$2:$A$6092,[1]PlanCuentas!W$2:W$6092)</f>
        <v>0</v>
      </c>
      <c r="O545" s="12">
        <f>LOOKUP(408021300,[1]PlanCuentas!$A$2:$A$6092,[1]PlanCuentas!W$2:W$6092)</f>
        <v>0</v>
      </c>
      <c r="P545" s="12">
        <f>LOOKUP(408022000,[1]PlanCuentas!$A$2:$A$6092,[1]PlanCuentas!W$2:W$6092)</f>
        <v>0</v>
      </c>
      <c r="Q545" s="13">
        <f t="shared" si="26"/>
        <v>420662498</v>
      </c>
    </row>
    <row r="546" spans="1:33" x14ac:dyDescent="0.2">
      <c r="A546" s="10">
        <v>22</v>
      </c>
      <c r="B546" s="11" t="str">
        <f>[1]Aseguradoras!B23</f>
        <v>Grupo General de Seguros y Reaseguros S.A.</v>
      </c>
      <c r="C546" s="12">
        <f>LOOKUP(408020100,[1]PlanCuentas!$A$2:$A$6092,[1]PlanCuentas!X$2:X$6092)</f>
        <v>0</v>
      </c>
      <c r="D546" s="12">
        <f>LOOKUP(408020200,[1]PlanCuentas!$A$2:$A$6092,[1]PlanCuentas!X$2:X$6092)</f>
        <v>0</v>
      </c>
      <c r="E546" s="12">
        <f>LOOKUP(408020300,[1]PlanCuentas!$A$2:$A$6092,[1]PlanCuentas!X$2:X$6092)</f>
        <v>0</v>
      </c>
      <c r="F546" s="12">
        <f>LOOKUP(408020400,[1]PlanCuentas!$A$2:$A$6092,[1]PlanCuentas!X$2:X$6092)</f>
        <v>0</v>
      </c>
      <c r="G546" s="12">
        <f>LOOKUP(408020500,[1]PlanCuentas!$A$2:$A$6092,[1]PlanCuentas!X$2:X$6092)</f>
        <v>0</v>
      </c>
      <c r="H546" s="12">
        <f>LOOKUP(408020600,[1]PlanCuentas!$A$2:$A$6092,[1]PlanCuentas!X$2:X$6092)</f>
        <v>0</v>
      </c>
      <c r="I546" s="12">
        <f>LOOKUP(408020700,[1]PlanCuentas!$A$2:$A$6092,[1]PlanCuentas!X$2:X$6092)</f>
        <v>0</v>
      </c>
      <c r="J546" s="12">
        <f>LOOKUP(408020800,[1]PlanCuentas!$A$2:$A$6092,[1]PlanCuentas!X$2:X$6092)</f>
        <v>0</v>
      </c>
      <c r="K546" s="12">
        <f>LOOKUP(408020900,[1]PlanCuentas!$A$2:$A$6092,[1]PlanCuentas!X$2:X$6092)</f>
        <v>0</v>
      </c>
      <c r="L546" s="12">
        <f>LOOKUP(408021000,[1]PlanCuentas!$A$2:$A$6092,[1]PlanCuentas!X$2:X$6092)</f>
        <v>0</v>
      </c>
      <c r="M546" s="12">
        <f>LOOKUP(408021100,[1]PlanCuentas!$A$2:$A$6092,[1]PlanCuentas!X$2:X$6092)</f>
        <v>0</v>
      </c>
      <c r="N546" s="12">
        <f>LOOKUP(408021200,[1]PlanCuentas!$A$2:$A$6092,[1]PlanCuentas!X$2:X$6092)</f>
        <v>0</v>
      </c>
      <c r="O546" s="12">
        <f>LOOKUP(408021300,[1]PlanCuentas!$A$2:$A$6092,[1]PlanCuentas!X$2:X$6092)</f>
        <v>0</v>
      </c>
      <c r="P546" s="12">
        <f>LOOKUP(408022000,[1]PlanCuentas!$A$2:$A$6092,[1]PlanCuentas!X$2:X$6092)</f>
        <v>0</v>
      </c>
      <c r="Q546" s="13">
        <f t="shared" si="26"/>
        <v>0</v>
      </c>
    </row>
    <row r="547" spans="1:33" x14ac:dyDescent="0.2">
      <c r="A547" s="10">
        <v>23</v>
      </c>
      <c r="B547" s="11" t="str">
        <f>[1]Aseguradoras!B24</f>
        <v>Alfa S.A de Seguros y Reaseguros</v>
      </c>
      <c r="C547" s="12">
        <f>LOOKUP(408020100,[1]PlanCuentas!$A$2:$A$6092,[1]PlanCuentas!Y$2:Y$6092)</f>
        <v>0</v>
      </c>
      <c r="D547" s="12">
        <f>LOOKUP(408020200,[1]PlanCuentas!$A$2:$A$6092,[1]PlanCuentas!Y$2:Y$6092)</f>
        <v>0</v>
      </c>
      <c r="E547" s="12">
        <f>LOOKUP(408020300,[1]PlanCuentas!$A$2:$A$6092,[1]PlanCuentas!Y$2:Y$6092)</f>
        <v>0</v>
      </c>
      <c r="F547" s="12">
        <f>LOOKUP(408020400,[1]PlanCuentas!$A$2:$A$6092,[1]PlanCuentas!Y$2:Y$6092)</f>
        <v>28249115</v>
      </c>
      <c r="G547" s="12">
        <f>LOOKUP(408020500,[1]PlanCuentas!$A$2:$A$6092,[1]PlanCuentas!Y$2:Y$6092)</f>
        <v>0</v>
      </c>
      <c r="H547" s="12">
        <f>LOOKUP(408020600,[1]PlanCuentas!$A$2:$A$6092,[1]PlanCuentas!Y$2:Y$6092)</f>
        <v>0</v>
      </c>
      <c r="I547" s="12">
        <f>LOOKUP(408020700,[1]PlanCuentas!$A$2:$A$6092,[1]PlanCuentas!Y$2:Y$6092)</f>
        <v>0</v>
      </c>
      <c r="J547" s="12">
        <f>LOOKUP(408020800,[1]PlanCuentas!$A$2:$A$6092,[1]PlanCuentas!Y$2:Y$6092)</f>
        <v>0</v>
      </c>
      <c r="K547" s="12">
        <f>LOOKUP(408020900,[1]PlanCuentas!$A$2:$A$6092,[1]PlanCuentas!Y$2:Y$6092)</f>
        <v>0</v>
      </c>
      <c r="L547" s="12">
        <f>LOOKUP(408021000,[1]PlanCuentas!$A$2:$A$6092,[1]PlanCuentas!Y$2:Y$6092)</f>
        <v>0</v>
      </c>
      <c r="M547" s="12">
        <f>LOOKUP(408021100,[1]PlanCuentas!$A$2:$A$6092,[1]PlanCuentas!Y$2:Y$6092)</f>
        <v>0</v>
      </c>
      <c r="N547" s="12">
        <f>LOOKUP(408021200,[1]PlanCuentas!$A$2:$A$6092,[1]PlanCuentas!Y$2:Y$6092)</f>
        <v>0</v>
      </c>
      <c r="O547" s="12">
        <f>LOOKUP(408021300,[1]PlanCuentas!$A$2:$A$6092,[1]PlanCuentas!Y$2:Y$6092)</f>
        <v>0</v>
      </c>
      <c r="P547" s="12">
        <f>LOOKUP(408022000,[1]PlanCuentas!$A$2:$A$6092,[1]PlanCuentas!Y$2:Y$6092)</f>
        <v>0</v>
      </c>
      <c r="Q547" s="13">
        <f t="shared" si="26"/>
        <v>28249115</v>
      </c>
    </row>
    <row r="548" spans="1:33" x14ac:dyDescent="0.2">
      <c r="A548" s="10">
        <v>24</v>
      </c>
      <c r="B548" s="11" t="str">
        <f>[1]Aseguradoras!B25</f>
        <v>Cenit de Seguros S.A.</v>
      </c>
      <c r="C548" s="12">
        <f>LOOKUP(408020100,[1]PlanCuentas!$A$2:$A$6092,[1]PlanCuentas!Z$2:Z$6092)</f>
        <v>0</v>
      </c>
      <c r="D548" s="12">
        <f>LOOKUP(408020200,[1]PlanCuentas!$A$2:$A$6092,[1]PlanCuentas!Z$2:Z$6092)</f>
        <v>0</v>
      </c>
      <c r="E548" s="12">
        <f>LOOKUP(408020300,[1]PlanCuentas!$A$2:$A$6092,[1]PlanCuentas!Z$2:Z$6092)</f>
        <v>0</v>
      </c>
      <c r="F548" s="12">
        <f>LOOKUP(408020400,[1]PlanCuentas!$A$2:$A$6092,[1]PlanCuentas!Z$2:Z$6092)</f>
        <v>0</v>
      </c>
      <c r="G548" s="12">
        <f>LOOKUP(408020500,[1]PlanCuentas!$A$2:$A$6092,[1]PlanCuentas!Z$2:Z$6092)</f>
        <v>0</v>
      </c>
      <c r="H548" s="12">
        <f>LOOKUP(408020600,[1]PlanCuentas!$A$2:$A$6092,[1]PlanCuentas!Z$2:Z$6092)</f>
        <v>375000000</v>
      </c>
      <c r="I548" s="12">
        <f>LOOKUP(408020700,[1]PlanCuentas!$A$2:$A$6092,[1]PlanCuentas!Z$2:Z$6092)</f>
        <v>0</v>
      </c>
      <c r="J548" s="12">
        <f>LOOKUP(408020800,[1]PlanCuentas!$A$2:$A$6092,[1]PlanCuentas!Z$2:Z$6092)</f>
        <v>0</v>
      </c>
      <c r="K548" s="12">
        <f>LOOKUP(408020900,[1]PlanCuentas!$A$2:$A$6092,[1]PlanCuentas!Z$2:Z$6092)</f>
        <v>0</v>
      </c>
      <c r="L548" s="12">
        <f>LOOKUP(408021000,[1]PlanCuentas!$A$2:$A$6092,[1]PlanCuentas!Z$2:Z$6092)</f>
        <v>0</v>
      </c>
      <c r="M548" s="12">
        <f>LOOKUP(408021100,[1]PlanCuentas!$A$2:$A$6092,[1]PlanCuentas!Z$2:Z$6092)</f>
        <v>0</v>
      </c>
      <c r="N548" s="12">
        <f>LOOKUP(408021200,[1]PlanCuentas!$A$2:$A$6092,[1]PlanCuentas!Z$2:Z$6092)</f>
        <v>0</v>
      </c>
      <c r="O548" s="12">
        <f>LOOKUP(408021300,[1]PlanCuentas!$A$2:$A$6092,[1]PlanCuentas!Z$2:Z$6092)</f>
        <v>0</v>
      </c>
      <c r="P548" s="12">
        <f>LOOKUP(408022000,[1]PlanCuentas!$A$2:$A$6092,[1]PlanCuentas!Z$2:Z$6092)</f>
        <v>0</v>
      </c>
      <c r="Q548" s="13">
        <f t="shared" si="26"/>
        <v>375000000</v>
      </c>
    </row>
    <row r="549" spans="1:33" x14ac:dyDescent="0.2">
      <c r="A549" s="10">
        <v>25</v>
      </c>
      <c r="B549" s="11" t="str">
        <f>[1]Aseguradoras!B26</f>
        <v>La Meridional Paraguaya S.A de Seguros</v>
      </c>
      <c r="C549" s="12">
        <f>LOOKUP(408020100,[1]PlanCuentas!$A$2:$A$6092,[1]PlanCuentas!AA$2:AA$6092)</f>
        <v>0</v>
      </c>
      <c r="D549" s="12">
        <f>LOOKUP(408020200,[1]PlanCuentas!$A$2:$A$6092,[1]PlanCuentas!AA$2:AA$6092)</f>
        <v>0</v>
      </c>
      <c r="E549" s="12">
        <f>LOOKUP(408020300,[1]PlanCuentas!$A$2:$A$6092,[1]PlanCuentas!AA$2:AA$6092)</f>
        <v>0</v>
      </c>
      <c r="F549" s="12">
        <f>LOOKUP(408020400,[1]PlanCuentas!$A$2:$A$6092,[1]PlanCuentas!AA$2:AA$6092)</f>
        <v>0</v>
      </c>
      <c r="G549" s="12">
        <f>LOOKUP(408020500,[1]PlanCuentas!$A$2:$A$6092,[1]PlanCuentas!AA$2:AA$6092)</f>
        <v>0</v>
      </c>
      <c r="H549" s="12">
        <f>LOOKUP(408020600,[1]PlanCuentas!$A$2:$A$6092,[1]PlanCuentas!AA$2:AA$6092)</f>
        <v>0</v>
      </c>
      <c r="I549" s="12">
        <f>LOOKUP(408020700,[1]PlanCuentas!$A$2:$A$6092,[1]PlanCuentas!AA$2:AA$6092)</f>
        <v>0</v>
      </c>
      <c r="J549" s="12">
        <f>LOOKUP(408020800,[1]PlanCuentas!$A$2:$A$6092,[1]PlanCuentas!AA$2:AA$6092)</f>
        <v>0</v>
      </c>
      <c r="K549" s="12">
        <f>LOOKUP(408020900,[1]PlanCuentas!$A$2:$A$6092,[1]PlanCuentas!AA$2:AA$6092)</f>
        <v>0</v>
      </c>
      <c r="L549" s="12">
        <f>LOOKUP(408021000,[1]PlanCuentas!$A$2:$A$6092,[1]PlanCuentas!AA$2:AA$6092)</f>
        <v>0</v>
      </c>
      <c r="M549" s="12">
        <f>LOOKUP(408021100,[1]PlanCuentas!$A$2:$A$6092,[1]PlanCuentas!AA$2:AA$6092)</f>
        <v>0</v>
      </c>
      <c r="N549" s="12">
        <f>LOOKUP(408021200,[1]PlanCuentas!$A$2:$A$6092,[1]PlanCuentas!AA$2:AA$6092)</f>
        <v>0</v>
      </c>
      <c r="O549" s="12">
        <f>LOOKUP(408021300,[1]PlanCuentas!$A$2:$A$6092,[1]PlanCuentas!AA$2:AA$6092)</f>
        <v>0</v>
      </c>
      <c r="P549" s="12">
        <f>LOOKUP(408022000,[1]PlanCuentas!$A$2:$A$6092,[1]PlanCuentas!AA$2:AA$6092)</f>
        <v>0</v>
      </c>
      <c r="Q549" s="13">
        <f t="shared" si="26"/>
        <v>0</v>
      </c>
    </row>
    <row r="550" spans="1:33" x14ac:dyDescent="0.2">
      <c r="A550" s="10">
        <v>26</v>
      </c>
      <c r="B550" s="11" t="str">
        <f>[1]Aseguradoras!B27</f>
        <v>Aseguradora Del Este S.A de Seguros y Reaseguros</v>
      </c>
      <c r="C550" s="12">
        <f>LOOKUP(408020100,[1]PlanCuentas!$A$2:$A$6092,[1]PlanCuentas!AB$2:AB$6092)</f>
        <v>0</v>
      </c>
      <c r="D550" s="12">
        <f>LOOKUP(408020200,[1]PlanCuentas!$A$2:$A$6092,[1]PlanCuentas!AB$2:AB$6092)</f>
        <v>0</v>
      </c>
      <c r="E550" s="12">
        <f>LOOKUP(408020300,[1]PlanCuentas!$A$2:$A$6092,[1]PlanCuentas!AB$2:AB$6092)</f>
        <v>0</v>
      </c>
      <c r="F550" s="12">
        <f>LOOKUP(408020400,[1]PlanCuentas!$A$2:$A$6092,[1]PlanCuentas!AB$2:AB$6092)</f>
        <v>0</v>
      </c>
      <c r="G550" s="12">
        <f>LOOKUP(408020500,[1]PlanCuentas!$A$2:$A$6092,[1]PlanCuentas!AB$2:AB$6092)</f>
        <v>0</v>
      </c>
      <c r="H550" s="12">
        <f>LOOKUP(408020600,[1]PlanCuentas!$A$2:$A$6092,[1]PlanCuentas!AB$2:AB$6092)</f>
        <v>0</v>
      </c>
      <c r="I550" s="12">
        <f>LOOKUP(408020700,[1]PlanCuentas!$A$2:$A$6092,[1]PlanCuentas!AB$2:AB$6092)</f>
        <v>0</v>
      </c>
      <c r="J550" s="12">
        <f>LOOKUP(408020800,[1]PlanCuentas!$A$2:$A$6092,[1]PlanCuentas!AB$2:AB$6092)</f>
        <v>0</v>
      </c>
      <c r="K550" s="12">
        <f>LOOKUP(408020900,[1]PlanCuentas!$A$2:$A$6092,[1]PlanCuentas!AB$2:AB$6092)</f>
        <v>0</v>
      </c>
      <c r="L550" s="12">
        <f>LOOKUP(408021000,[1]PlanCuentas!$A$2:$A$6092,[1]PlanCuentas!AB$2:AB$6092)</f>
        <v>0</v>
      </c>
      <c r="M550" s="12">
        <f>LOOKUP(408021100,[1]PlanCuentas!$A$2:$A$6092,[1]PlanCuentas!AB$2:AB$6092)</f>
        <v>0</v>
      </c>
      <c r="N550" s="12">
        <f>LOOKUP(408021200,[1]PlanCuentas!$A$2:$A$6092,[1]PlanCuentas!AB$2:AB$6092)</f>
        <v>0</v>
      </c>
      <c r="O550" s="12">
        <f>LOOKUP(408021300,[1]PlanCuentas!$A$2:$A$6092,[1]PlanCuentas!AB$2:AB$6092)</f>
        <v>0</v>
      </c>
      <c r="P550" s="12">
        <f>LOOKUP(408022000,[1]PlanCuentas!$A$2:$A$6092,[1]PlanCuentas!AB$2:AB$6092)</f>
        <v>0</v>
      </c>
      <c r="Q550" s="13">
        <f t="shared" si="26"/>
        <v>0</v>
      </c>
    </row>
    <row r="551" spans="1:33" x14ac:dyDescent="0.2">
      <c r="A551" s="10">
        <v>27</v>
      </c>
      <c r="B551" s="11" t="str">
        <f>[1]Aseguradoras!B28</f>
        <v>Imperio S.A de Seguros y Reaseguros</v>
      </c>
      <c r="C551" s="12">
        <f>LOOKUP(408020100,[1]PlanCuentas!$A$2:$A$6092,[1]PlanCuentas!AC$2:AC$6092)</f>
        <v>0</v>
      </c>
      <c r="D551" s="12">
        <f>LOOKUP(408020200,[1]PlanCuentas!$A$2:$A$6092,[1]PlanCuentas!AC$2:AC$6092)</f>
        <v>0</v>
      </c>
      <c r="E551" s="12">
        <f>LOOKUP(408020300,[1]PlanCuentas!$A$2:$A$6092,[1]PlanCuentas!AC$2:AC$6092)</f>
        <v>0</v>
      </c>
      <c r="F551" s="12">
        <f>LOOKUP(408020400,[1]PlanCuentas!$A$2:$A$6092,[1]PlanCuentas!AC$2:AC$6092)</f>
        <v>0</v>
      </c>
      <c r="G551" s="12">
        <f>LOOKUP(408020500,[1]PlanCuentas!$A$2:$A$6092,[1]PlanCuentas!AC$2:AC$6092)</f>
        <v>0</v>
      </c>
      <c r="H551" s="12">
        <f>LOOKUP(408020600,[1]PlanCuentas!$A$2:$A$6092,[1]PlanCuentas!AC$2:AC$6092)</f>
        <v>0</v>
      </c>
      <c r="I551" s="12">
        <f>LOOKUP(408020700,[1]PlanCuentas!$A$2:$A$6092,[1]PlanCuentas!AC$2:AC$6092)</f>
        <v>0</v>
      </c>
      <c r="J551" s="12">
        <f>LOOKUP(408020800,[1]PlanCuentas!$A$2:$A$6092,[1]PlanCuentas!AC$2:AC$6092)</f>
        <v>0</v>
      </c>
      <c r="K551" s="12">
        <f>LOOKUP(408020900,[1]PlanCuentas!$A$2:$A$6092,[1]PlanCuentas!AC$2:AC$6092)</f>
        <v>0</v>
      </c>
      <c r="L551" s="12">
        <f>LOOKUP(408021000,[1]PlanCuentas!$A$2:$A$6092,[1]PlanCuentas!AC$2:AC$6092)</f>
        <v>0</v>
      </c>
      <c r="M551" s="12">
        <f>LOOKUP(408021100,[1]PlanCuentas!$A$2:$A$6092,[1]PlanCuentas!AC$2:AC$6092)</f>
        <v>0</v>
      </c>
      <c r="N551" s="12">
        <f>LOOKUP(408021200,[1]PlanCuentas!$A$2:$A$6092,[1]PlanCuentas!AC$2:AC$6092)</f>
        <v>0</v>
      </c>
      <c r="O551" s="12">
        <f>LOOKUP(408021300,[1]PlanCuentas!$A$2:$A$6092,[1]PlanCuentas!AC$2:AC$6092)</f>
        <v>0</v>
      </c>
      <c r="P551" s="12">
        <f>LOOKUP(408022000,[1]PlanCuentas!$A$2:$A$6092,[1]PlanCuentas!AC$2:AC$6092)</f>
        <v>0</v>
      </c>
      <c r="Q551" s="13">
        <f t="shared" si="26"/>
        <v>0</v>
      </c>
    </row>
    <row r="552" spans="1:33" x14ac:dyDescent="0.2">
      <c r="A552" s="10">
        <v>28</v>
      </c>
      <c r="B552" s="11" t="str">
        <f>[1]Aseguradoras!B29</f>
        <v>Regional S.A de Seguros y Reaseguros</v>
      </c>
      <c r="C552" s="12">
        <f>LOOKUP(408020100,[1]PlanCuentas!$A$2:$A$6092,[1]PlanCuentas!AD$2:AD$6092)</f>
        <v>0</v>
      </c>
      <c r="D552" s="12">
        <f>LOOKUP(408020200,[1]PlanCuentas!$A$2:$A$6092,[1]PlanCuentas!AD$2:AD$6092)</f>
        <v>0</v>
      </c>
      <c r="E552" s="12">
        <f>LOOKUP(408020300,[1]PlanCuentas!$A$2:$A$6092,[1]PlanCuentas!AD$2:AD$6092)</f>
        <v>0</v>
      </c>
      <c r="F552" s="12">
        <f>LOOKUP(408020400,[1]PlanCuentas!$A$2:$A$6092,[1]PlanCuentas!AD$2:AD$6092)</f>
        <v>0</v>
      </c>
      <c r="G552" s="12">
        <f>LOOKUP(408020500,[1]PlanCuentas!$A$2:$A$6092,[1]PlanCuentas!AD$2:AD$6092)</f>
        <v>0</v>
      </c>
      <c r="H552" s="12">
        <f>LOOKUP(408020600,[1]PlanCuentas!$A$2:$A$6092,[1]PlanCuentas!AD$2:AD$6092)</f>
        <v>0</v>
      </c>
      <c r="I552" s="12">
        <f>LOOKUP(408020700,[1]PlanCuentas!$A$2:$A$6092,[1]PlanCuentas!AD$2:AD$6092)</f>
        <v>0</v>
      </c>
      <c r="J552" s="12">
        <f>LOOKUP(408020800,[1]PlanCuentas!$A$2:$A$6092,[1]PlanCuentas!AD$2:AD$6092)</f>
        <v>0</v>
      </c>
      <c r="K552" s="12">
        <f>LOOKUP(408020900,[1]PlanCuentas!$A$2:$A$6092,[1]PlanCuentas!AD$2:AD$6092)</f>
        <v>0</v>
      </c>
      <c r="L552" s="12">
        <f>LOOKUP(408021000,[1]PlanCuentas!$A$2:$A$6092,[1]PlanCuentas!AD$2:AD$6092)</f>
        <v>0</v>
      </c>
      <c r="M552" s="12">
        <f>LOOKUP(408021100,[1]PlanCuentas!$A$2:$A$6092,[1]PlanCuentas!AD$2:AD$6092)</f>
        <v>0</v>
      </c>
      <c r="N552" s="12">
        <f>LOOKUP(408021200,[1]PlanCuentas!$A$2:$A$6092,[1]PlanCuentas!AD$2:AD$6092)</f>
        <v>0</v>
      </c>
      <c r="O552" s="12">
        <f>LOOKUP(408021300,[1]PlanCuentas!$A$2:$A$6092,[1]PlanCuentas!AD$2:AD$6092)</f>
        <v>0</v>
      </c>
      <c r="P552" s="12">
        <f>LOOKUP(408022000,[1]PlanCuentas!$A$2:$A$6092,[1]PlanCuentas!AD$2:AD$6092)</f>
        <v>0</v>
      </c>
      <c r="Q552" s="13">
        <f t="shared" si="26"/>
        <v>0</v>
      </c>
    </row>
    <row r="553" spans="1:33" s="37" customFormat="1" x14ac:dyDescent="0.2">
      <c r="A553" s="10">
        <v>29</v>
      </c>
      <c r="B553" s="11" t="str">
        <f>[1]Aseguradoras!B30</f>
        <v>Mapfre Paraguay Compañía de Seguros S.A.</v>
      </c>
      <c r="C553" s="12">
        <f>LOOKUP(408020100,[1]PlanCuentas!$A$2:$A$6092,[1]PlanCuentas!AE$2:AE$6092)</f>
        <v>0</v>
      </c>
      <c r="D553" s="12">
        <f>LOOKUP(408020200,[1]PlanCuentas!$A$2:$A$6092,[1]PlanCuentas!AE$2:AE$6092)</f>
        <v>0</v>
      </c>
      <c r="E553" s="12">
        <f>LOOKUP(408020300,[1]PlanCuentas!$A$2:$A$6092,[1]PlanCuentas!AE$2:AE$6092)</f>
        <v>0</v>
      </c>
      <c r="F553" s="12">
        <f>LOOKUP(408020400,[1]PlanCuentas!$A$2:$A$6092,[1]PlanCuentas!AE$2:AE$6092)</f>
        <v>0</v>
      </c>
      <c r="G553" s="12">
        <f>LOOKUP(408020500,[1]PlanCuentas!$A$2:$A$6092,[1]PlanCuentas!AE$2:AE$6092)</f>
        <v>0</v>
      </c>
      <c r="H553" s="12">
        <f>LOOKUP(408020600,[1]PlanCuentas!$A$2:$A$6092,[1]PlanCuentas!AE$2:AE$6092)</f>
        <v>0</v>
      </c>
      <c r="I553" s="12">
        <f>LOOKUP(408020700,[1]PlanCuentas!$A$2:$A$6092,[1]PlanCuentas!AE$2:AE$6092)</f>
        <v>0</v>
      </c>
      <c r="J553" s="12">
        <f>LOOKUP(408020800,[1]PlanCuentas!$A$2:$A$6092,[1]PlanCuentas!AE$2:AE$6092)</f>
        <v>0</v>
      </c>
      <c r="K553" s="12">
        <f>LOOKUP(408020900,[1]PlanCuentas!$A$2:$A$6092,[1]PlanCuentas!AE$2:AE$6092)</f>
        <v>0</v>
      </c>
      <c r="L553" s="12">
        <f>LOOKUP(408021000,[1]PlanCuentas!$A$2:$A$6092,[1]PlanCuentas!AE$2:AE$6092)</f>
        <v>0</v>
      </c>
      <c r="M553" s="12">
        <f>LOOKUP(408021100,[1]PlanCuentas!$A$2:$A$6092,[1]PlanCuentas!AE$2:AE$6092)</f>
        <v>0</v>
      </c>
      <c r="N553" s="12">
        <f>LOOKUP(408021200,[1]PlanCuentas!$A$2:$A$6092,[1]PlanCuentas!AE$2:AE$6092)</f>
        <v>0</v>
      </c>
      <c r="O553" s="12">
        <f>LOOKUP(408021300,[1]PlanCuentas!$A$2:$A$6092,[1]PlanCuentas!AE$2:AE$6092)</f>
        <v>0</v>
      </c>
      <c r="P553" s="12">
        <f>LOOKUP(408022000,[1]PlanCuentas!$A$2:$A$6092,[1]PlanCuentas!AE$2:AE$6092)</f>
        <v>0</v>
      </c>
      <c r="Q553" s="13">
        <f t="shared" si="26"/>
        <v>0</v>
      </c>
    </row>
    <row r="554" spans="1:33" x14ac:dyDescent="0.2">
      <c r="A554" s="10">
        <v>30</v>
      </c>
      <c r="B554" s="11" t="str">
        <f>[1]Aseguradoras!B31</f>
        <v>Aseguradora Tajy Propiedad Cooperativa S.A. de Seguros</v>
      </c>
      <c r="C554" s="12">
        <f>LOOKUP(408020100,[1]PlanCuentas!$A$2:$A$6092,[1]PlanCuentas!AF$2:AF$6092)</f>
        <v>0</v>
      </c>
      <c r="D554" s="12">
        <f>LOOKUP(408020200,[1]PlanCuentas!$A$2:$A$6092,[1]PlanCuentas!AF$2:AF$6092)</f>
        <v>0</v>
      </c>
      <c r="E554" s="12">
        <f>LOOKUP(408020300,[1]PlanCuentas!$A$2:$A$6092,[1]PlanCuentas!AF$2:AF$6092)</f>
        <v>0</v>
      </c>
      <c r="F554" s="12">
        <f>LOOKUP(408020400,[1]PlanCuentas!$A$2:$A$6092,[1]PlanCuentas!AF$2:AF$6092)</f>
        <v>0</v>
      </c>
      <c r="G554" s="12">
        <f>LOOKUP(408020500,[1]PlanCuentas!$A$2:$A$6092,[1]PlanCuentas!AF$2:AF$6092)</f>
        <v>0</v>
      </c>
      <c r="H554" s="12">
        <f>LOOKUP(408020600,[1]PlanCuentas!$A$2:$A$6092,[1]PlanCuentas!AF$2:AF$6092)</f>
        <v>0</v>
      </c>
      <c r="I554" s="12">
        <f>LOOKUP(408020700,[1]PlanCuentas!$A$2:$A$6092,[1]PlanCuentas!AF$2:AF$6092)</f>
        <v>0</v>
      </c>
      <c r="J554" s="12">
        <f>LOOKUP(408020800,[1]PlanCuentas!$A$2:$A$6092,[1]PlanCuentas!AF$2:AF$6092)</f>
        <v>0</v>
      </c>
      <c r="K554" s="12">
        <f>LOOKUP(408020900,[1]PlanCuentas!$A$2:$A$6092,[1]PlanCuentas!AF$2:AF$6092)</f>
        <v>0</v>
      </c>
      <c r="L554" s="12">
        <f>LOOKUP(408021000,[1]PlanCuentas!$A$2:$A$6092,[1]PlanCuentas!AF$2:AF$6092)</f>
        <v>0</v>
      </c>
      <c r="M554" s="12">
        <f>LOOKUP(408021100,[1]PlanCuentas!$A$2:$A$6092,[1]PlanCuentas!AF$2:AF$6092)</f>
        <v>0</v>
      </c>
      <c r="N554" s="12">
        <f>LOOKUP(408021200,[1]PlanCuentas!$A$2:$A$6092,[1]PlanCuentas!AF$2:AF$6092)</f>
        <v>0</v>
      </c>
      <c r="O554" s="12">
        <f>LOOKUP(408021300,[1]PlanCuentas!$A$2:$A$6092,[1]PlanCuentas!AF$2:AF$6092)</f>
        <v>0</v>
      </c>
      <c r="P554" s="12">
        <f>LOOKUP(408022000,[1]PlanCuentas!$A$2:$A$6092,[1]PlanCuentas!AF$2:AF$6092)</f>
        <v>0</v>
      </c>
      <c r="Q554" s="13">
        <f t="shared" si="26"/>
        <v>0</v>
      </c>
    </row>
    <row r="555" spans="1:33" x14ac:dyDescent="0.2">
      <c r="A555" s="10">
        <v>31</v>
      </c>
      <c r="B555" s="11" t="str">
        <f>[1]Aseguradoras!B32</f>
        <v>Aseguradora del Sur S.A. Seguros Generales - ASUR</v>
      </c>
      <c r="C555" s="12">
        <f>LOOKUP(408020100,[1]PlanCuentas!$A$2:$A$6092,[1]PlanCuentas!AG$2:AG$6092)</f>
        <v>0</v>
      </c>
      <c r="D555" s="12">
        <f>LOOKUP(408020200,[1]PlanCuentas!$A$2:$A$6092,[1]PlanCuentas!AG$2:AG$6092)</f>
        <v>0</v>
      </c>
      <c r="E555" s="12">
        <f>LOOKUP(408020300,[1]PlanCuentas!$A$2:$A$6092,[1]PlanCuentas!AG$2:AG$6092)</f>
        <v>0</v>
      </c>
      <c r="F555" s="12">
        <f>LOOKUP(408020400,[1]PlanCuentas!$A$2:$A$6092,[1]PlanCuentas!AG$2:AG$6092)</f>
        <v>0</v>
      </c>
      <c r="G555" s="12">
        <f>LOOKUP(408020500,[1]PlanCuentas!$A$2:$A$6092,[1]PlanCuentas!AG$2:AG$6092)</f>
        <v>0</v>
      </c>
      <c r="H555" s="12">
        <f>LOOKUP(408020600,[1]PlanCuentas!$A$2:$A$6092,[1]PlanCuentas!AG$2:AG$6092)</f>
        <v>0</v>
      </c>
      <c r="I555" s="12">
        <f>LOOKUP(408020700,[1]PlanCuentas!$A$2:$A$6092,[1]PlanCuentas!AG$2:AG$6092)</f>
        <v>0</v>
      </c>
      <c r="J555" s="12">
        <f>LOOKUP(408020800,[1]PlanCuentas!$A$2:$A$6092,[1]PlanCuentas!AG$2:AG$6092)</f>
        <v>0</v>
      </c>
      <c r="K555" s="12">
        <f>LOOKUP(408020900,[1]PlanCuentas!$A$2:$A$6092,[1]PlanCuentas!AG$2:AG$6092)</f>
        <v>0</v>
      </c>
      <c r="L555" s="12">
        <f>LOOKUP(408021000,[1]PlanCuentas!$A$2:$A$6092,[1]PlanCuentas!AG$2:AG$6092)</f>
        <v>0</v>
      </c>
      <c r="M555" s="12">
        <f>LOOKUP(408021100,[1]PlanCuentas!$A$2:$A$6092,[1]PlanCuentas!AG$2:AG$6092)</f>
        <v>0</v>
      </c>
      <c r="N555" s="12">
        <f>LOOKUP(408021200,[1]PlanCuentas!$A$2:$A$6092,[1]PlanCuentas!AG$2:AG$6092)</f>
        <v>0</v>
      </c>
      <c r="O555" s="12">
        <f>LOOKUP(408021300,[1]PlanCuentas!$A$2:$A$6092,[1]PlanCuentas!AG$2:AG$6092)</f>
        <v>0</v>
      </c>
      <c r="P555" s="12">
        <f>LOOKUP(408022000,[1]PlanCuentas!$A$2:$A$6092,[1]PlanCuentas!AG$2:AG$6092)</f>
        <v>0</v>
      </c>
      <c r="Q555" s="13">
        <f t="shared" si="26"/>
        <v>0</v>
      </c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x14ac:dyDescent="0.2">
      <c r="A556" s="10">
        <v>32</v>
      </c>
      <c r="B556" s="11" t="str">
        <f>[1]Aseguradoras!B33</f>
        <v>Panal Compañía De Seguros Generales S.A.</v>
      </c>
      <c r="C556" s="12">
        <f>LOOKUP(408020100,[1]PlanCuentas!$A$2:$A$6092,[1]PlanCuentas!AH$2:AH$6092)</f>
        <v>0</v>
      </c>
      <c r="D556" s="12">
        <f>LOOKUP(408020200,[1]PlanCuentas!$A$2:$A$6092,[1]PlanCuentas!AH$2:AH$6092)</f>
        <v>0</v>
      </c>
      <c r="E556" s="12">
        <f>LOOKUP(408020300,[1]PlanCuentas!$A$2:$A$6092,[1]PlanCuentas!AH$2:AH$6092)</f>
        <v>0</v>
      </c>
      <c r="F556" s="12">
        <f>LOOKUP(408020400,[1]PlanCuentas!$A$2:$A$6092,[1]PlanCuentas!AH$2:AH$6092)</f>
        <v>0</v>
      </c>
      <c r="G556" s="12">
        <f>LOOKUP(408020500,[1]PlanCuentas!$A$2:$A$6092,[1]PlanCuentas!AH$2:AH$6092)</f>
        <v>0</v>
      </c>
      <c r="H556" s="12">
        <f>LOOKUP(408020600,[1]PlanCuentas!$A$2:$A$6092,[1]PlanCuentas!AH$2:AH$6092)</f>
        <v>0</v>
      </c>
      <c r="I556" s="12">
        <f>LOOKUP(408020700,[1]PlanCuentas!$A$2:$A$6092,[1]PlanCuentas!AH$2:AH$6092)</f>
        <v>0</v>
      </c>
      <c r="J556" s="12">
        <f>LOOKUP(408020800,[1]PlanCuentas!$A$2:$A$6092,[1]PlanCuentas!AH$2:AH$6092)</f>
        <v>0</v>
      </c>
      <c r="K556" s="12">
        <f>LOOKUP(408020900,[1]PlanCuentas!$A$2:$A$6092,[1]PlanCuentas!AH$2:AH$6092)</f>
        <v>0</v>
      </c>
      <c r="L556" s="12">
        <f>LOOKUP(408021000,[1]PlanCuentas!$A$2:$A$6092,[1]PlanCuentas!AH$2:AH$6092)</f>
        <v>0</v>
      </c>
      <c r="M556" s="12">
        <f>LOOKUP(408021100,[1]PlanCuentas!$A$2:$A$6092,[1]PlanCuentas!AH$2:AH$6092)</f>
        <v>0</v>
      </c>
      <c r="N556" s="12">
        <f>LOOKUP(408021200,[1]PlanCuentas!$A$2:$A$6092,[1]PlanCuentas!AH$2:AH$6092)</f>
        <v>0</v>
      </c>
      <c r="O556" s="12">
        <f>LOOKUP(408021300,[1]PlanCuentas!$A$2:$A$6092,[1]PlanCuentas!AH$2:AH$6092)</f>
        <v>0</v>
      </c>
      <c r="P556" s="12">
        <f>LOOKUP(408022000,[1]PlanCuentas!$A$2:$A$6092,[1]PlanCuentas!AH$2:AH$6092)</f>
        <v>0</v>
      </c>
      <c r="Q556" s="13">
        <f t="shared" si="26"/>
        <v>0</v>
      </c>
    </row>
    <row r="557" spans="1:33" x14ac:dyDescent="0.2">
      <c r="A557" s="14">
        <v>33</v>
      </c>
      <c r="B557" s="19" t="str">
        <f>[1]Aseguradoras!B34</f>
        <v>Sancor Seguros del Paraguay S.A.</v>
      </c>
      <c r="C557" s="12">
        <f>LOOKUP(408020100,[1]PlanCuentas!$A$2:$A$6092,[1]PlanCuentas!AI$2:AI$6092)</f>
        <v>0</v>
      </c>
      <c r="D557" s="12">
        <f>LOOKUP(408020200,[1]PlanCuentas!$A$2:$A$6092,[1]PlanCuentas!AI$2:AI$6092)</f>
        <v>0</v>
      </c>
      <c r="E557" s="12">
        <f>LOOKUP(408020300,[1]PlanCuentas!$A$2:$A$6092,[1]PlanCuentas!AI$2:AI$6092)</f>
        <v>0</v>
      </c>
      <c r="F557" s="12">
        <f>LOOKUP(408020400,[1]PlanCuentas!$A$2:$A$6092,[1]PlanCuentas!AI$2:AI$6092)</f>
        <v>0</v>
      </c>
      <c r="G557" s="12">
        <f>LOOKUP(408020500,[1]PlanCuentas!$A$2:$A$6092,[1]PlanCuentas!AI$2:AI$6092)</f>
        <v>0</v>
      </c>
      <c r="H557" s="12">
        <f>LOOKUP(408020600,[1]PlanCuentas!$A$2:$A$6092,[1]PlanCuentas!AI$2:AI$6092)</f>
        <v>0</v>
      </c>
      <c r="I557" s="12">
        <f>LOOKUP(408020700,[1]PlanCuentas!$A$2:$A$6092,[1]PlanCuentas!AI$2:AI$6092)</f>
        <v>0</v>
      </c>
      <c r="J557" s="12">
        <f>LOOKUP(408020800,[1]PlanCuentas!$A$2:$A$6092,[1]PlanCuentas!AI$2:AI$6092)</f>
        <v>0</v>
      </c>
      <c r="K557" s="12">
        <f>LOOKUP(408020900,[1]PlanCuentas!$A$2:$A$6092,[1]PlanCuentas!AI$2:AI$6092)</f>
        <v>0</v>
      </c>
      <c r="L557" s="12">
        <f>LOOKUP(408021000,[1]PlanCuentas!$A$2:$A$6092,[1]PlanCuentas!AI$2:AI$6092)</f>
        <v>0</v>
      </c>
      <c r="M557" s="12">
        <f>LOOKUP(408021100,[1]PlanCuentas!$A$2:$A$6092,[1]PlanCuentas!AI$2:AI$6092)</f>
        <v>0</v>
      </c>
      <c r="N557" s="12">
        <f>LOOKUP(408021200,[1]PlanCuentas!$A$2:$A$6092,[1]PlanCuentas!AI$2:AI$6092)</f>
        <v>0</v>
      </c>
      <c r="O557" s="12">
        <f>LOOKUP(408021300,[1]PlanCuentas!$A$2:$A$6092,[1]PlanCuentas!AI$2:AI$6092)</f>
        <v>0</v>
      </c>
      <c r="P557" s="12">
        <f>LOOKUP(408022000,[1]PlanCuentas!$A$2:$A$6092,[1]PlanCuentas!AI$2:AI$6092)</f>
        <v>0</v>
      </c>
      <c r="Q557" s="13">
        <f>SUM(C557:P557)</f>
        <v>0</v>
      </c>
    </row>
    <row r="558" spans="1:33" x14ac:dyDescent="0.2">
      <c r="A558" s="14"/>
      <c r="B558" s="15" t="s">
        <v>18</v>
      </c>
      <c r="C558" s="17">
        <f t="shared" ref="C558:Q558" si="27">SUBTOTAL(109,C525:C557)</f>
        <v>420662498</v>
      </c>
      <c r="D558" s="17">
        <f t="shared" si="27"/>
        <v>0</v>
      </c>
      <c r="E558" s="17">
        <f t="shared" si="27"/>
        <v>0</v>
      </c>
      <c r="F558" s="17">
        <f t="shared" si="27"/>
        <v>580546422</v>
      </c>
      <c r="G558" s="17">
        <f t="shared" si="27"/>
        <v>0</v>
      </c>
      <c r="H558" s="17">
        <f t="shared" si="27"/>
        <v>375000000</v>
      </c>
      <c r="I558" s="17">
        <f t="shared" si="27"/>
        <v>0</v>
      </c>
      <c r="J558" s="17">
        <f t="shared" si="27"/>
        <v>0</v>
      </c>
      <c r="K558" s="17">
        <f t="shared" si="27"/>
        <v>0</v>
      </c>
      <c r="L558" s="17">
        <f t="shared" si="27"/>
        <v>0</v>
      </c>
      <c r="M558" s="17">
        <f t="shared" si="27"/>
        <v>0</v>
      </c>
      <c r="N558" s="17">
        <f t="shared" si="27"/>
        <v>0</v>
      </c>
      <c r="O558" s="17">
        <f t="shared" si="27"/>
        <v>0</v>
      </c>
      <c r="P558" s="17">
        <f t="shared" si="27"/>
        <v>0</v>
      </c>
      <c r="Q558" s="17">
        <f t="shared" si="27"/>
        <v>1376208920</v>
      </c>
    </row>
    <row r="559" spans="1:33" x14ac:dyDescent="0.2"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</row>
    <row r="560" spans="1:33" ht="28.35" customHeight="1" x14ac:dyDescent="0.2">
      <c r="A560" s="1" t="s">
        <v>41</v>
      </c>
      <c r="B560" s="47" t="s">
        <v>42</v>
      </c>
      <c r="C560" s="47"/>
      <c r="D560" s="2"/>
      <c r="E560" s="3"/>
      <c r="F560" s="4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</row>
    <row r="561" spans="1:17" ht="24" x14ac:dyDescent="0.2">
      <c r="A561" s="7" t="s">
        <v>2</v>
      </c>
      <c r="B561" s="8" t="s">
        <v>3</v>
      </c>
      <c r="C561" s="9" t="s">
        <v>4</v>
      </c>
      <c r="D561" s="9" t="s">
        <v>5</v>
      </c>
      <c r="E561" s="9" t="s">
        <v>6</v>
      </c>
      <c r="F561" s="36" t="s">
        <v>7</v>
      </c>
      <c r="G561" s="9" t="s">
        <v>8</v>
      </c>
      <c r="H561" s="9" t="s">
        <v>9</v>
      </c>
      <c r="I561" s="9" t="s">
        <v>10</v>
      </c>
      <c r="J561" s="9" t="s">
        <v>11</v>
      </c>
      <c r="K561" s="9" t="s">
        <v>12</v>
      </c>
      <c r="L561" s="9" t="s">
        <v>13</v>
      </c>
      <c r="M561" s="9" t="s">
        <v>14</v>
      </c>
      <c r="N561" s="9" t="s">
        <v>15</v>
      </c>
      <c r="O561" s="9" t="s">
        <v>16</v>
      </c>
      <c r="P561" s="8" t="s">
        <v>17</v>
      </c>
      <c r="Q561" s="8" t="s">
        <v>18</v>
      </c>
    </row>
    <row r="562" spans="1:17" x14ac:dyDescent="0.2">
      <c r="A562" s="10">
        <v>1</v>
      </c>
      <c r="B562" s="11" t="str">
        <f>[1]Aseguradoras!B2</f>
        <v>El Comercio Paraguayo S.A. de Seguros</v>
      </c>
      <c r="C562" s="12">
        <f>LOOKUP(409010100,[1]PlanCuentas!$A$2:$A$6092,[1]PlanCuentas!C$2:C$6092)</f>
        <v>955649753</v>
      </c>
      <c r="D562" s="12">
        <f>LOOKUP(409010200,[1]PlanCuentas!$A$2:$A$6092,[1]PlanCuentas!C$2:C$6092)</f>
        <v>337720257</v>
      </c>
      <c r="E562" s="12">
        <f>LOOKUP(409010300,[1]PlanCuentas!$A$2:$A$6092,[1]PlanCuentas!C$2:C$6092)</f>
        <v>0</v>
      </c>
      <c r="F562" s="12">
        <f>LOOKUP(409010400,[1]PlanCuentas!$A$2:$A$6092,[1]PlanCuentas!C$2:C$6092)</f>
        <v>0</v>
      </c>
      <c r="G562" s="12">
        <f>LOOKUP(409010500,[1]PlanCuentas!$A$2:$A$6092,[1]PlanCuentas!C$2:C$6092)</f>
        <v>0</v>
      </c>
      <c r="H562" s="12">
        <f>LOOKUP(409010600,[1]PlanCuentas!$A$2:$A$6092,[1]PlanCuentas!C$2:C$6092)</f>
        <v>28620620</v>
      </c>
      <c r="I562" s="12">
        <f>LOOKUP(409010700,[1]PlanCuentas!$A$2:$A$6092,[1]PlanCuentas!C$2:C$6092)</f>
        <v>3648274</v>
      </c>
      <c r="J562" s="12">
        <f>LOOKUP(409010800,[1]PlanCuentas!$A$2:$A$6092,[1]PlanCuentas!C$2:C$6092)</f>
        <v>0</v>
      </c>
      <c r="K562" s="12">
        <f>LOOKUP(409010900,[1]PlanCuentas!$A$2:$A$6092,[1]PlanCuentas!C$2:C$6092)</f>
        <v>52580732</v>
      </c>
      <c r="L562" s="12">
        <f>LOOKUP(409011000,[1]PlanCuentas!$A$2:$A$6092,[1]PlanCuentas!C$2:C$6092)</f>
        <v>1012312419</v>
      </c>
      <c r="M562" s="12">
        <f>LOOKUP(409011100,[1]PlanCuentas!$A$2:$A$6092,[1]PlanCuentas!C$2:C$6092)</f>
        <v>0</v>
      </c>
      <c r="N562" s="12">
        <f>LOOKUP(409011200,[1]PlanCuentas!$A$2:$A$6092,[1]PlanCuentas!C$2:C$6092)</f>
        <v>230618966</v>
      </c>
      <c r="O562" s="12">
        <f>LOOKUP(409011300,[1]PlanCuentas!$A$2:$A$6092,[1]PlanCuentas!C$2:C$6092)</f>
        <v>0</v>
      </c>
      <c r="P562" s="12">
        <f>LOOKUP(409012000,[1]PlanCuentas!$A$2:$A$6092,[1]PlanCuentas!C$2:C$6092)</f>
        <v>104197124</v>
      </c>
      <c r="Q562" s="13">
        <f t="shared" ref="Q562:Q593" si="28">SUM(C562:P562)</f>
        <v>2725348145</v>
      </c>
    </row>
    <row r="563" spans="1:17" x14ac:dyDescent="0.2">
      <c r="A563" s="10">
        <v>2</v>
      </c>
      <c r="B563" s="11" t="str">
        <f>[1]Aseguradoras!B3</f>
        <v>La Rural S.A de Seguros</v>
      </c>
      <c r="C563" s="12">
        <f>LOOKUP(409010100,[1]PlanCuentas!$A$2:$A$6092,[1]PlanCuentas!D$2:D$6092)</f>
        <v>1886249</v>
      </c>
      <c r="D563" s="12">
        <f>LOOKUP(409010200,[1]PlanCuentas!$A$2:$A$6092,[1]PlanCuentas!D$2:D$6092)</f>
        <v>0</v>
      </c>
      <c r="E563" s="12">
        <f>LOOKUP(409010300,[1]PlanCuentas!$A$2:$A$6092,[1]PlanCuentas!D$2:D$6092)</f>
        <v>0</v>
      </c>
      <c r="F563" s="12">
        <f>LOOKUP(409010400,[1]PlanCuentas!$A$2:$A$6092,[1]PlanCuentas!D$2:D$6092)</f>
        <v>20001</v>
      </c>
      <c r="G563" s="12">
        <f>LOOKUP(409010500,[1]PlanCuentas!$A$2:$A$6092,[1]PlanCuentas!D$2:D$6092)</f>
        <v>0</v>
      </c>
      <c r="H563" s="12">
        <f>LOOKUP(409010600,[1]PlanCuentas!$A$2:$A$6092,[1]PlanCuentas!D$2:D$6092)</f>
        <v>0</v>
      </c>
      <c r="I563" s="12">
        <f>LOOKUP(409010700,[1]PlanCuentas!$A$2:$A$6092,[1]PlanCuentas!D$2:D$6092)</f>
        <v>0</v>
      </c>
      <c r="J563" s="12">
        <f>LOOKUP(409010800,[1]PlanCuentas!$A$2:$A$6092,[1]PlanCuentas!D$2:D$6092)</f>
        <v>0</v>
      </c>
      <c r="K563" s="12">
        <f>LOOKUP(409010900,[1]PlanCuentas!$A$2:$A$6092,[1]PlanCuentas!D$2:D$6092)</f>
        <v>0</v>
      </c>
      <c r="L563" s="12">
        <f>LOOKUP(409011000,[1]PlanCuentas!$A$2:$A$6092,[1]PlanCuentas!D$2:D$6092)</f>
        <v>0</v>
      </c>
      <c r="M563" s="12">
        <f>LOOKUP(409011100,[1]PlanCuentas!$A$2:$A$6092,[1]PlanCuentas!D$2:D$6092)</f>
        <v>0</v>
      </c>
      <c r="N563" s="12">
        <f>LOOKUP(409011200,[1]PlanCuentas!$A$2:$A$6092,[1]PlanCuentas!D$2:D$6092)</f>
        <v>520015359</v>
      </c>
      <c r="O563" s="12">
        <f>LOOKUP(409011300,[1]PlanCuentas!$A$2:$A$6092,[1]PlanCuentas!D$2:D$6092)</f>
        <v>0</v>
      </c>
      <c r="P563" s="12">
        <f>LOOKUP(409012000,[1]PlanCuentas!$A$2:$A$6092,[1]PlanCuentas!D$2:D$6092)</f>
        <v>339603663</v>
      </c>
      <c r="Q563" s="13">
        <f t="shared" si="28"/>
        <v>861525272</v>
      </c>
    </row>
    <row r="564" spans="1:17" x14ac:dyDescent="0.2">
      <c r="A564" s="10">
        <v>3</v>
      </c>
      <c r="B564" s="11" t="str">
        <f>[1]Aseguradoras!B4</f>
        <v>La Paraguaya S.A de Seguros</v>
      </c>
      <c r="C564" s="12">
        <f>LOOKUP(409010100,[1]PlanCuentas!$A$2:$A$6092,[1]PlanCuentas!E$2:E$6092)</f>
        <v>1156127436</v>
      </c>
      <c r="D564" s="12">
        <f>LOOKUP(409010200,[1]PlanCuentas!$A$2:$A$6092,[1]PlanCuentas!E$2:E$6092)</f>
        <v>36260688</v>
      </c>
      <c r="E564" s="12">
        <f>LOOKUP(409010300,[1]PlanCuentas!$A$2:$A$6092,[1]PlanCuentas!E$2:E$6092)</f>
        <v>0</v>
      </c>
      <c r="F564" s="12">
        <f>LOOKUP(409010400,[1]PlanCuentas!$A$2:$A$6092,[1]PlanCuentas!E$2:E$6092)</f>
        <v>206667152</v>
      </c>
      <c r="G564" s="12">
        <f>LOOKUP(409010500,[1]PlanCuentas!$A$2:$A$6092,[1]PlanCuentas!E$2:E$6092)</f>
        <v>0</v>
      </c>
      <c r="H564" s="12">
        <f>LOOKUP(409010600,[1]PlanCuentas!$A$2:$A$6092,[1]PlanCuentas!E$2:E$6092)</f>
        <v>0</v>
      </c>
      <c r="I564" s="12">
        <f>LOOKUP(409010700,[1]PlanCuentas!$A$2:$A$6092,[1]PlanCuentas!E$2:E$6092)</f>
        <v>0</v>
      </c>
      <c r="J564" s="12">
        <f>LOOKUP(409010800,[1]PlanCuentas!$A$2:$A$6092,[1]PlanCuentas!E$2:E$6092)</f>
        <v>0</v>
      </c>
      <c r="K564" s="12">
        <f>LOOKUP(409010900,[1]PlanCuentas!$A$2:$A$6092,[1]PlanCuentas!E$2:E$6092)</f>
        <v>0</v>
      </c>
      <c r="L564" s="12">
        <f>LOOKUP(409011000,[1]PlanCuentas!$A$2:$A$6092,[1]PlanCuentas!E$2:E$6092)</f>
        <v>174300000</v>
      </c>
      <c r="M564" s="12">
        <f>LOOKUP(409011100,[1]PlanCuentas!$A$2:$A$6092,[1]PlanCuentas!E$2:E$6092)</f>
        <v>0</v>
      </c>
      <c r="N564" s="12">
        <f>LOOKUP(409011200,[1]PlanCuentas!$A$2:$A$6092,[1]PlanCuentas!E$2:E$6092)</f>
        <v>0</v>
      </c>
      <c r="O564" s="12">
        <f>LOOKUP(409011300,[1]PlanCuentas!$A$2:$A$6092,[1]PlanCuentas!E$2:E$6092)</f>
        <v>0</v>
      </c>
      <c r="P564" s="12">
        <f>LOOKUP(409012000,[1]PlanCuentas!$A$2:$A$6092,[1]PlanCuentas!E$2:E$6092)</f>
        <v>330523578</v>
      </c>
      <c r="Q564" s="13">
        <f t="shared" si="28"/>
        <v>1903878854</v>
      </c>
    </row>
    <row r="565" spans="1:17" x14ac:dyDescent="0.2">
      <c r="A565" s="10">
        <v>4</v>
      </c>
      <c r="B565" s="11" t="str">
        <f>[1]Aseguradoras!B5</f>
        <v>Seguros Generales S. A (SEGESA)</v>
      </c>
      <c r="C565" s="12">
        <f>LOOKUP(409010100,[1]PlanCuentas!$A$2:$A$6092,[1]PlanCuentas!F$2:F$6092)</f>
        <v>672611878</v>
      </c>
      <c r="D565" s="12">
        <f>LOOKUP(409010200,[1]PlanCuentas!$A$2:$A$6092,[1]PlanCuentas!F$2:F$6092)</f>
        <v>116714482</v>
      </c>
      <c r="E565" s="12">
        <f>LOOKUP(409010300,[1]PlanCuentas!$A$2:$A$6092,[1]PlanCuentas!F$2:F$6092)</f>
        <v>89059</v>
      </c>
      <c r="F565" s="12">
        <f>LOOKUP(409010400,[1]PlanCuentas!$A$2:$A$6092,[1]PlanCuentas!F$2:F$6092)</f>
        <v>0</v>
      </c>
      <c r="G565" s="12">
        <f>LOOKUP(409010500,[1]PlanCuentas!$A$2:$A$6092,[1]PlanCuentas!F$2:F$6092)</f>
        <v>0</v>
      </c>
      <c r="H565" s="12">
        <f>LOOKUP(409010600,[1]PlanCuentas!$A$2:$A$6092,[1]PlanCuentas!F$2:F$6092)</f>
        <v>172460738</v>
      </c>
      <c r="I565" s="12">
        <f>LOOKUP(409010700,[1]PlanCuentas!$A$2:$A$6092,[1]PlanCuentas!F$2:F$6092)</f>
        <v>7108391</v>
      </c>
      <c r="J565" s="12">
        <f>LOOKUP(409010800,[1]PlanCuentas!$A$2:$A$6092,[1]PlanCuentas!F$2:F$6092)</f>
        <v>0</v>
      </c>
      <c r="K565" s="12">
        <f>LOOKUP(409010900,[1]PlanCuentas!$A$2:$A$6092,[1]PlanCuentas!F$2:F$6092)</f>
        <v>0</v>
      </c>
      <c r="L565" s="12">
        <f>LOOKUP(409011000,[1]PlanCuentas!$A$2:$A$6092,[1]PlanCuentas!F$2:F$6092)</f>
        <v>138000</v>
      </c>
      <c r="M565" s="12">
        <f>LOOKUP(409011100,[1]PlanCuentas!$A$2:$A$6092,[1]PlanCuentas!F$2:F$6092)</f>
        <v>0</v>
      </c>
      <c r="N565" s="12">
        <f>LOOKUP(409011200,[1]PlanCuentas!$A$2:$A$6092,[1]PlanCuentas!F$2:F$6092)</f>
        <v>9627036</v>
      </c>
      <c r="O565" s="12">
        <f>LOOKUP(409011300,[1]PlanCuentas!$A$2:$A$6092,[1]PlanCuentas!F$2:F$6092)</f>
        <v>0</v>
      </c>
      <c r="P565" s="12">
        <f>LOOKUP(409012000,[1]PlanCuentas!$A$2:$A$6092,[1]PlanCuentas!F$2:F$6092)</f>
        <v>41713692</v>
      </c>
      <c r="Q565" s="13">
        <f t="shared" si="28"/>
        <v>1020463276</v>
      </c>
    </row>
    <row r="566" spans="1:17" x14ac:dyDescent="0.2">
      <c r="A566" s="10">
        <v>5</v>
      </c>
      <c r="B566" s="11" t="str">
        <f>[1]Aseguradoras!B6</f>
        <v>Rumbos S.A de Seguros</v>
      </c>
      <c r="C566" s="12">
        <f>LOOKUP(409010100,[1]PlanCuentas!$A$2:$A$6092,[1]PlanCuentas!G$2:G$6092)</f>
        <v>155798568</v>
      </c>
      <c r="D566" s="12">
        <f>LOOKUP(409010200,[1]PlanCuentas!$A$2:$A$6092,[1]PlanCuentas!G$2:G$6092)</f>
        <v>28830450</v>
      </c>
      <c r="E566" s="12">
        <f>LOOKUP(409010300,[1]PlanCuentas!$A$2:$A$6092,[1]PlanCuentas!G$2:G$6092)</f>
        <v>0</v>
      </c>
      <c r="F566" s="12">
        <f>LOOKUP(409010400,[1]PlanCuentas!$A$2:$A$6092,[1]PlanCuentas!G$2:G$6092)</f>
        <v>110000000</v>
      </c>
      <c r="G566" s="12">
        <f>LOOKUP(409010500,[1]PlanCuentas!$A$2:$A$6092,[1]PlanCuentas!G$2:G$6092)</f>
        <v>0</v>
      </c>
      <c r="H566" s="12">
        <f>LOOKUP(409010600,[1]PlanCuentas!$A$2:$A$6092,[1]PlanCuentas!G$2:G$6092)</f>
        <v>171367391</v>
      </c>
      <c r="I566" s="12">
        <f>LOOKUP(409010700,[1]PlanCuentas!$A$2:$A$6092,[1]PlanCuentas!G$2:G$6092)</f>
        <v>1654546</v>
      </c>
      <c r="J566" s="12">
        <f>LOOKUP(409010800,[1]PlanCuentas!$A$2:$A$6092,[1]PlanCuentas!G$2:G$6092)</f>
        <v>0</v>
      </c>
      <c r="K566" s="12">
        <f>LOOKUP(409010900,[1]PlanCuentas!$A$2:$A$6092,[1]PlanCuentas!G$2:G$6092)</f>
        <v>176598649</v>
      </c>
      <c r="L566" s="12">
        <f>LOOKUP(409011000,[1]PlanCuentas!$A$2:$A$6092,[1]PlanCuentas!G$2:G$6092)</f>
        <v>1850115</v>
      </c>
      <c r="M566" s="12">
        <f>LOOKUP(409011100,[1]PlanCuentas!$A$2:$A$6092,[1]PlanCuentas!G$2:G$6092)</f>
        <v>0</v>
      </c>
      <c r="N566" s="12">
        <f>LOOKUP(409011200,[1]PlanCuentas!$A$2:$A$6092,[1]PlanCuentas!G$2:G$6092)</f>
        <v>0</v>
      </c>
      <c r="O566" s="12">
        <f>LOOKUP(409011300,[1]PlanCuentas!$A$2:$A$6092,[1]PlanCuentas!G$2:G$6092)</f>
        <v>13933024</v>
      </c>
      <c r="P566" s="12">
        <f>LOOKUP(409012000,[1]PlanCuentas!$A$2:$A$6092,[1]PlanCuentas!G$2:G$6092)</f>
        <v>5760908974</v>
      </c>
      <c r="Q566" s="13">
        <f t="shared" si="28"/>
        <v>6420941717</v>
      </c>
    </row>
    <row r="567" spans="1:17" x14ac:dyDescent="0.2">
      <c r="A567" s="10">
        <v>6</v>
      </c>
      <c r="B567" s="11" t="str">
        <f>[1]Aseguradoras!B7</f>
        <v>La Consolidada S.A de Seguros</v>
      </c>
      <c r="C567" s="12">
        <f>LOOKUP(409010100,[1]PlanCuentas!$A$2:$A$6092,[1]PlanCuentas!H$2:H$6092)</f>
        <v>4055360881</v>
      </c>
      <c r="D567" s="12">
        <f>LOOKUP(409010200,[1]PlanCuentas!$A$2:$A$6092,[1]PlanCuentas!H$2:H$6092)</f>
        <v>0</v>
      </c>
      <c r="E567" s="12">
        <f>LOOKUP(409010300,[1]PlanCuentas!$A$2:$A$6092,[1]PlanCuentas!H$2:H$6092)</f>
        <v>0</v>
      </c>
      <c r="F567" s="12">
        <f>LOOKUP(409010400,[1]PlanCuentas!$A$2:$A$6092,[1]PlanCuentas!H$2:H$6092)</f>
        <v>0</v>
      </c>
      <c r="G567" s="12">
        <f>LOOKUP(409010500,[1]PlanCuentas!$A$2:$A$6092,[1]PlanCuentas!H$2:H$6092)</f>
        <v>0</v>
      </c>
      <c r="H567" s="12">
        <f>LOOKUP(409010600,[1]PlanCuentas!$A$2:$A$6092,[1]PlanCuentas!H$2:H$6092)</f>
        <v>0</v>
      </c>
      <c r="I567" s="12">
        <f>LOOKUP(409010700,[1]PlanCuentas!$A$2:$A$6092,[1]PlanCuentas!H$2:H$6092)</f>
        <v>0</v>
      </c>
      <c r="J567" s="12">
        <f>LOOKUP(409010800,[1]PlanCuentas!$A$2:$A$6092,[1]PlanCuentas!H$2:H$6092)</f>
        <v>0</v>
      </c>
      <c r="K567" s="12">
        <f>LOOKUP(409010900,[1]PlanCuentas!$A$2:$A$6092,[1]PlanCuentas!H$2:H$6092)</f>
        <v>0</v>
      </c>
      <c r="L567" s="12">
        <f>LOOKUP(409011000,[1]PlanCuentas!$A$2:$A$6092,[1]PlanCuentas!H$2:H$6092)</f>
        <v>0</v>
      </c>
      <c r="M567" s="12">
        <f>LOOKUP(409011100,[1]PlanCuentas!$A$2:$A$6092,[1]PlanCuentas!H$2:H$6092)</f>
        <v>0</v>
      </c>
      <c r="N567" s="12">
        <f>LOOKUP(409011200,[1]PlanCuentas!$A$2:$A$6092,[1]PlanCuentas!H$2:H$6092)</f>
        <v>0</v>
      </c>
      <c r="O567" s="12">
        <f>LOOKUP(409011300,[1]PlanCuentas!$A$2:$A$6092,[1]PlanCuentas!H$2:H$6092)</f>
        <v>0</v>
      </c>
      <c r="P567" s="12">
        <f>LOOKUP(409012000,[1]PlanCuentas!$A$2:$A$6092,[1]PlanCuentas!H$2:H$6092)</f>
        <v>635607534</v>
      </c>
      <c r="Q567" s="13">
        <f t="shared" si="28"/>
        <v>4690968415</v>
      </c>
    </row>
    <row r="568" spans="1:17" x14ac:dyDescent="0.2">
      <c r="A568" s="10">
        <v>7</v>
      </c>
      <c r="B568" s="11" t="str">
        <f>[1]Aseguradoras!B8</f>
        <v>El Productor S.A de Seguros y Reaseguros</v>
      </c>
      <c r="C568" s="12">
        <f>LOOKUP(409010100,[1]PlanCuentas!$A$2:$A$6092,[1]PlanCuentas!I$2:I$6092)</f>
        <v>1747423598</v>
      </c>
      <c r="D568" s="12">
        <f>LOOKUP(409010200,[1]PlanCuentas!$A$2:$A$6092,[1]PlanCuentas!I$2:I$6092)</f>
        <v>12374949</v>
      </c>
      <c r="E568" s="12">
        <f>LOOKUP(409010300,[1]PlanCuentas!$A$2:$A$6092,[1]PlanCuentas!I$2:I$6092)</f>
        <v>0</v>
      </c>
      <c r="F568" s="12">
        <f>LOOKUP(409010400,[1]PlanCuentas!$A$2:$A$6092,[1]PlanCuentas!I$2:I$6092)</f>
        <v>0</v>
      </c>
      <c r="G568" s="12">
        <f>LOOKUP(409010500,[1]PlanCuentas!$A$2:$A$6092,[1]PlanCuentas!I$2:I$6092)</f>
        <v>0</v>
      </c>
      <c r="H568" s="12">
        <f>LOOKUP(409010600,[1]PlanCuentas!$A$2:$A$6092,[1]PlanCuentas!I$2:I$6092)</f>
        <v>80154215</v>
      </c>
      <c r="I568" s="12">
        <f>LOOKUP(409010700,[1]PlanCuentas!$A$2:$A$6092,[1]PlanCuentas!I$2:I$6092)</f>
        <v>9442638</v>
      </c>
      <c r="J568" s="12">
        <f>LOOKUP(409010800,[1]PlanCuentas!$A$2:$A$6092,[1]PlanCuentas!I$2:I$6092)</f>
        <v>0</v>
      </c>
      <c r="K568" s="12">
        <f>LOOKUP(409010900,[1]PlanCuentas!$A$2:$A$6092,[1]PlanCuentas!I$2:I$6092)</f>
        <v>457137524</v>
      </c>
      <c r="L568" s="12">
        <f>LOOKUP(409011000,[1]PlanCuentas!$A$2:$A$6092,[1]PlanCuentas!I$2:I$6092)</f>
        <v>1263164</v>
      </c>
      <c r="M568" s="12">
        <f>LOOKUP(409011100,[1]PlanCuentas!$A$2:$A$6092,[1]PlanCuentas!I$2:I$6092)</f>
        <v>4614860</v>
      </c>
      <c r="N568" s="12">
        <f>LOOKUP(409011200,[1]PlanCuentas!$A$2:$A$6092,[1]PlanCuentas!I$2:I$6092)</f>
        <v>37003611</v>
      </c>
      <c r="O568" s="12">
        <f>LOOKUP(409011300,[1]PlanCuentas!$A$2:$A$6092,[1]PlanCuentas!I$2:I$6092)</f>
        <v>0</v>
      </c>
      <c r="P568" s="12">
        <f>LOOKUP(409012000,[1]PlanCuentas!$A$2:$A$6092,[1]PlanCuentas!I$2:I$6092)</f>
        <v>46483727</v>
      </c>
      <c r="Q568" s="13">
        <f t="shared" si="28"/>
        <v>2395898286</v>
      </c>
    </row>
    <row r="569" spans="1:17" x14ac:dyDescent="0.2">
      <c r="A569" s="10">
        <v>8</v>
      </c>
      <c r="B569" s="11" t="str">
        <f>[1]Aseguradoras!B9</f>
        <v>Atalaya S.A de Seguros Generales</v>
      </c>
      <c r="C569" s="12">
        <f>LOOKUP(409010100,[1]PlanCuentas!$A$2:$A$6092,[1]PlanCuentas!J$2:J$6092)</f>
        <v>0</v>
      </c>
      <c r="D569" s="12">
        <f>LOOKUP(409010200,[1]PlanCuentas!$A$2:$A$6092,[1]PlanCuentas!J$2:J$6092)</f>
        <v>0</v>
      </c>
      <c r="E569" s="12">
        <f>LOOKUP(409010300,[1]PlanCuentas!$A$2:$A$6092,[1]PlanCuentas!J$2:J$6092)</f>
        <v>0</v>
      </c>
      <c r="F569" s="12">
        <f>LOOKUP(409010400,[1]PlanCuentas!$A$2:$A$6092,[1]PlanCuentas!J$2:J$6092)</f>
        <v>0</v>
      </c>
      <c r="G569" s="12">
        <f>LOOKUP(409010500,[1]PlanCuentas!$A$2:$A$6092,[1]PlanCuentas!J$2:J$6092)</f>
        <v>0</v>
      </c>
      <c r="H569" s="12">
        <f>LOOKUP(409010600,[1]PlanCuentas!$A$2:$A$6092,[1]PlanCuentas!J$2:J$6092)</f>
        <v>0</v>
      </c>
      <c r="I569" s="12">
        <f>LOOKUP(409010700,[1]PlanCuentas!$A$2:$A$6092,[1]PlanCuentas!J$2:J$6092)</f>
        <v>0</v>
      </c>
      <c r="J569" s="12">
        <f>LOOKUP(409010800,[1]PlanCuentas!$A$2:$A$6092,[1]PlanCuentas!J$2:J$6092)</f>
        <v>0</v>
      </c>
      <c r="K569" s="12">
        <f>LOOKUP(409010900,[1]PlanCuentas!$A$2:$A$6092,[1]PlanCuentas!J$2:J$6092)</f>
        <v>0</v>
      </c>
      <c r="L569" s="12">
        <f>LOOKUP(409011000,[1]PlanCuentas!$A$2:$A$6092,[1]PlanCuentas!J$2:J$6092)</f>
        <v>0</v>
      </c>
      <c r="M569" s="12">
        <f>LOOKUP(409011100,[1]PlanCuentas!$A$2:$A$6092,[1]PlanCuentas!J$2:J$6092)</f>
        <v>0</v>
      </c>
      <c r="N569" s="12">
        <f>LOOKUP(409011200,[1]PlanCuentas!$A$2:$A$6092,[1]PlanCuentas!J$2:J$6092)</f>
        <v>0</v>
      </c>
      <c r="O569" s="12">
        <f>LOOKUP(409011300,[1]PlanCuentas!$A$2:$A$6092,[1]PlanCuentas!J$2:J$6092)</f>
        <v>0</v>
      </c>
      <c r="P569" s="12">
        <f>LOOKUP(409012000,[1]PlanCuentas!$A$2:$A$6092,[1]PlanCuentas!J$2:J$6092)</f>
        <v>0</v>
      </c>
      <c r="Q569" s="13">
        <f t="shared" si="28"/>
        <v>0</v>
      </c>
    </row>
    <row r="570" spans="1:17" x14ac:dyDescent="0.2">
      <c r="A570" s="10">
        <v>9</v>
      </c>
      <c r="B570" s="11" t="str">
        <f>[1]Aseguradoras!B10</f>
        <v>La Independencia de Seguros S.A.</v>
      </c>
      <c r="C570" s="12">
        <f>LOOKUP(409010100,[1]PlanCuentas!$A$2:$A$6092,[1]PlanCuentas!K$2:K$6092)</f>
        <v>0</v>
      </c>
      <c r="D570" s="12">
        <f>LOOKUP(409010200,[1]PlanCuentas!$A$2:$A$6092,[1]PlanCuentas!K$2:K$6092)</f>
        <v>0</v>
      </c>
      <c r="E570" s="12">
        <f>LOOKUP(409010300,[1]PlanCuentas!$A$2:$A$6092,[1]PlanCuentas!K$2:K$6092)</f>
        <v>0</v>
      </c>
      <c r="F570" s="12">
        <f>LOOKUP(409010400,[1]PlanCuentas!$A$2:$A$6092,[1]PlanCuentas!K$2:K$6092)</f>
        <v>0</v>
      </c>
      <c r="G570" s="12">
        <f>LOOKUP(409010500,[1]PlanCuentas!$A$2:$A$6092,[1]PlanCuentas!K$2:K$6092)</f>
        <v>0</v>
      </c>
      <c r="H570" s="12">
        <f>LOOKUP(409010600,[1]PlanCuentas!$A$2:$A$6092,[1]PlanCuentas!K$2:K$6092)</f>
        <v>0</v>
      </c>
      <c r="I570" s="12">
        <f>LOOKUP(409010700,[1]PlanCuentas!$A$2:$A$6092,[1]PlanCuentas!K$2:K$6092)</f>
        <v>0</v>
      </c>
      <c r="J570" s="12">
        <f>LOOKUP(409010800,[1]PlanCuentas!$A$2:$A$6092,[1]PlanCuentas!K$2:K$6092)</f>
        <v>0</v>
      </c>
      <c r="K570" s="12">
        <f>LOOKUP(409010900,[1]PlanCuentas!$A$2:$A$6092,[1]PlanCuentas!K$2:K$6092)</f>
        <v>0</v>
      </c>
      <c r="L570" s="12">
        <f>LOOKUP(409011000,[1]PlanCuentas!$A$2:$A$6092,[1]PlanCuentas!K$2:K$6092)</f>
        <v>0</v>
      </c>
      <c r="M570" s="12">
        <f>LOOKUP(409011100,[1]PlanCuentas!$A$2:$A$6092,[1]PlanCuentas!K$2:K$6092)</f>
        <v>0</v>
      </c>
      <c r="N570" s="12">
        <f>LOOKUP(409011200,[1]PlanCuentas!$A$2:$A$6092,[1]PlanCuentas!K$2:K$6092)</f>
        <v>0</v>
      </c>
      <c r="O570" s="12">
        <f>LOOKUP(409011300,[1]PlanCuentas!$A$2:$A$6092,[1]PlanCuentas!K$2:K$6092)</f>
        <v>0</v>
      </c>
      <c r="P570" s="12">
        <f>LOOKUP(409012000,[1]PlanCuentas!$A$2:$A$6092,[1]PlanCuentas!K$2:K$6092)</f>
        <v>283778512</v>
      </c>
      <c r="Q570" s="13">
        <f t="shared" si="28"/>
        <v>283778512</v>
      </c>
    </row>
    <row r="571" spans="1:17" x14ac:dyDescent="0.2">
      <c r="A571" s="10">
        <v>10</v>
      </c>
      <c r="B571" s="11" t="str">
        <f>[1]Aseguradoras!B11</f>
        <v>Patria S.A de Seguros y Reaseguros</v>
      </c>
      <c r="C571" s="12">
        <f>LOOKUP(409010100,[1]PlanCuentas!$A$2:$A$6092,[1]PlanCuentas!L$2:L$6092)</f>
        <v>67017052</v>
      </c>
      <c r="D571" s="12">
        <f>LOOKUP(409010200,[1]PlanCuentas!$A$2:$A$6092,[1]PlanCuentas!L$2:L$6092)</f>
        <v>0</v>
      </c>
      <c r="E571" s="12">
        <f>LOOKUP(409010300,[1]PlanCuentas!$A$2:$A$6092,[1]PlanCuentas!L$2:L$6092)</f>
        <v>0</v>
      </c>
      <c r="F571" s="12">
        <f>LOOKUP(409010400,[1]PlanCuentas!$A$2:$A$6092,[1]PlanCuentas!L$2:L$6092)</f>
        <v>97973477</v>
      </c>
      <c r="G571" s="12">
        <f>LOOKUP(409010500,[1]PlanCuentas!$A$2:$A$6092,[1]PlanCuentas!L$2:L$6092)</f>
        <v>0</v>
      </c>
      <c r="H571" s="12">
        <f>LOOKUP(409010600,[1]PlanCuentas!$A$2:$A$6092,[1]PlanCuentas!L$2:L$6092)</f>
        <v>745500</v>
      </c>
      <c r="I571" s="12">
        <f>LOOKUP(409010700,[1]PlanCuentas!$A$2:$A$6092,[1]PlanCuentas!L$2:L$6092)</f>
        <v>0</v>
      </c>
      <c r="J571" s="12">
        <f>LOOKUP(409010800,[1]PlanCuentas!$A$2:$A$6092,[1]PlanCuentas!L$2:L$6092)</f>
        <v>0</v>
      </c>
      <c r="K571" s="12">
        <f>LOOKUP(409010900,[1]PlanCuentas!$A$2:$A$6092,[1]PlanCuentas!L$2:L$6092)</f>
        <v>3326400</v>
      </c>
      <c r="L571" s="12">
        <f>LOOKUP(409011000,[1]PlanCuentas!$A$2:$A$6092,[1]PlanCuentas!L$2:L$6092)</f>
        <v>0</v>
      </c>
      <c r="M571" s="12">
        <f>LOOKUP(409011100,[1]PlanCuentas!$A$2:$A$6092,[1]PlanCuentas!L$2:L$6092)</f>
        <v>0</v>
      </c>
      <c r="N571" s="12">
        <f>LOOKUP(409011200,[1]PlanCuentas!$A$2:$A$6092,[1]PlanCuentas!L$2:L$6092)</f>
        <v>14195542</v>
      </c>
      <c r="O571" s="12">
        <f>LOOKUP(409011300,[1]PlanCuentas!$A$2:$A$6092,[1]PlanCuentas!L$2:L$6092)</f>
        <v>0</v>
      </c>
      <c r="P571" s="12">
        <f>LOOKUP(409012000,[1]PlanCuentas!$A$2:$A$6092,[1]PlanCuentas!L$2:L$6092)</f>
        <v>0</v>
      </c>
      <c r="Q571" s="13">
        <f t="shared" si="28"/>
        <v>183257971</v>
      </c>
    </row>
    <row r="572" spans="1:17" x14ac:dyDescent="0.2">
      <c r="A572" s="10">
        <v>11</v>
      </c>
      <c r="B572" s="11" t="str">
        <f>[1]Aseguradoras!B12</f>
        <v>Garantía S.A de Seguros y Reaseguros</v>
      </c>
      <c r="C572" s="12">
        <f>LOOKUP(409010100,[1]PlanCuentas!$A$2:$A$6092,[1]PlanCuentas!M$2:M$6092)</f>
        <v>3547636</v>
      </c>
      <c r="D572" s="12">
        <f>LOOKUP(409010200,[1]PlanCuentas!$A$2:$A$6092,[1]PlanCuentas!M$2:M$6092)</f>
        <v>27328797</v>
      </c>
      <c r="E572" s="12">
        <f>LOOKUP(409010300,[1]PlanCuentas!$A$2:$A$6092,[1]PlanCuentas!M$2:M$6092)</f>
        <v>0</v>
      </c>
      <c r="F572" s="12">
        <f>LOOKUP(409010400,[1]PlanCuentas!$A$2:$A$6092,[1]PlanCuentas!M$2:M$6092)</f>
        <v>0</v>
      </c>
      <c r="G572" s="12">
        <f>LOOKUP(409010500,[1]PlanCuentas!$A$2:$A$6092,[1]PlanCuentas!M$2:M$6092)</f>
        <v>0</v>
      </c>
      <c r="H572" s="12">
        <f>LOOKUP(409010600,[1]PlanCuentas!$A$2:$A$6092,[1]PlanCuentas!M$2:M$6092)</f>
        <v>82226344</v>
      </c>
      <c r="I572" s="12">
        <f>LOOKUP(409010700,[1]PlanCuentas!$A$2:$A$6092,[1]PlanCuentas!M$2:M$6092)</f>
        <v>575120</v>
      </c>
      <c r="J572" s="12">
        <f>LOOKUP(409010800,[1]PlanCuentas!$A$2:$A$6092,[1]PlanCuentas!M$2:M$6092)</f>
        <v>102858631</v>
      </c>
      <c r="K572" s="12">
        <f>LOOKUP(409010900,[1]PlanCuentas!$A$2:$A$6092,[1]PlanCuentas!M$2:M$6092)</f>
        <v>0</v>
      </c>
      <c r="L572" s="12">
        <f>LOOKUP(409011000,[1]PlanCuentas!$A$2:$A$6092,[1]PlanCuentas!M$2:M$6092)</f>
        <v>0</v>
      </c>
      <c r="M572" s="12">
        <f>LOOKUP(409011100,[1]PlanCuentas!$A$2:$A$6092,[1]PlanCuentas!M$2:M$6092)</f>
        <v>0</v>
      </c>
      <c r="N572" s="12">
        <f>LOOKUP(409011200,[1]PlanCuentas!$A$2:$A$6092,[1]PlanCuentas!M$2:M$6092)</f>
        <v>0</v>
      </c>
      <c r="O572" s="12">
        <f>LOOKUP(409011300,[1]PlanCuentas!$A$2:$A$6092,[1]PlanCuentas!M$2:M$6092)</f>
        <v>0</v>
      </c>
      <c r="P572" s="12">
        <f>LOOKUP(409012000,[1]PlanCuentas!$A$2:$A$6092,[1]PlanCuentas!M$2:M$6092)</f>
        <v>0</v>
      </c>
      <c r="Q572" s="13">
        <f t="shared" si="28"/>
        <v>216536528</v>
      </c>
    </row>
    <row r="573" spans="1:17" x14ac:dyDescent="0.2">
      <c r="A573" s="10">
        <v>12</v>
      </c>
      <c r="B573" s="11" t="str">
        <f>[1]Aseguradoras!B13</f>
        <v>Aseguradora Paraguaya S.A.</v>
      </c>
      <c r="C573" s="12">
        <f>LOOKUP(409010100,[1]PlanCuentas!$A$2:$A$6092,[1]PlanCuentas!N$2:N$6092)</f>
        <v>1725250368</v>
      </c>
      <c r="D573" s="12">
        <f>LOOKUP(409010200,[1]PlanCuentas!$A$2:$A$6092,[1]PlanCuentas!N$2:N$6092)</f>
        <v>202693837</v>
      </c>
      <c r="E573" s="12">
        <f>LOOKUP(409010300,[1]PlanCuentas!$A$2:$A$6092,[1]PlanCuentas!N$2:N$6092)</f>
        <v>21721471</v>
      </c>
      <c r="F573" s="12">
        <f>LOOKUP(409010400,[1]PlanCuentas!$A$2:$A$6092,[1]PlanCuentas!N$2:N$6092)</f>
        <v>0</v>
      </c>
      <c r="G573" s="12">
        <f>LOOKUP(409010500,[1]PlanCuentas!$A$2:$A$6092,[1]PlanCuentas!N$2:N$6092)</f>
        <v>0</v>
      </c>
      <c r="H573" s="12">
        <f>LOOKUP(409010600,[1]PlanCuentas!$A$2:$A$6092,[1]PlanCuentas!N$2:N$6092)</f>
        <v>208327362</v>
      </c>
      <c r="I573" s="12">
        <f>LOOKUP(409010700,[1]PlanCuentas!$A$2:$A$6092,[1]PlanCuentas!N$2:N$6092)</f>
        <v>8636293</v>
      </c>
      <c r="J573" s="12">
        <f>LOOKUP(409010800,[1]PlanCuentas!$A$2:$A$6092,[1]PlanCuentas!N$2:N$6092)</f>
        <v>23521569111</v>
      </c>
      <c r="K573" s="12">
        <f>LOOKUP(409010900,[1]PlanCuentas!$A$2:$A$6092,[1]PlanCuentas!N$2:N$6092)</f>
        <v>29969536</v>
      </c>
      <c r="L573" s="12">
        <f>LOOKUP(409011000,[1]PlanCuentas!$A$2:$A$6092,[1]PlanCuentas!N$2:N$6092)</f>
        <v>313711783</v>
      </c>
      <c r="M573" s="12">
        <f>LOOKUP(409011100,[1]PlanCuentas!$A$2:$A$6092,[1]PlanCuentas!N$2:N$6092)</f>
        <v>0</v>
      </c>
      <c r="N573" s="12">
        <f>LOOKUP(409011200,[1]PlanCuentas!$A$2:$A$6092,[1]PlanCuentas!N$2:N$6092)</f>
        <v>386598220</v>
      </c>
      <c r="O573" s="12">
        <f>LOOKUP(409011300,[1]PlanCuentas!$A$2:$A$6092,[1]PlanCuentas!N$2:N$6092)</f>
        <v>217779167</v>
      </c>
      <c r="P573" s="12">
        <f>LOOKUP(409012000,[1]PlanCuentas!$A$2:$A$6092,[1]PlanCuentas!N$2:N$6092)</f>
        <v>918959229</v>
      </c>
      <c r="Q573" s="13">
        <f t="shared" si="28"/>
        <v>27555216377</v>
      </c>
    </row>
    <row r="574" spans="1:17" x14ac:dyDescent="0.2">
      <c r="A574" s="10">
        <v>13</v>
      </c>
      <c r="B574" s="11" t="str">
        <f>[1]Aseguradoras!B14</f>
        <v>Fénix S.A de Seguros y Reaseguros</v>
      </c>
      <c r="C574" s="12">
        <f>LOOKUP(409010100,[1]PlanCuentas!$A$2:$A$6092,[1]PlanCuentas!O$2:O$6092)</f>
        <v>917743372</v>
      </c>
      <c r="D574" s="12">
        <f>LOOKUP(409010200,[1]PlanCuentas!$A$2:$A$6092,[1]PlanCuentas!O$2:O$6092)</f>
        <v>70878329</v>
      </c>
      <c r="E574" s="12">
        <f>LOOKUP(409010300,[1]PlanCuentas!$A$2:$A$6092,[1]PlanCuentas!O$2:O$6092)</f>
        <v>26753818</v>
      </c>
      <c r="F574" s="12">
        <f>LOOKUP(409010400,[1]PlanCuentas!$A$2:$A$6092,[1]PlanCuentas!O$2:O$6092)</f>
        <v>0</v>
      </c>
      <c r="G574" s="12">
        <f>LOOKUP(409010500,[1]PlanCuentas!$A$2:$A$6092,[1]PlanCuentas!O$2:O$6092)</f>
        <v>0</v>
      </c>
      <c r="H574" s="12">
        <f>LOOKUP(409010600,[1]PlanCuentas!$A$2:$A$6092,[1]PlanCuentas!O$2:O$6092)</f>
        <v>178112662</v>
      </c>
      <c r="I574" s="12">
        <f>LOOKUP(409010700,[1]PlanCuentas!$A$2:$A$6092,[1]PlanCuentas!O$2:O$6092)</f>
        <v>4448430</v>
      </c>
      <c r="J574" s="12">
        <f>LOOKUP(409010800,[1]PlanCuentas!$A$2:$A$6092,[1]PlanCuentas!O$2:O$6092)</f>
        <v>0</v>
      </c>
      <c r="K574" s="12">
        <f>LOOKUP(409010900,[1]PlanCuentas!$A$2:$A$6092,[1]PlanCuentas!O$2:O$6092)</f>
        <v>119420176</v>
      </c>
      <c r="L574" s="12">
        <f>LOOKUP(409011000,[1]PlanCuentas!$A$2:$A$6092,[1]PlanCuentas!O$2:O$6092)</f>
        <v>51350006</v>
      </c>
      <c r="M574" s="12">
        <f>LOOKUP(409011100,[1]PlanCuentas!$A$2:$A$6092,[1]PlanCuentas!O$2:O$6092)</f>
        <v>0</v>
      </c>
      <c r="N574" s="12">
        <f>LOOKUP(409011200,[1]PlanCuentas!$A$2:$A$6092,[1]PlanCuentas!O$2:O$6092)</f>
        <v>113643090</v>
      </c>
      <c r="O574" s="12">
        <f>LOOKUP(409011300,[1]PlanCuentas!$A$2:$A$6092,[1]PlanCuentas!O$2:O$6092)</f>
        <v>0</v>
      </c>
      <c r="P574" s="12">
        <f>LOOKUP(409012000,[1]PlanCuentas!$A$2:$A$6092,[1]PlanCuentas!O$2:O$6092)</f>
        <v>7490710</v>
      </c>
      <c r="Q574" s="13">
        <f t="shared" si="28"/>
        <v>1489840593</v>
      </c>
    </row>
    <row r="575" spans="1:17" x14ac:dyDescent="0.2">
      <c r="A575" s="10">
        <v>14</v>
      </c>
      <c r="B575" s="11" t="str">
        <f>[1]Aseguradoras!B15</f>
        <v>Central S.A de Seguros</v>
      </c>
      <c r="C575" s="12">
        <f>LOOKUP(409010100,[1]PlanCuentas!$A$2:$A$6092,[1]PlanCuentas!P$2:P$6092)</f>
        <v>0</v>
      </c>
      <c r="D575" s="12">
        <f>LOOKUP(409010200,[1]PlanCuentas!$A$2:$A$6092,[1]PlanCuentas!P$2:P$6092)</f>
        <v>0</v>
      </c>
      <c r="E575" s="12">
        <f>LOOKUP(409010300,[1]PlanCuentas!$A$2:$A$6092,[1]PlanCuentas!P$2:P$6092)</f>
        <v>0</v>
      </c>
      <c r="F575" s="12">
        <f>LOOKUP(409010400,[1]PlanCuentas!$A$2:$A$6092,[1]PlanCuentas!P$2:P$6092)</f>
        <v>0</v>
      </c>
      <c r="G575" s="12">
        <f>LOOKUP(409010500,[1]PlanCuentas!$A$2:$A$6092,[1]PlanCuentas!P$2:P$6092)</f>
        <v>0</v>
      </c>
      <c r="H575" s="12">
        <f>LOOKUP(409010600,[1]PlanCuentas!$A$2:$A$6092,[1]PlanCuentas!P$2:P$6092)</f>
        <v>0</v>
      </c>
      <c r="I575" s="12">
        <f>LOOKUP(409010700,[1]PlanCuentas!$A$2:$A$6092,[1]PlanCuentas!P$2:P$6092)</f>
        <v>0</v>
      </c>
      <c r="J575" s="12">
        <f>LOOKUP(409010800,[1]PlanCuentas!$A$2:$A$6092,[1]PlanCuentas!P$2:P$6092)</f>
        <v>0</v>
      </c>
      <c r="K575" s="12">
        <f>LOOKUP(409010900,[1]PlanCuentas!$A$2:$A$6092,[1]PlanCuentas!P$2:P$6092)</f>
        <v>0</v>
      </c>
      <c r="L575" s="12">
        <f>LOOKUP(409011000,[1]PlanCuentas!$A$2:$A$6092,[1]PlanCuentas!P$2:P$6092)</f>
        <v>0</v>
      </c>
      <c r="M575" s="12">
        <f>LOOKUP(409011100,[1]PlanCuentas!$A$2:$A$6092,[1]PlanCuentas!P$2:P$6092)</f>
        <v>0</v>
      </c>
      <c r="N575" s="12">
        <f>LOOKUP(409011200,[1]PlanCuentas!$A$2:$A$6092,[1]PlanCuentas!P$2:P$6092)</f>
        <v>0</v>
      </c>
      <c r="O575" s="12">
        <f>LOOKUP(409011300,[1]PlanCuentas!$A$2:$A$6092,[1]PlanCuentas!P$2:P$6092)</f>
        <v>0</v>
      </c>
      <c r="P575" s="12">
        <f>LOOKUP(409012000,[1]PlanCuentas!$A$2:$A$6092,[1]PlanCuentas!P$2:P$6092)</f>
        <v>0</v>
      </c>
      <c r="Q575" s="13">
        <f t="shared" si="28"/>
        <v>0</v>
      </c>
    </row>
    <row r="576" spans="1:17" x14ac:dyDescent="0.2">
      <c r="A576" s="10">
        <v>15</v>
      </c>
      <c r="B576" s="11" t="str">
        <f>[1]Aseguradoras!B16</f>
        <v>Seguros Chaco S.A de Seguros y Reaseguros</v>
      </c>
      <c r="C576" s="12">
        <f>LOOKUP(409010100,[1]PlanCuentas!$A$2:$A$6092,[1]PlanCuentas!Q$2:Q$6092)</f>
        <v>1102327525</v>
      </c>
      <c r="D576" s="12">
        <f>LOOKUP(409010200,[1]PlanCuentas!$A$2:$A$6092,[1]PlanCuentas!Q$2:Q$6092)</f>
        <v>332466918</v>
      </c>
      <c r="E576" s="12">
        <f>LOOKUP(409010300,[1]PlanCuentas!$A$2:$A$6092,[1]PlanCuentas!Q$2:Q$6092)</f>
        <v>0</v>
      </c>
      <c r="F576" s="12">
        <f>LOOKUP(409010400,[1]PlanCuentas!$A$2:$A$6092,[1]PlanCuentas!Q$2:Q$6092)</f>
        <v>111500000</v>
      </c>
      <c r="G576" s="12">
        <f>LOOKUP(409010500,[1]PlanCuentas!$A$2:$A$6092,[1]PlanCuentas!Q$2:Q$6092)</f>
        <v>0</v>
      </c>
      <c r="H576" s="12">
        <f>LOOKUP(409010600,[1]PlanCuentas!$A$2:$A$6092,[1]PlanCuentas!Q$2:Q$6092)</f>
        <v>0</v>
      </c>
      <c r="I576" s="12">
        <f>LOOKUP(409010700,[1]PlanCuentas!$A$2:$A$6092,[1]PlanCuentas!Q$2:Q$6092)</f>
        <v>0</v>
      </c>
      <c r="J576" s="12">
        <f>LOOKUP(409010800,[1]PlanCuentas!$A$2:$A$6092,[1]PlanCuentas!Q$2:Q$6092)</f>
        <v>0</v>
      </c>
      <c r="K576" s="12">
        <f>LOOKUP(409010900,[1]PlanCuentas!$A$2:$A$6092,[1]PlanCuentas!Q$2:Q$6092)</f>
        <v>0</v>
      </c>
      <c r="L576" s="12">
        <f>LOOKUP(409011000,[1]PlanCuentas!$A$2:$A$6092,[1]PlanCuentas!Q$2:Q$6092)</f>
        <v>0</v>
      </c>
      <c r="M576" s="12">
        <f>LOOKUP(409011100,[1]PlanCuentas!$A$2:$A$6092,[1]PlanCuentas!Q$2:Q$6092)</f>
        <v>0</v>
      </c>
      <c r="N576" s="12">
        <f>LOOKUP(409011200,[1]PlanCuentas!$A$2:$A$6092,[1]PlanCuentas!Q$2:Q$6092)</f>
        <v>0</v>
      </c>
      <c r="O576" s="12">
        <f>LOOKUP(409011300,[1]PlanCuentas!$A$2:$A$6092,[1]PlanCuentas!Q$2:Q$6092)</f>
        <v>0</v>
      </c>
      <c r="P576" s="12">
        <f>LOOKUP(409012000,[1]PlanCuentas!$A$2:$A$6092,[1]PlanCuentas!Q$2:Q$6092)</f>
        <v>0</v>
      </c>
      <c r="Q576" s="13">
        <f t="shared" si="28"/>
        <v>1546294443</v>
      </c>
    </row>
    <row r="577" spans="1:30" x14ac:dyDescent="0.2">
      <c r="A577" s="10">
        <v>16</v>
      </c>
      <c r="B577" s="11" t="str">
        <f>[1]Aseguradoras!B17</f>
        <v>El Sol Del Paraguay Compañía de Seguros y Reaseguros S.A.</v>
      </c>
      <c r="C577" s="12">
        <f>LOOKUP(409010100,[1]PlanCuentas!$A$2:$A$6092,[1]PlanCuentas!R$2:R$6092)</f>
        <v>0</v>
      </c>
      <c r="D577" s="12">
        <f>LOOKUP(409010200,[1]PlanCuentas!$A$2:$A$6092,[1]PlanCuentas!R$2:R$6092)</f>
        <v>0</v>
      </c>
      <c r="E577" s="12">
        <f>LOOKUP(409010300,[1]PlanCuentas!$A$2:$A$6092,[1]PlanCuentas!R$2:R$6092)</f>
        <v>0</v>
      </c>
      <c r="F577" s="12">
        <f>LOOKUP(409010400,[1]PlanCuentas!$A$2:$A$6092,[1]PlanCuentas!R$2:R$6092)</f>
        <v>0</v>
      </c>
      <c r="G577" s="12">
        <f>LOOKUP(409010500,[1]PlanCuentas!$A$2:$A$6092,[1]PlanCuentas!R$2:R$6092)</f>
        <v>0</v>
      </c>
      <c r="H577" s="12">
        <f>LOOKUP(409010600,[1]PlanCuentas!$A$2:$A$6092,[1]PlanCuentas!R$2:R$6092)</f>
        <v>0</v>
      </c>
      <c r="I577" s="12">
        <f>LOOKUP(409010700,[1]PlanCuentas!$A$2:$A$6092,[1]PlanCuentas!R$2:R$6092)</f>
        <v>0</v>
      </c>
      <c r="J577" s="12">
        <f>LOOKUP(409010800,[1]PlanCuentas!$A$2:$A$6092,[1]PlanCuentas!R$2:R$6092)</f>
        <v>0</v>
      </c>
      <c r="K577" s="12">
        <f>LOOKUP(409010900,[1]PlanCuentas!$A$2:$A$6092,[1]PlanCuentas!R$2:R$6092)</f>
        <v>0</v>
      </c>
      <c r="L577" s="12">
        <f>LOOKUP(409011000,[1]PlanCuentas!$A$2:$A$6092,[1]PlanCuentas!R$2:R$6092)</f>
        <v>0</v>
      </c>
      <c r="M577" s="12">
        <f>LOOKUP(409011100,[1]PlanCuentas!$A$2:$A$6092,[1]PlanCuentas!R$2:R$6092)</f>
        <v>0</v>
      </c>
      <c r="N577" s="12">
        <f>LOOKUP(409011200,[1]PlanCuentas!$A$2:$A$6092,[1]PlanCuentas!R$2:R$6092)</f>
        <v>0</v>
      </c>
      <c r="O577" s="12">
        <f>LOOKUP(409011300,[1]PlanCuentas!$A$2:$A$6092,[1]PlanCuentas!R$2:R$6092)</f>
        <v>0</v>
      </c>
      <c r="P577" s="12">
        <f>LOOKUP(409012000,[1]PlanCuentas!$A$2:$A$6092,[1]PlanCuentas!R$2:R$6092)</f>
        <v>0</v>
      </c>
      <c r="Q577" s="13">
        <f t="shared" si="28"/>
        <v>0</v>
      </c>
    </row>
    <row r="578" spans="1:30" x14ac:dyDescent="0.2">
      <c r="A578" s="10">
        <v>17</v>
      </c>
      <c r="B578" s="11" t="str">
        <f>[1]Aseguradoras!B18</f>
        <v>Intercontinental de Seguros y Reaseguros S.A.</v>
      </c>
      <c r="C578" s="12">
        <f>LOOKUP(409010100,[1]PlanCuentas!$A$2:$A$6092,[1]PlanCuentas!S$2:S$6092)</f>
        <v>0</v>
      </c>
      <c r="D578" s="12">
        <f>LOOKUP(409010200,[1]PlanCuentas!$A$2:$A$6092,[1]PlanCuentas!S$2:S$6092)</f>
        <v>0</v>
      </c>
      <c r="E578" s="12">
        <f>LOOKUP(409010300,[1]PlanCuentas!$A$2:$A$6092,[1]PlanCuentas!S$2:S$6092)</f>
        <v>0</v>
      </c>
      <c r="F578" s="12">
        <f>LOOKUP(409010400,[1]PlanCuentas!$A$2:$A$6092,[1]PlanCuentas!S$2:S$6092)</f>
        <v>0</v>
      </c>
      <c r="G578" s="12">
        <f>LOOKUP(409010500,[1]PlanCuentas!$A$2:$A$6092,[1]PlanCuentas!S$2:S$6092)</f>
        <v>0</v>
      </c>
      <c r="H578" s="12">
        <f>LOOKUP(409010600,[1]PlanCuentas!$A$2:$A$6092,[1]PlanCuentas!S$2:S$6092)</f>
        <v>0</v>
      </c>
      <c r="I578" s="12">
        <f>LOOKUP(409010700,[1]PlanCuentas!$A$2:$A$6092,[1]PlanCuentas!S$2:S$6092)</f>
        <v>0</v>
      </c>
      <c r="J578" s="12">
        <f>LOOKUP(409010800,[1]PlanCuentas!$A$2:$A$6092,[1]PlanCuentas!S$2:S$6092)</f>
        <v>0</v>
      </c>
      <c r="K578" s="12">
        <f>LOOKUP(409010900,[1]PlanCuentas!$A$2:$A$6092,[1]PlanCuentas!S$2:S$6092)</f>
        <v>0</v>
      </c>
      <c r="L578" s="12">
        <f>LOOKUP(409011000,[1]PlanCuentas!$A$2:$A$6092,[1]PlanCuentas!S$2:S$6092)</f>
        <v>0</v>
      </c>
      <c r="M578" s="12">
        <f>LOOKUP(409011100,[1]PlanCuentas!$A$2:$A$6092,[1]PlanCuentas!S$2:S$6092)</f>
        <v>0</v>
      </c>
      <c r="N578" s="12">
        <f>LOOKUP(409011200,[1]PlanCuentas!$A$2:$A$6092,[1]PlanCuentas!S$2:S$6092)</f>
        <v>0</v>
      </c>
      <c r="O578" s="12">
        <f>LOOKUP(409011300,[1]PlanCuentas!$A$2:$A$6092,[1]PlanCuentas!S$2:S$6092)</f>
        <v>0</v>
      </c>
      <c r="P578" s="12">
        <f>LOOKUP(409012000,[1]PlanCuentas!$A$2:$A$6092,[1]PlanCuentas!S$2:S$6092)</f>
        <v>0</v>
      </c>
      <c r="Q578" s="13">
        <f t="shared" si="28"/>
        <v>0</v>
      </c>
    </row>
    <row r="579" spans="1:30" x14ac:dyDescent="0.2">
      <c r="A579" s="10">
        <v>18</v>
      </c>
      <c r="B579" s="11" t="str">
        <f>[1]Aseguradoras!B19</f>
        <v>Seguridad S.A Compañía de Seguros</v>
      </c>
      <c r="C579" s="12">
        <f>LOOKUP(409010100,[1]PlanCuentas!$A$2:$A$6092,[1]PlanCuentas!T$2:T$6092)</f>
        <v>0</v>
      </c>
      <c r="D579" s="12">
        <f>LOOKUP(409010200,[1]PlanCuentas!$A$2:$A$6092,[1]PlanCuentas!T$2:T$6092)</f>
        <v>0</v>
      </c>
      <c r="E579" s="12">
        <f>LOOKUP(409010300,[1]PlanCuentas!$A$2:$A$6092,[1]PlanCuentas!T$2:T$6092)</f>
        <v>0</v>
      </c>
      <c r="F579" s="12">
        <f>LOOKUP(409010400,[1]PlanCuentas!$A$2:$A$6092,[1]PlanCuentas!T$2:T$6092)</f>
        <v>0</v>
      </c>
      <c r="G579" s="12">
        <f>LOOKUP(409010500,[1]PlanCuentas!$A$2:$A$6092,[1]PlanCuentas!T$2:T$6092)</f>
        <v>0</v>
      </c>
      <c r="H579" s="12">
        <f>LOOKUP(409010600,[1]PlanCuentas!$A$2:$A$6092,[1]PlanCuentas!T$2:T$6092)</f>
        <v>0</v>
      </c>
      <c r="I579" s="12">
        <f>LOOKUP(409010700,[1]PlanCuentas!$A$2:$A$6092,[1]PlanCuentas!T$2:T$6092)</f>
        <v>0</v>
      </c>
      <c r="J579" s="12">
        <f>LOOKUP(409010800,[1]PlanCuentas!$A$2:$A$6092,[1]PlanCuentas!T$2:T$6092)</f>
        <v>7586307516</v>
      </c>
      <c r="K579" s="12">
        <f>LOOKUP(409010900,[1]PlanCuentas!$A$2:$A$6092,[1]PlanCuentas!T$2:T$6092)</f>
        <v>0</v>
      </c>
      <c r="L579" s="12">
        <f>LOOKUP(409011000,[1]PlanCuentas!$A$2:$A$6092,[1]PlanCuentas!T$2:T$6092)</f>
        <v>0</v>
      </c>
      <c r="M579" s="12">
        <f>LOOKUP(409011100,[1]PlanCuentas!$A$2:$A$6092,[1]PlanCuentas!T$2:T$6092)</f>
        <v>0</v>
      </c>
      <c r="N579" s="12">
        <f>LOOKUP(409011200,[1]PlanCuentas!$A$2:$A$6092,[1]PlanCuentas!T$2:T$6092)</f>
        <v>0</v>
      </c>
      <c r="O579" s="12">
        <f>LOOKUP(409011300,[1]PlanCuentas!$A$2:$A$6092,[1]PlanCuentas!T$2:T$6092)</f>
        <v>0</v>
      </c>
      <c r="P579" s="12">
        <f>LOOKUP(409012000,[1]PlanCuentas!$A$2:$A$6092,[1]PlanCuentas!T$2:T$6092)</f>
        <v>565349174</v>
      </c>
      <c r="Q579" s="13">
        <f t="shared" si="28"/>
        <v>8151656690</v>
      </c>
    </row>
    <row r="580" spans="1:30" x14ac:dyDescent="0.2">
      <c r="A580" s="10">
        <v>19</v>
      </c>
      <c r="B580" s="11" t="str">
        <f>[1]Aseguradoras!B20</f>
        <v>Universo de Seguros y Reaseguros S.A.</v>
      </c>
      <c r="C580" s="12">
        <f>LOOKUP(409010100,[1]PlanCuentas!$A$2:$A$6092,[1]PlanCuentas!U$2:U$6092)</f>
        <v>0</v>
      </c>
      <c r="D580" s="12">
        <f>LOOKUP(409010200,[1]PlanCuentas!$A$2:$A$6092,[1]PlanCuentas!U$2:U$6092)</f>
        <v>0</v>
      </c>
      <c r="E580" s="12">
        <f>LOOKUP(409010300,[1]PlanCuentas!$A$2:$A$6092,[1]PlanCuentas!U$2:U$6092)</f>
        <v>0</v>
      </c>
      <c r="F580" s="12">
        <f>LOOKUP(409010400,[1]PlanCuentas!$A$2:$A$6092,[1]PlanCuentas!U$2:U$6092)</f>
        <v>0</v>
      </c>
      <c r="G580" s="12">
        <f>LOOKUP(409010500,[1]PlanCuentas!$A$2:$A$6092,[1]PlanCuentas!U$2:U$6092)</f>
        <v>0</v>
      </c>
      <c r="H580" s="12">
        <f>LOOKUP(409010600,[1]PlanCuentas!$A$2:$A$6092,[1]PlanCuentas!U$2:U$6092)</f>
        <v>0</v>
      </c>
      <c r="I580" s="12">
        <f>LOOKUP(409010700,[1]PlanCuentas!$A$2:$A$6092,[1]PlanCuentas!U$2:U$6092)</f>
        <v>0</v>
      </c>
      <c r="J580" s="12">
        <f>LOOKUP(409010800,[1]PlanCuentas!$A$2:$A$6092,[1]PlanCuentas!U$2:U$6092)</f>
        <v>0</v>
      </c>
      <c r="K580" s="12">
        <f>LOOKUP(409010900,[1]PlanCuentas!$A$2:$A$6092,[1]PlanCuentas!U$2:U$6092)</f>
        <v>0</v>
      </c>
      <c r="L580" s="12">
        <f>LOOKUP(409011000,[1]PlanCuentas!$A$2:$A$6092,[1]PlanCuentas!U$2:U$6092)</f>
        <v>0</v>
      </c>
      <c r="M580" s="12">
        <f>LOOKUP(409011100,[1]PlanCuentas!$A$2:$A$6092,[1]PlanCuentas!U$2:U$6092)</f>
        <v>0</v>
      </c>
      <c r="N580" s="12">
        <f>LOOKUP(409011200,[1]PlanCuentas!$A$2:$A$6092,[1]PlanCuentas!U$2:U$6092)</f>
        <v>0</v>
      </c>
      <c r="O580" s="12">
        <f>LOOKUP(409011300,[1]PlanCuentas!$A$2:$A$6092,[1]PlanCuentas!U$2:U$6092)</f>
        <v>0</v>
      </c>
      <c r="P580" s="12">
        <f>LOOKUP(409012000,[1]PlanCuentas!$A$2:$A$6092,[1]PlanCuentas!U$2:U$6092)</f>
        <v>0</v>
      </c>
      <c r="Q580" s="13">
        <f t="shared" si="28"/>
        <v>0</v>
      </c>
    </row>
    <row r="581" spans="1:30" x14ac:dyDescent="0.2">
      <c r="A581" s="10">
        <v>20</v>
      </c>
      <c r="B581" s="11" t="str">
        <f>[1]Aseguradoras!B21</f>
        <v>Aseguradora Yacyreta S.A de Seguros y Reaseguros</v>
      </c>
      <c r="C581" s="12">
        <f>LOOKUP(409010100,[1]PlanCuentas!$A$2:$A$6092,[1]PlanCuentas!V$2:V$6092)</f>
        <v>822839505</v>
      </c>
      <c r="D581" s="12">
        <f>LOOKUP(409010200,[1]PlanCuentas!$A$2:$A$6092,[1]PlanCuentas!V$2:V$6092)</f>
        <v>721006451</v>
      </c>
      <c r="E581" s="12">
        <f>LOOKUP(409010300,[1]PlanCuentas!$A$2:$A$6092,[1]PlanCuentas!V$2:V$6092)</f>
        <v>69735848</v>
      </c>
      <c r="F581" s="12">
        <f>LOOKUP(409010400,[1]PlanCuentas!$A$2:$A$6092,[1]PlanCuentas!V$2:V$6092)</f>
        <v>12167277723</v>
      </c>
      <c r="G581" s="12">
        <f>LOOKUP(409010500,[1]PlanCuentas!$A$2:$A$6092,[1]PlanCuentas!V$2:V$6092)</f>
        <v>0</v>
      </c>
      <c r="H581" s="12">
        <f>LOOKUP(409010600,[1]PlanCuentas!$A$2:$A$6092,[1]PlanCuentas!V$2:V$6092)</f>
        <v>361808861</v>
      </c>
      <c r="I581" s="12">
        <f>LOOKUP(409010700,[1]PlanCuentas!$A$2:$A$6092,[1]PlanCuentas!V$2:V$6092)</f>
        <v>6364746</v>
      </c>
      <c r="J581" s="12">
        <f>LOOKUP(409010800,[1]PlanCuentas!$A$2:$A$6092,[1]PlanCuentas!V$2:V$6092)</f>
        <v>0</v>
      </c>
      <c r="K581" s="12">
        <f>LOOKUP(409010900,[1]PlanCuentas!$A$2:$A$6092,[1]PlanCuentas!V$2:V$6092)</f>
        <v>221367995</v>
      </c>
      <c r="L581" s="12">
        <f>LOOKUP(409011000,[1]PlanCuentas!$A$2:$A$6092,[1]PlanCuentas!V$2:V$6092)</f>
        <v>50728289</v>
      </c>
      <c r="M581" s="12">
        <f>LOOKUP(409011100,[1]PlanCuentas!$A$2:$A$6092,[1]PlanCuentas!V$2:V$6092)</f>
        <v>1957525</v>
      </c>
      <c r="N581" s="12">
        <f>LOOKUP(409011200,[1]PlanCuentas!$A$2:$A$6092,[1]PlanCuentas!V$2:V$6092)</f>
        <v>273932059</v>
      </c>
      <c r="O581" s="12">
        <f>LOOKUP(409011300,[1]PlanCuentas!$A$2:$A$6092,[1]PlanCuentas!V$2:V$6092)</f>
        <v>152012</v>
      </c>
      <c r="P581" s="12">
        <f>LOOKUP(409012000,[1]PlanCuentas!$A$2:$A$6092,[1]PlanCuentas!V$2:V$6092)</f>
        <v>1239701927</v>
      </c>
      <c r="Q581" s="13">
        <f t="shared" si="28"/>
        <v>15936872941</v>
      </c>
    </row>
    <row r="582" spans="1:30" x14ac:dyDescent="0.2">
      <c r="A582" s="10">
        <v>21</v>
      </c>
      <c r="B582" s="11" t="str">
        <f>[1]Aseguradoras!B22</f>
        <v>La Agricola S.A de Seguros y Reaseguros</v>
      </c>
      <c r="C582" s="12">
        <f>LOOKUP(409010100,[1]PlanCuentas!$A$2:$A$6092,[1]PlanCuentas!W$2:W$6092)</f>
        <v>0</v>
      </c>
      <c r="D582" s="12">
        <f>LOOKUP(409010200,[1]PlanCuentas!$A$2:$A$6092,[1]PlanCuentas!W$2:W$6092)</f>
        <v>0</v>
      </c>
      <c r="E582" s="12">
        <f>LOOKUP(409010300,[1]PlanCuentas!$A$2:$A$6092,[1]PlanCuentas!W$2:W$6092)</f>
        <v>0</v>
      </c>
      <c r="F582" s="12">
        <f>LOOKUP(409010400,[1]PlanCuentas!$A$2:$A$6092,[1]PlanCuentas!W$2:W$6092)</f>
        <v>0</v>
      </c>
      <c r="G582" s="12">
        <f>LOOKUP(409010500,[1]PlanCuentas!$A$2:$A$6092,[1]PlanCuentas!W$2:W$6092)</f>
        <v>0</v>
      </c>
      <c r="H582" s="12">
        <f>LOOKUP(409010600,[1]PlanCuentas!$A$2:$A$6092,[1]PlanCuentas!W$2:W$6092)</f>
        <v>0</v>
      </c>
      <c r="I582" s="12">
        <f>LOOKUP(409010700,[1]PlanCuentas!$A$2:$A$6092,[1]PlanCuentas!W$2:W$6092)</f>
        <v>0</v>
      </c>
      <c r="J582" s="12">
        <f>LOOKUP(409010800,[1]PlanCuentas!$A$2:$A$6092,[1]PlanCuentas!W$2:W$6092)</f>
        <v>0</v>
      </c>
      <c r="K582" s="12">
        <f>LOOKUP(409010900,[1]PlanCuentas!$A$2:$A$6092,[1]PlanCuentas!W$2:W$6092)</f>
        <v>0</v>
      </c>
      <c r="L582" s="12">
        <f>LOOKUP(409011000,[1]PlanCuentas!$A$2:$A$6092,[1]PlanCuentas!W$2:W$6092)</f>
        <v>0</v>
      </c>
      <c r="M582" s="12">
        <f>LOOKUP(409011100,[1]PlanCuentas!$A$2:$A$6092,[1]PlanCuentas!W$2:W$6092)</f>
        <v>0</v>
      </c>
      <c r="N582" s="12">
        <f>LOOKUP(409011200,[1]PlanCuentas!$A$2:$A$6092,[1]PlanCuentas!W$2:W$6092)</f>
        <v>0</v>
      </c>
      <c r="O582" s="12">
        <f>LOOKUP(409011300,[1]PlanCuentas!$A$2:$A$6092,[1]PlanCuentas!W$2:W$6092)</f>
        <v>0</v>
      </c>
      <c r="P582" s="12">
        <f>LOOKUP(409012000,[1]PlanCuentas!$A$2:$A$6092,[1]PlanCuentas!W$2:W$6092)</f>
        <v>0</v>
      </c>
      <c r="Q582" s="13">
        <f t="shared" si="28"/>
        <v>0</v>
      </c>
    </row>
    <row r="583" spans="1:30" x14ac:dyDescent="0.2">
      <c r="A583" s="10">
        <v>22</v>
      </c>
      <c r="B583" s="11" t="str">
        <f>[1]Aseguradoras!B23</f>
        <v>Grupo General de Seguros y Reaseguros S.A.</v>
      </c>
      <c r="C583" s="12">
        <f>LOOKUP(409010100,[1]PlanCuentas!$A$2:$A$6092,[1]PlanCuentas!X$2:X$6092)</f>
        <v>0</v>
      </c>
      <c r="D583" s="12">
        <f>LOOKUP(409010200,[1]PlanCuentas!$A$2:$A$6092,[1]PlanCuentas!X$2:X$6092)</f>
        <v>0</v>
      </c>
      <c r="E583" s="12">
        <f>LOOKUP(409010300,[1]PlanCuentas!$A$2:$A$6092,[1]PlanCuentas!X$2:X$6092)</f>
        <v>0</v>
      </c>
      <c r="F583" s="12">
        <f>LOOKUP(409010400,[1]PlanCuentas!$A$2:$A$6092,[1]PlanCuentas!X$2:X$6092)</f>
        <v>0</v>
      </c>
      <c r="G583" s="12">
        <f>LOOKUP(409010500,[1]PlanCuentas!$A$2:$A$6092,[1]PlanCuentas!X$2:X$6092)</f>
        <v>0</v>
      </c>
      <c r="H583" s="12">
        <f>LOOKUP(409010600,[1]PlanCuentas!$A$2:$A$6092,[1]PlanCuentas!X$2:X$6092)</f>
        <v>0</v>
      </c>
      <c r="I583" s="12">
        <f>LOOKUP(409010700,[1]PlanCuentas!$A$2:$A$6092,[1]PlanCuentas!X$2:X$6092)</f>
        <v>0</v>
      </c>
      <c r="J583" s="12">
        <f>LOOKUP(409010800,[1]PlanCuentas!$A$2:$A$6092,[1]PlanCuentas!X$2:X$6092)</f>
        <v>0</v>
      </c>
      <c r="K583" s="12">
        <f>LOOKUP(409010900,[1]PlanCuentas!$A$2:$A$6092,[1]PlanCuentas!X$2:X$6092)</f>
        <v>0</v>
      </c>
      <c r="L583" s="12">
        <f>LOOKUP(409011000,[1]PlanCuentas!$A$2:$A$6092,[1]PlanCuentas!X$2:X$6092)</f>
        <v>0</v>
      </c>
      <c r="M583" s="12">
        <f>LOOKUP(409011100,[1]PlanCuentas!$A$2:$A$6092,[1]PlanCuentas!X$2:X$6092)</f>
        <v>0</v>
      </c>
      <c r="N583" s="12">
        <f>LOOKUP(409011200,[1]PlanCuentas!$A$2:$A$6092,[1]PlanCuentas!X$2:X$6092)</f>
        <v>0</v>
      </c>
      <c r="O583" s="12">
        <f>LOOKUP(409011300,[1]PlanCuentas!$A$2:$A$6092,[1]PlanCuentas!X$2:X$6092)</f>
        <v>0</v>
      </c>
      <c r="P583" s="12">
        <f>LOOKUP(409012000,[1]PlanCuentas!$A$2:$A$6092,[1]PlanCuentas!X$2:X$6092)</f>
        <v>0</v>
      </c>
      <c r="Q583" s="13">
        <f t="shared" si="28"/>
        <v>0</v>
      </c>
    </row>
    <row r="584" spans="1:30" x14ac:dyDescent="0.2">
      <c r="A584" s="10">
        <v>23</v>
      </c>
      <c r="B584" s="11" t="str">
        <f>[1]Aseguradoras!B24</f>
        <v>Alfa S.A de Seguros y Reaseguros</v>
      </c>
      <c r="C584" s="12">
        <f>LOOKUP(409010100,[1]PlanCuentas!$A$2:$A$6092,[1]PlanCuentas!Y$2:Y$6092)</f>
        <v>0</v>
      </c>
      <c r="D584" s="12">
        <f>LOOKUP(409010200,[1]PlanCuentas!$A$2:$A$6092,[1]PlanCuentas!Y$2:Y$6092)</f>
        <v>0</v>
      </c>
      <c r="E584" s="12">
        <f>LOOKUP(409010300,[1]PlanCuentas!$A$2:$A$6092,[1]PlanCuentas!Y$2:Y$6092)</f>
        <v>0</v>
      </c>
      <c r="F584" s="12">
        <f>LOOKUP(409010400,[1]PlanCuentas!$A$2:$A$6092,[1]PlanCuentas!Y$2:Y$6092)</f>
        <v>0</v>
      </c>
      <c r="G584" s="12">
        <f>LOOKUP(409010500,[1]PlanCuentas!$A$2:$A$6092,[1]PlanCuentas!Y$2:Y$6092)</f>
        <v>0</v>
      </c>
      <c r="H584" s="12">
        <f>LOOKUP(409010600,[1]PlanCuentas!$A$2:$A$6092,[1]PlanCuentas!Y$2:Y$6092)</f>
        <v>0</v>
      </c>
      <c r="I584" s="12">
        <f>LOOKUP(409010700,[1]PlanCuentas!$A$2:$A$6092,[1]PlanCuentas!Y$2:Y$6092)</f>
        <v>0</v>
      </c>
      <c r="J584" s="12">
        <f>LOOKUP(409010800,[1]PlanCuentas!$A$2:$A$6092,[1]PlanCuentas!Y$2:Y$6092)</f>
        <v>0</v>
      </c>
      <c r="K584" s="12">
        <f>LOOKUP(409010900,[1]PlanCuentas!$A$2:$A$6092,[1]PlanCuentas!Y$2:Y$6092)</f>
        <v>0</v>
      </c>
      <c r="L584" s="12">
        <f>LOOKUP(409011000,[1]PlanCuentas!$A$2:$A$6092,[1]PlanCuentas!Y$2:Y$6092)</f>
        <v>0</v>
      </c>
      <c r="M584" s="12">
        <f>LOOKUP(409011100,[1]PlanCuentas!$A$2:$A$6092,[1]PlanCuentas!Y$2:Y$6092)</f>
        <v>0</v>
      </c>
      <c r="N584" s="12">
        <f>LOOKUP(409011200,[1]PlanCuentas!$A$2:$A$6092,[1]PlanCuentas!Y$2:Y$6092)</f>
        <v>0</v>
      </c>
      <c r="O584" s="12">
        <f>LOOKUP(409011300,[1]PlanCuentas!$A$2:$A$6092,[1]PlanCuentas!Y$2:Y$6092)</f>
        <v>0</v>
      </c>
      <c r="P584" s="12">
        <f>LOOKUP(409012000,[1]PlanCuentas!$A$2:$A$6092,[1]PlanCuentas!Y$2:Y$6092)</f>
        <v>0</v>
      </c>
      <c r="Q584" s="13">
        <f t="shared" si="28"/>
        <v>0</v>
      </c>
    </row>
    <row r="585" spans="1:30" x14ac:dyDescent="0.2">
      <c r="A585" s="10">
        <v>24</v>
      </c>
      <c r="B585" s="11" t="str">
        <f>[1]Aseguradoras!B25</f>
        <v>Cenit de Seguros S.A.</v>
      </c>
      <c r="C585" s="12">
        <f>LOOKUP(409010100,[1]PlanCuentas!$A$2:$A$6092,[1]PlanCuentas!Z$2:Z$6092)</f>
        <v>0</v>
      </c>
      <c r="D585" s="12">
        <f>LOOKUP(409010200,[1]PlanCuentas!$A$2:$A$6092,[1]PlanCuentas!Z$2:Z$6092)</f>
        <v>0</v>
      </c>
      <c r="E585" s="12">
        <f>LOOKUP(409010300,[1]PlanCuentas!$A$2:$A$6092,[1]PlanCuentas!Z$2:Z$6092)</f>
        <v>0</v>
      </c>
      <c r="F585" s="12">
        <f>LOOKUP(409010400,[1]PlanCuentas!$A$2:$A$6092,[1]PlanCuentas!Z$2:Z$6092)</f>
        <v>0</v>
      </c>
      <c r="G585" s="12">
        <f>LOOKUP(409010500,[1]PlanCuentas!$A$2:$A$6092,[1]PlanCuentas!Z$2:Z$6092)</f>
        <v>0</v>
      </c>
      <c r="H585" s="12">
        <f>LOOKUP(409010600,[1]PlanCuentas!$A$2:$A$6092,[1]PlanCuentas!Z$2:Z$6092)</f>
        <v>0</v>
      </c>
      <c r="I585" s="12">
        <f>LOOKUP(409010700,[1]PlanCuentas!$A$2:$A$6092,[1]PlanCuentas!Z$2:Z$6092)</f>
        <v>0</v>
      </c>
      <c r="J585" s="12">
        <f>LOOKUP(409010800,[1]PlanCuentas!$A$2:$A$6092,[1]PlanCuentas!Z$2:Z$6092)</f>
        <v>0</v>
      </c>
      <c r="K585" s="12">
        <f>LOOKUP(409010900,[1]PlanCuentas!$A$2:$A$6092,[1]PlanCuentas!Z$2:Z$6092)</f>
        <v>0</v>
      </c>
      <c r="L585" s="12">
        <f>LOOKUP(409011000,[1]PlanCuentas!$A$2:$A$6092,[1]PlanCuentas!Z$2:Z$6092)</f>
        <v>0</v>
      </c>
      <c r="M585" s="12">
        <f>LOOKUP(409011100,[1]PlanCuentas!$A$2:$A$6092,[1]PlanCuentas!Z$2:Z$6092)</f>
        <v>0</v>
      </c>
      <c r="N585" s="12">
        <f>LOOKUP(409011200,[1]PlanCuentas!$A$2:$A$6092,[1]PlanCuentas!Z$2:Z$6092)</f>
        <v>0</v>
      </c>
      <c r="O585" s="12">
        <f>LOOKUP(409011300,[1]PlanCuentas!$A$2:$A$6092,[1]PlanCuentas!Z$2:Z$6092)</f>
        <v>0</v>
      </c>
      <c r="P585" s="12">
        <f>LOOKUP(409012000,[1]PlanCuentas!$A$2:$A$6092,[1]PlanCuentas!Z$2:Z$6092)</f>
        <v>0</v>
      </c>
      <c r="Q585" s="13">
        <f t="shared" si="28"/>
        <v>0</v>
      </c>
    </row>
    <row r="586" spans="1:30" x14ac:dyDescent="0.2">
      <c r="A586" s="10">
        <v>25</v>
      </c>
      <c r="B586" s="11" t="str">
        <f>[1]Aseguradoras!B26</f>
        <v>La Meridional Paraguaya S.A de Seguros</v>
      </c>
      <c r="C586" s="12">
        <f>LOOKUP(409010100,[1]PlanCuentas!$A$2:$A$6092,[1]PlanCuentas!AA$2:AA$6092)</f>
        <v>32771587</v>
      </c>
      <c r="D586" s="12">
        <f>LOOKUP(409010200,[1]PlanCuentas!$A$2:$A$6092,[1]PlanCuentas!AA$2:AA$6092)</f>
        <v>10153615</v>
      </c>
      <c r="E586" s="12">
        <f>LOOKUP(409010300,[1]PlanCuentas!$A$2:$A$6092,[1]PlanCuentas!AA$2:AA$6092)</f>
        <v>538300</v>
      </c>
      <c r="F586" s="12">
        <f>LOOKUP(409010400,[1]PlanCuentas!$A$2:$A$6092,[1]PlanCuentas!AA$2:AA$6092)</f>
        <v>0</v>
      </c>
      <c r="G586" s="12">
        <f>LOOKUP(409010500,[1]PlanCuentas!$A$2:$A$6092,[1]PlanCuentas!AA$2:AA$6092)</f>
        <v>0</v>
      </c>
      <c r="H586" s="12">
        <f>LOOKUP(409010600,[1]PlanCuentas!$A$2:$A$6092,[1]PlanCuentas!AA$2:AA$6092)</f>
        <v>25774981</v>
      </c>
      <c r="I586" s="12">
        <f>LOOKUP(409010700,[1]PlanCuentas!$A$2:$A$6092,[1]PlanCuentas!AA$2:AA$6092)</f>
        <v>1172182</v>
      </c>
      <c r="J586" s="12">
        <f>LOOKUP(409010800,[1]PlanCuentas!$A$2:$A$6092,[1]PlanCuentas!AA$2:AA$6092)</f>
        <v>0</v>
      </c>
      <c r="K586" s="12">
        <f>LOOKUP(409010900,[1]PlanCuentas!$A$2:$A$6092,[1]PlanCuentas!AA$2:AA$6092)</f>
        <v>0</v>
      </c>
      <c r="L586" s="12">
        <f>LOOKUP(409011000,[1]PlanCuentas!$A$2:$A$6092,[1]PlanCuentas!AA$2:AA$6092)</f>
        <v>0</v>
      </c>
      <c r="M586" s="12">
        <f>LOOKUP(409011100,[1]PlanCuentas!$A$2:$A$6092,[1]PlanCuentas!AA$2:AA$6092)</f>
        <v>0</v>
      </c>
      <c r="N586" s="12">
        <f>LOOKUP(409011200,[1]PlanCuentas!$A$2:$A$6092,[1]PlanCuentas!AA$2:AA$6092)</f>
        <v>35910</v>
      </c>
      <c r="O586" s="12">
        <f>LOOKUP(409011300,[1]PlanCuentas!$A$2:$A$6092,[1]PlanCuentas!AA$2:AA$6092)</f>
        <v>0</v>
      </c>
      <c r="P586" s="12">
        <f>LOOKUP(409012000,[1]PlanCuentas!$A$2:$A$6092,[1]PlanCuentas!AA$2:AA$6092)</f>
        <v>0</v>
      </c>
      <c r="Q586" s="13">
        <f t="shared" si="28"/>
        <v>70446575</v>
      </c>
    </row>
    <row r="587" spans="1:30" x14ac:dyDescent="0.2">
      <c r="A587" s="10">
        <v>26</v>
      </c>
      <c r="B587" s="11" t="str">
        <f>[1]Aseguradoras!B27</f>
        <v>Aseguradora Del Este S.A de Seguros y Reaseguros</v>
      </c>
      <c r="C587" s="12">
        <f>LOOKUP(409010100,[1]PlanCuentas!$A$2:$A$6092,[1]PlanCuentas!AB$2:AB$6092)</f>
        <v>65491405</v>
      </c>
      <c r="D587" s="12">
        <f>LOOKUP(409010200,[1]PlanCuentas!$A$2:$A$6092,[1]PlanCuentas!AB$2:AB$6092)</f>
        <v>0</v>
      </c>
      <c r="E587" s="12">
        <f>LOOKUP(409010300,[1]PlanCuentas!$A$2:$A$6092,[1]PlanCuentas!AB$2:AB$6092)</f>
        <v>0</v>
      </c>
      <c r="F587" s="12">
        <f>LOOKUP(409010400,[1]PlanCuentas!$A$2:$A$6092,[1]PlanCuentas!AB$2:AB$6092)</f>
        <v>0</v>
      </c>
      <c r="G587" s="12">
        <f>LOOKUP(409010500,[1]PlanCuentas!$A$2:$A$6092,[1]PlanCuentas!AB$2:AB$6092)</f>
        <v>0</v>
      </c>
      <c r="H587" s="12">
        <f>LOOKUP(409010600,[1]PlanCuentas!$A$2:$A$6092,[1]PlanCuentas!AB$2:AB$6092)</f>
        <v>0</v>
      </c>
      <c r="I587" s="12">
        <f>LOOKUP(409010700,[1]PlanCuentas!$A$2:$A$6092,[1]PlanCuentas!AB$2:AB$6092)</f>
        <v>0</v>
      </c>
      <c r="J587" s="12">
        <f>LOOKUP(409010800,[1]PlanCuentas!$A$2:$A$6092,[1]PlanCuentas!AB$2:AB$6092)</f>
        <v>0</v>
      </c>
      <c r="K587" s="12">
        <f>LOOKUP(409010900,[1]PlanCuentas!$A$2:$A$6092,[1]PlanCuentas!AB$2:AB$6092)</f>
        <v>0</v>
      </c>
      <c r="L587" s="12">
        <f>LOOKUP(409011000,[1]PlanCuentas!$A$2:$A$6092,[1]PlanCuentas!AB$2:AB$6092)</f>
        <v>0</v>
      </c>
      <c r="M587" s="12">
        <f>LOOKUP(409011100,[1]PlanCuentas!$A$2:$A$6092,[1]PlanCuentas!AB$2:AB$6092)</f>
        <v>0</v>
      </c>
      <c r="N587" s="12">
        <f>LOOKUP(409011200,[1]PlanCuentas!$A$2:$A$6092,[1]PlanCuentas!AB$2:AB$6092)</f>
        <v>0</v>
      </c>
      <c r="O587" s="12">
        <f>LOOKUP(409011300,[1]PlanCuentas!$A$2:$A$6092,[1]PlanCuentas!AB$2:AB$6092)</f>
        <v>0</v>
      </c>
      <c r="P587" s="12">
        <f>LOOKUP(409012000,[1]PlanCuentas!$A$2:$A$6092,[1]PlanCuentas!AB$2:AB$6092)</f>
        <v>1185555437</v>
      </c>
      <c r="Q587" s="13">
        <f t="shared" si="28"/>
        <v>1251046842</v>
      </c>
    </row>
    <row r="588" spans="1:30" x14ac:dyDescent="0.2">
      <c r="A588" s="10">
        <v>27</v>
      </c>
      <c r="B588" s="11" t="str">
        <f>[1]Aseguradoras!B28</f>
        <v>Imperio S.A de Seguros y Reaseguros</v>
      </c>
      <c r="C588" s="12">
        <f>LOOKUP(409010100,[1]PlanCuentas!$A$2:$A$6092,[1]PlanCuentas!AC$2:AC$6092)</f>
        <v>0</v>
      </c>
      <c r="D588" s="12">
        <f>LOOKUP(409010200,[1]PlanCuentas!$A$2:$A$6092,[1]PlanCuentas!AC$2:AC$6092)</f>
        <v>0</v>
      </c>
      <c r="E588" s="12">
        <f>LOOKUP(409010300,[1]PlanCuentas!$A$2:$A$6092,[1]PlanCuentas!AC$2:AC$6092)</f>
        <v>0</v>
      </c>
      <c r="F588" s="12">
        <f>LOOKUP(409010400,[1]PlanCuentas!$A$2:$A$6092,[1]PlanCuentas!AC$2:AC$6092)</f>
        <v>0</v>
      </c>
      <c r="G588" s="12">
        <f>LOOKUP(409010500,[1]PlanCuentas!$A$2:$A$6092,[1]PlanCuentas!AC$2:AC$6092)</f>
        <v>0</v>
      </c>
      <c r="H588" s="12">
        <f>LOOKUP(409010600,[1]PlanCuentas!$A$2:$A$6092,[1]PlanCuentas!AC$2:AC$6092)</f>
        <v>0</v>
      </c>
      <c r="I588" s="12">
        <f>LOOKUP(409010700,[1]PlanCuentas!$A$2:$A$6092,[1]PlanCuentas!AC$2:AC$6092)</f>
        <v>0</v>
      </c>
      <c r="J588" s="12">
        <f>LOOKUP(409010800,[1]PlanCuentas!$A$2:$A$6092,[1]PlanCuentas!AC$2:AC$6092)</f>
        <v>0</v>
      </c>
      <c r="K588" s="12">
        <f>LOOKUP(409010900,[1]PlanCuentas!$A$2:$A$6092,[1]PlanCuentas!AC$2:AC$6092)</f>
        <v>0</v>
      </c>
      <c r="L588" s="12">
        <f>LOOKUP(409011000,[1]PlanCuentas!$A$2:$A$6092,[1]PlanCuentas!AC$2:AC$6092)</f>
        <v>0</v>
      </c>
      <c r="M588" s="12">
        <f>LOOKUP(409011100,[1]PlanCuentas!$A$2:$A$6092,[1]PlanCuentas!AC$2:AC$6092)</f>
        <v>0</v>
      </c>
      <c r="N588" s="12">
        <f>LOOKUP(409011200,[1]PlanCuentas!$A$2:$A$6092,[1]PlanCuentas!AC$2:AC$6092)</f>
        <v>0</v>
      </c>
      <c r="O588" s="12">
        <f>LOOKUP(409011300,[1]PlanCuentas!$A$2:$A$6092,[1]PlanCuentas!AC$2:AC$6092)</f>
        <v>0</v>
      </c>
      <c r="P588" s="12">
        <f>LOOKUP(409012000,[1]PlanCuentas!$A$2:$A$6092,[1]PlanCuentas!AC$2:AC$6092)</f>
        <v>0</v>
      </c>
      <c r="Q588" s="13">
        <f t="shared" si="28"/>
        <v>0</v>
      </c>
    </row>
    <row r="589" spans="1:30" x14ac:dyDescent="0.2">
      <c r="A589" s="10">
        <v>28</v>
      </c>
      <c r="B589" s="11" t="str">
        <f>[1]Aseguradoras!B29</f>
        <v>Regional S.A de Seguros y Reaseguros</v>
      </c>
      <c r="C589" s="12">
        <f>LOOKUP(409010100,[1]PlanCuentas!$A$2:$A$6092,[1]PlanCuentas!AD$2:AD$6092)</f>
        <v>0</v>
      </c>
      <c r="D589" s="12">
        <f>LOOKUP(409010200,[1]PlanCuentas!$A$2:$A$6092,[1]PlanCuentas!AD$2:AD$6092)</f>
        <v>0</v>
      </c>
      <c r="E589" s="12">
        <f>LOOKUP(409010300,[1]PlanCuentas!$A$2:$A$6092,[1]PlanCuentas!AD$2:AD$6092)</f>
        <v>0</v>
      </c>
      <c r="F589" s="12">
        <f>LOOKUP(409010400,[1]PlanCuentas!$A$2:$A$6092,[1]PlanCuentas!AD$2:AD$6092)</f>
        <v>0</v>
      </c>
      <c r="G589" s="12">
        <f>LOOKUP(409010500,[1]PlanCuentas!$A$2:$A$6092,[1]PlanCuentas!AD$2:AD$6092)</f>
        <v>0</v>
      </c>
      <c r="H589" s="12">
        <f>LOOKUP(409010600,[1]PlanCuentas!$A$2:$A$6092,[1]PlanCuentas!AD$2:AD$6092)</f>
        <v>0</v>
      </c>
      <c r="I589" s="12">
        <f>LOOKUP(409010700,[1]PlanCuentas!$A$2:$A$6092,[1]PlanCuentas!AD$2:AD$6092)</f>
        <v>0</v>
      </c>
      <c r="J589" s="12">
        <f>LOOKUP(409010800,[1]PlanCuentas!$A$2:$A$6092,[1]PlanCuentas!AD$2:AD$6092)</f>
        <v>0</v>
      </c>
      <c r="K589" s="12">
        <f>LOOKUP(409010900,[1]PlanCuentas!$A$2:$A$6092,[1]PlanCuentas!AD$2:AD$6092)</f>
        <v>0</v>
      </c>
      <c r="L589" s="12">
        <f>LOOKUP(409011000,[1]PlanCuentas!$A$2:$A$6092,[1]PlanCuentas!AD$2:AD$6092)</f>
        <v>0</v>
      </c>
      <c r="M589" s="12">
        <f>LOOKUP(409011100,[1]PlanCuentas!$A$2:$A$6092,[1]PlanCuentas!AD$2:AD$6092)</f>
        <v>0</v>
      </c>
      <c r="N589" s="12">
        <f>LOOKUP(409011200,[1]PlanCuentas!$A$2:$A$6092,[1]PlanCuentas!AD$2:AD$6092)</f>
        <v>0</v>
      </c>
      <c r="O589" s="12">
        <f>LOOKUP(409011300,[1]PlanCuentas!$A$2:$A$6092,[1]PlanCuentas!AD$2:AD$6092)</f>
        <v>0</v>
      </c>
      <c r="P589" s="12">
        <f>LOOKUP(409012000,[1]PlanCuentas!$A$2:$A$6092,[1]PlanCuentas!AD$2:AD$6092)</f>
        <v>0</v>
      </c>
      <c r="Q589" s="13">
        <f t="shared" si="28"/>
        <v>0</v>
      </c>
    </row>
    <row r="590" spans="1:30" s="37" customFormat="1" x14ac:dyDescent="0.2">
      <c r="A590" s="10">
        <v>29</v>
      </c>
      <c r="B590" s="11" t="str">
        <f>[1]Aseguradoras!B30</f>
        <v>Mapfre Paraguay Compañía de Seguros S.A.</v>
      </c>
      <c r="C590" s="12">
        <f>LOOKUP(409010100,[1]PlanCuentas!$A$2:$A$6092,[1]PlanCuentas!AE$2:AE$6092)</f>
        <v>7310534395</v>
      </c>
      <c r="D590" s="12">
        <f>LOOKUP(409010200,[1]PlanCuentas!$A$2:$A$6092,[1]PlanCuentas!AE$2:AE$6092)</f>
        <v>1555215641</v>
      </c>
      <c r="E590" s="12">
        <f>LOOKUP(409010300,[1]PlanCuentas!$A$2:$A$6092,[1]PlanCuentas!AE$2:AE$6092)</f>
        <v>0</v>
      </c>
      <c r="F590" s="12">
        <f>LOOKUP(409010400,[1]PlanCuentas!$A$2:$A$6092,[1]PlanCuentas!AE$2:AE$6092)</f>
        <v>0</v>
      </c>
      <c r="G590" s="12">
        <f>LOOKUP(409010500,[1]PlanCuentas!$A$2:$A$6092,[1]PlanCuentas!AE$2:AE$6092)</f>
        <v>0</v>
      </c>
      <c r="H590" s="12">
        <f>LOOKUP(409010600,[1]PlanCuentas!$A$2:$A$6092,[1]PlanCuentas!AE$2:AE$6092)</f>
        <v>118921583</v>
      </c>
      <c r="I590" s="12">
        <f>LOOKUP(409010700,[1]PlanCuentas!$A$2:$A$6092,[1]PlanCuentas!AE$2:AE$6092)</f>
        <v>0</v>
      </c>
      <c r="J590" s="12">
        <f>LOOKUP(409010800,[1]PlanCuentas!$A$2:$A$6092,[1]PlanCuentas!AE$2:AE$6092)</f>
        <v>0</v>
      </c>
      <c r="K590" s="12">
        <f>LOOKUP(409010900,[1]PlanCuentas!$A$2:$A$6092,[1]PlanCuentas!AE$2:AE$6092)</f>
        <v>1122152160</v>
      </c>
      <c r="L590" s="12">
        <f>LOOKUP(409011000,[1]PlanCuentas!$A$2:$A$6092,[1]PlanCuentas!AE$2:AE$6092)</f>
        <v>24825000</v>
      </c>
      <c r="M590" s="12">
        <f>LOOKUP(409011100,[1]PlanCuentas!$A$2:$A$6092,[1]PlanCuentas!AE$2:AE$6092)</f>
        <v>0</v>
      </c>
      <c r="N590" s="12">
        <f>LOOKUP(409011200,[1]PlanCuentas!$A$2:$A$6092,[1]PlanCuentas!AE$2:AE$6092)</f>
        <v>0</v>
      </c>
      <c r="O590" s="12">
        <f>LOOKUP(409011300,[1]PlanCuentas!$A$2:$A$6092,[1]PlanCuentas!AE$2:AE$6092)</f>
        <v>0</v>
      </c>
      <c r="P590" s="12">
        <f>LOOKUP(409012000,[1]PlanCuentas!$A$2:$A$6092,[1]PlanCuentas!AE$2:AE$6092)</f>
        <v>1428221814</v>
      </c>
      <c r="Q590" s="13">
        <f t="shared" si="28"/>
        <v>11559870593</v>
      </c>
    </row>
    <row r="591" spans="1:30" x14ac:dyDescent="0.2">
      <c r="A591" s="10">
        <v>30</v>
      </c>
      <c r="B591" s="11" t="str">
        <f>[1]Aseguradoras!B31</f>
        <v>Aseguradora Tajy Propiedad Cooperativa S.A. de Seguros</v>
      </c>
      <c r="C591" s="12">
        <f>LOOKUP(409010100,[1]PlanCuentas!$A$2:$A$6092,[1]PlanCuentas!AF$2:AF$6092)</f>
        <v>0</v>
      </c>
      <c r="D591" s="12">
        <f>LOOKUP(409010200,[1]PlanCuentas!$A$2:$A$6092,[1]PlanCuentas!AF$2:AF$6092)</f>
        <v>0</v>
      </c>
      <c r="E591" s="12">
        <f>LOOKUP(409010300,[1]PlanCuentas!$A$2:$A$6092,[1]PlanCuentas!AF$2:AF$6092)</f>
        <v>0</v>
      </c>
      <c r="F591" s="12">
        <f>LOOKUP(409010400,[1]PlanCuentas!$A$2:$A$6092,[1]PlanCuentas!AF$2:AF$6092)</f>
        <v>0</v>
      </c>
      <c r="G591" s="12">
        <f>LOOKUP(409010500,[1]PlanCuentas!$A$2:$A$6092,[1]PlanCuentas!AF$2:AF$6092)</f>
        <v>0</v>
      </c>
      <c r="H591" s="12">
        <f>LOOKUP(409010600,[1]PlanCuentas!$A$2:$A$6092,[1]PlanCuentas!AF$2:AF$6092)</f>
        <v>0</v>
      </c>
      <c r="I591" s="12">
        <f>LOOKUP(409010700,[1]PlanCuentas!$A$2:$A$6092,[1]PlanCuentas!AF$2:AF$6092)</f>
        <v>0</v>
      </c>
      <c r="J591" s="12">
        <f>LOOKUP(409010800,[1]PlanCuentas!$A$2:$A$6092,[1]PlanCuentas!AF$2:AF$6092)</f>
        <v>254096909</v>
      </c>
      <c r="K591" s="12">
        <f>LOOKUP(409010900,[1]PlanCuentas!$A$2:$A$6092,[1]PlanCuentas!AF$2:AF$6092)</f>
        <v>0</v>
      </c>
      <c r="L591" s="12">
        <f>LOOKUP(409011000,[1]PlanCuentas!$A$2:$A$6092,[1]PlanCuentas!AF$2:AF$6092)</f>
        <v>0</v>
      </c>
      <c r="M591" s="12">
        <f>LOOKUP(409011100,[1]PlanCuentas!$A$2:$A$6092,[1]PlanCuentas!AF$2:AF$6092)</f>
        <v>0</v>
      </c>
      <c r="N591" s="12">
        <f>LOOKUP(409011200,[1]PlanCuentas!$A$2:$A$6092,[1]PlanCuentas!AF$2:AF$6092)</f>
        <v>0</v>
      </c>
      <c r="O591" s="12">
        <f>LOOKUP(409011300,[1]PlanCuentas!$A$2:$A$6092,[1]PlanCuentas!AF$2:AF$6092)</f>
        <v>0</v>
      </c>
      <c r="P591" s="12">
        <f>LOOKUP(409012000,[1]PlanCuentas!$A$2:$A$6092,[1]PlanCuentas!AF$2:AF$6092)</f>
        <v>0</v>
      </c>
      <c r="Q591" s="13">
        <f t="shared" si="28"/>
        <v>254096909</v>
      </c>
    </row>
    <row r="592" spans="1:30" x14ac:dyDescent="0.2">
      <c r="A592" s="10">
        <v>31</v>
      </c>
      <c r="B592" s="11" t="str">
        <f>[1]Aseguradoras!B32</f>
        <v>Aseguradora del Sur S.A. Seguros Generales - ASUR</v>
      </c>
      <c r="C592" s="12">
        <f>LOOKUP(409010100,[1]PlanCuentas!$A$2:$A$6092,[1]PlanCuentas!AG$2:AG$6092)</f>
        <v>0</v>
      </c>
      <c r="D592" s="12">
        <f>LOOKUP(409010200,[1]PlanCuentas!$A$2:$A$6092,[1]PlanCuentas!AG$2:AG$6092)</f>
        <v>0</v>
      </c>
      <c r="E592" s="12">
        <f>LOOKUP(409010300,[1]PlanCuentas!$A$2:$A$6092,[1]PlanCuentas!AG$2:AG$6092)</f>
        <v>0</v>
      </c>
      <c r="F592" s="12">
        <f>LOOKUP(409010400,[1]PlanCuentas!$A$2:$A$6092,[1]PlanCuentas!AG$2:AG$6092)</f>
        <v>0</v>
      </c>
      <c r="G592" s="12">
        <f>LOOKUP(409010500,[1]PlanCuentas!$A$2:$A$6092,[1]PlanCuentas!AG$2:AG$6092)</f>
        <v>0</v>
      </c>
      <c r="H592" s="12">
        <f>LOOKUP(409010600,[1]PlanCuentas!$A$2:$A$6092,[1]PlanCuentas!AG$2:AG$6092)</f>
        <v>0</v>
      </c>
      <c r="I592" s="12">
        <f>LOOKUP(409010700,[1]PlanCuentas!$A$2:$A$6092,[1]PlanCuentas!AG$2:AG$6092)</f>
        <v>0</v>
      </c>
      <c r="J592" s="12">
        <f>LOOKUP(409010800,[1]PlanCuentas!$A$2:$A$6092,[1]PlanCuentas!AG$2:AG$6092)</f>
        <v>0</v>
      </c>
      <c r="K592" s="12">
        <f>LOOKUP(409010900,[1]PlanCuentas!$A$2:$A$6092,[1]PlanCuentas!AG$2:AG$6092)</f>
        <v>0</v>
      </c>
      <c r="L592" s="12">
        <f>LOOKUP(409011000,[1]PlanCuentas!$A$2:$A$6092,[1]PlanCuentas!AG$2:AG$6092)</f>
        <v>0</v>
      </c>
      <c r="M592" s="12">
        <f>LOOKUP(409011100,[1]PlanCuentas!$A$2:$A$6092,[1]PlanCuentas!AG$2:AG$6092)</f>
        <v>0</v>
      </c>
      <c r="N592" s="12">
        <f>LOOKUP(409011200,[1]PlanCuentas!$A$2:$A$6092,[1]PlanCuentas!AG$2:AG$6092)</f>
        <v>0</v>
      </c>
      <c r="O592" s="12">
        <f>LOOKUP(409011300,[1]PlanCuentas!$A$2:$A$6092,[1]PlanCuentas!AG$2:AG$6092)</f>
        <v>0</v>
      </c>
      <c r="P592" s="12">
        <f>LOOKUP(409012000,[1]PlanCuentas!$A$2:$A$6092,[1]PlanCuentas!AG$2:AG$6092)</f>
        <v>0</v>
      </c>
      <c r="Q592" s="13">
        <f t="shared" si="28"/>
        <v>0</v>
      </c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17" x14ac:dyDescent="0.2">
      <c r="A593" s="10">
        <v>32</v>
      </c>
      <c r="B593" s="11" t="str">
        <f>[1]Aseguradoras!B33</f>
        <v>Panal Compañía De Seguros Generales S.A.</v>
      </c>
      <c r="C593" s="12">
        <f>LOOKUP(409010100,[1]PlanCuentas!$A$2:$A$6092,[1]PlanCuentas!AH$2:AH$6092)</f>
        <v>0</v>
      </c>
      <c r="D593" s="12">
        <f>LOOKUP(409010200,[1]PlanCuentas!$A$2:$A$6092,[1]PlanCuentas!AH$2:AH$6092)</f>
        <v>0</v>
      </c>
      <c r="E593" s="12">
        <f>LOOKUP(409010300,[1]PlanCuentas!$A$2:$A$6092,[1]PlanCuentas!AH$2:AH$6092)</f>
        <v>0</v>
      </c>
      <c r="F593" s="12">
        <f>LOOKUP(409010400,[1]PlanCuentas!$A$2:$A$6092,[1]PlanCuentas!AH$2:AH$6092)</f>
        <v>0</v>
      </c>
      <c r="G593" s="12">
        <f>LOOKUP(409010500,[1]PlanCuentas!$A$2:$A$6092,[1]PlanCuentas!AH$2:AH$6092)</f>
        <v>0</v>
      </c>
      <c r="H593" s="12">
        <f>LOOKUP(409010600,[1]PlanCuentas!$A$2:$A$6092,[1]PlanCuentas!AH$2:AH$6092)</f>
        <v>0</v>
      </c>
      <c r="I593" s="12">
        <f>LOOKUP(409010700,[1]PlanCuentas!$A$2:$A$6092,[1]PlanCuentas!AH$2:AH$6092)</f>
        <v>0</v>
      </c>
      <c r="J593" s="12">
        <f>LOOKUP(409010800,[1]PlanCuentas!$A$2:$A$6092,[1]PlanCuentas!AH$2:AH$6092)</f>
        <v>0</v>
      </c>
      <c r="K593" s="12">
        <f>LOOKUP(409010900,[1]PlanCuentas!$A$2:$A$6092,[1]PlanCuentas!AH$2:AH$6092)</f>
        <v>0</v>
      </c>
      <c r="L593" s="12">
        <f>LOOKUP(409011000,[1]PlanCuentas!$A$2:$A$6092,[1]PlanCuentas!AH$2:AH$6092)</f>
        <v>0</v>
      </c>
      <c r="M593" s="12">
        <f>LOOKUP(409011100,[1]PlanCuentas!$A$2:$A$6092,[1]PlanCuentas!AH$2:AH$6092)</f>
        <v>0</v>
      </c>
      <c r="N593" s="12">
        <f>LOOKUP(409011200,[1]PlanCuentas!$A$2:$A$6092,[1]PlanCuentas!AH$2:AH$6092)</f>
        <v>0</v>
      </c>
      <c r="O593" s="12">
        <f>LOOKUP(409011300,[1]PlanCuentas!$A$2:$A$6092,[1]PlanCuentas!AH$2:AH$6092)</f>
        <v>0</v>
      </c>
      <c r="P593" s="12">
        <f>LOOKUP(409012000,[1]PlanCuentas!$A$2:$A$6092,[1]PlanCuentas!AH$2:AH$6092)</f>
        <v>0</v>
      </c>
      <c r="Q593" s="13">
        <f t="shared" si="28"/>
        <v>0</v>
      </c>
    </row>
    <row r="594" spans="1:17" x14ac:dyDescent="0.2">
      <c r="A594" s="14">
        <v>33</v>
      </c>
      <c r="B594" s="19" t="str">
        <f>[1]Aseguradoras!B34</f>
        <v>Sancor Seguros del Paraguay S.A.</v>
      </c>
      <c r="C594" s="12">
        <f>LOOKUP(409010100,[1]PlanCuentas!$A$2:$A$6092,[1]PlanCuentas!AI$2:AI$6092)</f>
        <v>988072</v>
      </c>
      <c r="D594" s="12">
        <f>LOOKUP(409010200,[1]PlanCuentas!$A$2:$A$6092,[1]PlanCuentas!AI$2:AI$6092)</f>
        <v>0</v>
      </c>
      <c r="E594" s="12">
        <f>LOOKUP(409010300,[1]PlanCuentas!$A$2:$A$6092,[1]PlanCuentas!AI$2:AI$6092)</f>
        <v>0</v>
      </c>
      <c r="F594" s="12">
        <f>LOOKUP(409010400,[1]PlanCuentas!$A$2:$A$6092,[1]PlanCuentas!AI$2:AI$6092)</f>
        <v>0</v>
      </c>
      <c r="G594" s="12">
        <f>LOOKUP(409010500,[1]PlanCuentas!$A$2:$A$6092,[1]PlanCuentas!AI$2:AI$6092)</f>
        <v>0</v>
      </c>
      <c r="H594" s="12">
        <f>LOOKUP(409010600,[1]PlanCuentas!$A$2:$A$6092,[1]PlanCuentas!AI$2:AI$6092)</f>
        <v>0</v>
      </c>
      <c r="I594" s="12">
        <f>LOOKUP(409010700,[1]PlanCuentas!$A$2:$A$6092,[1]PlanCuentas!AI$2:AI$6092)</f>
        <v>0</v>
      </c>
      <c r="J594" s="12">
        <f>LOOKUP(409010800,[1]PlanCuentas!$A$2:$A$6092,[1]PlanCuentas!AI$2:AI$6092)</f>
        <v>6131028869</v>
      </c>
      <c r="K594" s="12">
        <f>LOOKUP(409010900,[1]PlanCuentas!$A$2:$A$6092,[1]PlanCuentas!AI$2:AI$6092)</f>
        <v>1844000</v>
      </c>
      <c r="L594" s="12">
        <f>LOOKUP(409011000,[1]PlanCuentas!$A$2:$A$6092,[1]PlanCuentas!AI$2:AI$6092)</f>
        <v>0</v>
      </c>
      <c r="M594" s="12">
        <f>LOOKUP(409011100,[1]PlanCuentas!$A$2:$A$6092,[1]PlanCuentas!AI$2:AI$6092)</f>
        <v>0</v>
      </c>
      <c r="N594" s="12">
        <f>LOOKUP(409011200,[1]PlanCuentas!$A$2:$A$6092,[1]PlanCuentas!AI$2:AI$6092)</f>
        <v>0</v>
      </c>
      <c r="O594" s="12">
        <f>LOOKUP(409011300,[1]PlanCuentas!$A$2:$A$6092,[1]PlanCuentas!AI$2:AI$6092)</f>
        <v>0</v>
      </c>
      <c r="P594" s="12">
        <f>LOOKUP(409012000,[1]PlanCuentas!$A$2:$A$6092,[1]PlanCuentas!AI$2:AI$6092)</f>
        <v>33136460</v>
      </c>
      <c r="Q594" s="13">
        <f>SUM(C594:P594)</f>
        <v>6166997401</v>
      </c>
    </row>
    <row r="595" spans="1:17" x14ac:dyDescent="0.2">
      <c r="A595" s="14"/>
      <c r="B595" s="15" t="s">
        <v>18</v>
      </c>
      <c r="C595" s="17">
        <f t="shared" ref="C595:Q595" si="29">SUBTOTAL(109,C562:C594)</f>
        <v>20793369280</v>
      </c>
      <c r="D595" s="17">
        <f t="shared" si="29"/>
        <v>3451644414</v>
      </c>
      <c r="E595" s="17">
        <f t="shared" si="29"/>
        <v>118838496</v>
      </c>
      <c r="F595" s="17">
        <f t="shared" si="29"/>
        <v>12693438353</v>
      </c>
      <c r="G595" s="17">
        <f t="shared" si="29"/>
        <v>0</v>
      </c>
      <c r="H595" s="17">
        <f t="shared" si="29"/>
        <v>1428520257</v>
      </c>
      <c r="I595" s="17">
        <f t="shared" si="29"/>
        <v>43050620</v>
      </c>
      <c r="J595" s="17">
        <f t="shared" si="29"/>
        <v>37595861036</v>
      </c>
      <c r="K595" s="17">
        <f t="shared" si="29"/>
        <v>2184397172</v>
      </c>
      <c r="L595" s="17">
        <f t="shared" si="29"/>
        <v>1630478776</v>
      </c>
      <c r="M595" s="17">
        <f t="shared" si="29"/>
        <v>6572385</v>
      </c>
      <c r="N595" s="17">
        <f t="shared" si="29"/>
        <v>1585669793</v>
      </c>
      <c r="O595" s="17">
        <f t="shared" si="29"/>
        <v>231864203</v>
      </c>
      <c r="P595" s="17">
        <f t="shared" si="29"/>
        <v>12921231555</v>
      </c>
      <c r="Q595" s="17">
        <f t="shared" si="29"/>
        <v>94684936340</v>
      </c>
    </row>
    <row r="596" spans="1:17" x14ac:dyDescent="0.2"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</row>
    <row r="597" spans="1:17" ht="28.35" customHeight="1" x14ac:dyDescent="0.2">
      <c r="A597" s="1" t="s">
        <v>41</v>
      </c>
      <c r="B597" s="47" t="s">
        <v>43</v>
      </c>
      <c r="C597" s="47"/>
      <c r="D597" s="2"/>
      <c r="E597" s="3"/>
      <c r="F597" s="4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</row>
    <row r="598" spans="1:17" ht="24" x14ac:dyDescent="0.2">
      <c r="A598" s="7" t="s">
        <v>2</v>
      </c>
      <c r="B598" s="8" t="s">
        <v>3</v>
      </c>
      <c r="C598" s="9" t="s">
        <v>4</v>
      </c>
      <c r="D598" s="9" t="s">
        <v>5</v>
      </c>
      <c r="E598" s="9" t="s">
        <v>6</v>
      </c>
      <c r="F598" s="36" t="s">
        <v>7</v>
      </c>
      <c r="G598" s="9" t="s">
        <v>8</v>
      </c>
      <c r="H598" s="9" t="s">
        <v>9</v>
      </c>
      <c r="I598" s="9" t="s">
        <v>10</v>
      </c>
      <c r="J598" s="9" t="s">
        <v>11</v>
      </c>
      <c r="K598" s="9" t="s">
        <v>12</v>
      </c>
      <c r="L598" s="9" t="s">
        <v>13</v>
      </c>
      <c r="M598" s="9" t="s">
        <v>14</v>
      </c>
      <c r="N598" s="9" t="s">
        <v>15</v>
      </c>
      <c r="O598" s="9" t="s">
        <v>16</v>
      </c>
      <c r="P598" s="8" t="s">
        <v>17</v>
      </c>
      <c r="Q598" s="8" t="s">
        <v>18</v>
      </c>
    </row>
    <row r="599" spans="1:17" x14ac:dyDescent="0.2">
      <c r="A599" s="10">
        <v>1</v>
      </c>
      <c r="B599" s="11" t="str">
        <f>[1]Aseguradoras!B2</f>
        <v>El Comercio Paraguayo S.A. de Seguros</v>
      </c>
      <c r="C599" s="12">
        <f>LOOKUP(409020100,[1]PlanCuentas!$A$2:$A$6092,[1]PlanCuentas!C$2:C$6092)</f>
        <v>0</v>
      </c>
      <c r="D599" s="12">
        <f>LOOKUP(409020200,[1]PlanCuentas!$A$2:$A$6092,[1]PlanCuentas!C$2:C$6092)</f>
        <v>0</v>
      </c>
      <c r="E599" s="12">
        <f>LOOKUP(409020300,[1]PlanCuentas!$A$2:$A$6092,[1]PlanCuentas!C$2:C$6092)</f>
        <v>0</v>
      </c>
      <c r="F599" s="12">
        <f>LOOKUP(409020400,[1]PlanCuentas!$A$2:$A$6092,[1]PlanCuentas!C$2:C$6092)</f>
        <v>0</v>
      </c>
      <c r="G599" s="12">
        <f>LOOKUP(409020500,[1]PlanCuentas!$A$2:$A$6092,[1]PlanCuentas!C$2:C$6092)</f>
        <v>0</v>
      </c>
      <c r="H599" s="12">
        <f>LOOKUP(409020600,[1]PlanCuentas!$A$2:$A$6092,[1]PlanCuentas!C$2:C$6092)</f>
        <v>0</v>
      </c>
      <c r="I599" s="12">
        <f>LOOKUP(409020700,[1]PlanCuentas!$A$2:$A$6092,[1]PlanCuentas!C$2:C$6092)</f>
        <v>0</v>
      </c>
      <c r="J599" s="12">
        <f>LOOKUP(409020800,[1]PlanCuentas!$A$2:$A$6092,[1]PlanCuentas!C$2:C$6092)</f>
        <v>0</v>
      </c>
      <c r="K599" s="12">
        <f>LOOKUP(409020900,[1]PlanCuentas!$A$2:$A$6092,[1]PlanCuentas!C$2:C$6092)</f>
        <v>0</v>
      </c>
      <c r="L599" s="12">
        <f>LOOKUP(409021000,[1]PlanCuentas!$A$2:$A$6092,[1]PlanCuentas!C$2:C$6092)</f>
        <v>0</v>
      </c>
      <c r="M599" s="12">
        <f>LOOKUP(409021100,[1]PlanCuentas!$A$2:$A$6092,[1]PlanCuentas!C$2:C$6092)</f>
        <v>0</v>
      </c>
      <c r="N599" s="12">
        <f>LOOKUP(409021200,[1]PlanCuentas!$A$2:$A$6092,[1]PlanCuentas!C$2:C$6092)</f>
        <v>0</v>
      </c>
      <c r="O599" s="12">
        <f>LOOKUP(409021300,[1]PlanCuentas!$A$2:$A$6092,[1]PlanCuentas!C$2:C$6092)</f>
        <v>0</v>
      </c>
      <c r="P599" s="12">
        <f>LOOKUP(409022000,[1]PlanCuentas!$A$2:$A$6092,[1]PlanCuentas!C$2:C$6092)</f>
        <v>0</v>
      </c>
      <c r="Q599" s="13">
        <f t="shared" ref="Q599:Q630" si="30">SUM(C599:P599)</f>
        <v>0</v>
      </c>
    </row>
    <row r="600" spans="1:17" x14ac:dyDescent="0.2">
      <c r="A600" s="10">
        <v>2</v>
      </c>
      <c r="B600" s="11" t="str">
        <f>[1]Aseguradoras!B3</f>
        <v>La Rural S.A de Seguros</v>
      </c>
      <c r="C600" s="12">
        <f>LOOKUP(409020100,[1]PlanCuentas!$A$2:$A$6092,[1]PlanCuentas!D$2:D$6092)</f>
        <v>22493309</v>
      </c>
      <c r="D600" s="12">
        <f>LOOKUP(409020200,[1]PlanCuentas!$A$2:$A$6092,[1]PlanCuentas!D$2:D$6092)</f>
        <v>0</v>
      </c>
      <c r="E600" s="12">
        <f>LOOKUP(409020300,[1]PlanCuentas!$A$2:$A$6092,[1]PlanCuentas!D$2:D$6092)</f>
        <v>0</v>
      </c>
      <c r="F600" s="12">
        <f>LOOKUP(409020400,[1]PlanCuentas!$A$2:$A$6092,[1]PlanCuentas!D$2:D$6092)</f>
        <v>666570462</v>
      </c>
      <c r="G600" s="12">
        <f>LOOKUP(409020500,[1]PlanCuentas!$A$2:$A$6092,[1]PlanCuentas!D$2:D$6092)</f>
        <v>0</v>
      </c>
      <c r="H600" s="12">
        <f>LOOKUP(409020600,[1]PlanCuentas!$A$2:$A$6092,[1]PlanCuentas!D$2:D$6092)</f>
        <v>128088904</v>
      </c>
      <c r="I600" s="12">
        <f>LOOKUP(409020700,[1]PlanCuentas!$A$2:$A$6092,[1]PlanCuentas!D$2:D$6092)</f>
        <v>0</v>
      </c>
      <c r="J600" s="12">
        <f>LOOKUP(409020800,[1]PlanCuentas!$A$2:$A$6092,[1]PlanCuentas!D$2:D$6092)</f>
        <v>0</v>
      </c>
      <c r="K600" s="12">
        <f>LOOKUP(409020900,[1]PlanCuentas!$A$2:$A$6092,[1]PlanCuentas!D$2:D$6092)</f>
        <v>0</v>
      </c>
      <c r="L600" s="12">
        <f>LOOKUP(409021000,[1]PlanCuentas!$A$2:$A$6092,[1]PlanCuentas!D$2:D$6092)</f>
        <v>0</v>
      </c>
      <c r="M600" s="12">
        <f>LOOKUP(409021100,[1]PlanCuentas!$A$2:$A$6092,[1]PlanCuentas!D$2:D$6092)</f>
        <v>0</v>
      </c>
      <c r="N600" s="12">
        <f>LOOKUP(409021200,[1]PlanCuentas!$A$2:$A$6092,[1]PlanCuentas!D$2:D$6092)</f>
        <v>0</v>
      </c>
      <c r="O600" s="12">
        <f>LOOKUP(409021300,[1]PlanCuentas!$A$2:$A$6092,[1]PlanCuentas!D$2:D$6092)</f>
        <v>259500000</v>
      </c>
      <c r="P600" s="12">
        <f>LOOKUP(409022000,[1]PlanCuentas!$A$2:$A$6092,[1]PlanCuentas!D$2:D$6092)</f>
        <v>0</v>
      </c>
      <c r="Q600" s="13">
        <f t="shared" si="30"/>
        <v>1076652675</v>
      </c>
    </row>
    <row r="601" spans="1:17" x14ac:dyDescent="0.2">
      <c r="A601" s="10">
        <v>3</v>
      </c>
      <c r="B601" s="11" t="str">
        <f>[1]Aseguradoras!B4</f>
        <v>La Paraguaya S.A de Seguros</v>
      </c>
      <c r="C601" s="12">
        <f>LOOKUP(409020100,[1]PlanCuentas!$A$2:$A$6092,[1]PlanCuentas!E$2:E$6092)</f>
        <v>0</v>
      </c>
      <c r="D601" s="12">
        <f>LOOKUP(409020200,[1]PlanCuentas!$A$2:$A$6092,[1]PlanCuentas!E$2:E$6092)</f>
        <v>0</v>
      </c>
      <c r="E601" s="12">
        <f>LOOKUP(409020300,[1]PlanCuentas!$A$2:$A$6092,[1]PlanCuentas!E$2:E$6092)</f>
        <v>0</v>
      </c>
      <c r="F601" s="12">
        <f>LOOKUP(409020400,[1]PlanCuentas!$A$2:$A$6092,[1]PlanCuentas!E$2:E$6092)</f>
        <v>0</v>
      </c>
      <c r="G601" s="12">
        <f>LOOKUP(409020500,[1]PlanCuentas!$A$2:$A$6092,[1]PlanCuentas!E$2:E$6092)</f>
        <v>0</v>
      </c>
      <c r="H601" s="12">
        <f>LOOKUP(409020600,[1]PlanCuentas!$A$2:$A$6092,[1]PlanCuentas!E$2:E$6092)</f>
        <v>0</v>
      </c>
      <c r="I601" s="12">
        <f>LOOKUP(409020700,[1]PlanCuentas!$A$2:$A$6092,[1]PlanCuentas!E$2:E$6092)</f>
        <v>0</v>
      </c>
      <c r="J601" s="12">
        <f>LOOKUP(409020800,[1]PlanCuentas!$A$2:$A$6092,[1]PlanCuentas!E$2:E$6092)</f>
        <v>0</v>
      </c>
      <c r="K601" s="12">
        <f>LOOKUP(409020900,[1]PlanCuentas!$A$2:$A$6092,[1]PlanCuentas!E$2:E$6092)</f>
        <v>0</v>
      </c>
      <c r="L601" s="12">
        <f>LOOKUP(409021000,[1]PlanCuentas!$A$2:$A$6092,[1]PlanCuentas!E$2:E$6092)</f>
        <v>0</v>
      </c>
      <c r="M601" s="12">
        <f>LOOKUP(409021100,[1]PlanCuentas!$A$2:$A$6092,[1]PlanCuentas!E$2:E$6092)</f>
        <v>0</v>
      </c>
      <c r="N601" s="12">
        <f>LOOKUP(409021200,[1]PlanCuentas!$A$2:$A$6092,[1]PlanCuentas!E$2:E$6092)</f>
        <v>0</v>
      </c>
      <c r="O601" s="12">
        <f>LOOKUP(409021300,[1]PlanCuentas!$A$2:$A$6092,[1]PlanCuentas!E$2:E$6092)</f>
        <v>0</v>
      </c>
      <c r="P601" s="12">
        <f>LOOKUP(409022000,[1]PlanCuentas!$A$2:$A$6092,[1]PlanCuentas!E$2:E$6092)</f>
        <v>0</v>
      </c>
      <c r="Q601" s="13">
        <f t="shared" si="30"/>
        <v>0</v>
      </c>
    </row>
    <row r="602" spans="1:17" x14ac:dyDescent="0.2">
      <c r="A602" s="10">
        <v>4</v>
      </c>
      <c r="B602" s="11" t="str">
        <f>[1]Aseguradoras!B5</f>
        <v>Seguros Generales S. A (SEGESA)</v>
      </c>
      <c r="C602" s="12">
        <f>LOOKUP(409020100,[1]PlanCuentas!$A$2:$A$6092,[1]PlanCuentas!F$2:F$6092)</f>
        <v>0</v>
      </c>
      <c r="D602" s="12">
        <f>LOOKUP(409020200,[1]PlanCuentas!$A$2:$A$6092,[1]PlanCuentas!F$2:F$6092)</f>
        <v>0</v>
      </c>
      <c r="E602" s="12">
        <f>LOOKUP(409020300,[1]PlanCuentas!$A$2:$A$6092,[1]PlanCuentas!F$2:F$6092)</f>
        <v>0</v>
      </c>
      <c r="F602" s="12">
        <f>LOOKUP(409020400,[1]PlanCuentas!$A$2:$A$6092,[1]PlanCuentas!F$2:F$6092)</f>
        <v>0</v>
      </c>
      <c r="G602" s="12">
        <f>LOOKUP(409020500,[1]PlanCuentas!$A$2:$A$6092,[1]PlanCuentas!F$2:F$6092)</f>
        <v>0</v>
      </c>
      <c r="H602" s="12">
        <f>LOOKUP(409020600,[1]PlanCuentas!$A$2:$A$6092,[1]PlanCuentas!F$2:F$6092)</f>
        <v>0</v>
      </c>
      <c r="I602" s="12">
        <f>LOOKUP(409020700,[1]PlanCuentas!$A$2:$A$6092,[1]PlanCuentas!F$2:F$6092)</f>
        <v>0</v>
      </c>
      <c r="J602" s="12">
        <f>LOOKUP(409020800,[1]PlanCuentas!$A$2:$A$6092,[1]PlanCuentas!F$2:F$6092)</f>
        <v>0</v>
      </c>
      <c r="K602" s="12">
        <f>LOOKUP(409020900,[1]PlanCuentas!$A$2:$A$6092,[1]PlanCuentas!F$2:F$6092)</f>
        <v>0</v>
      </c>
      <c r="L602" s="12">
        <f>LOOKUP(409021000,[1]PlanCuentas!$A$2:$A$6092,[1]PlanCuentas!F$2:F$6092)</f>
        <v>0</v>
      </c>
      <c r="M602" s="12">
        <f>LOOKUP(409021100,[1]PlanCuentas!$A$2:$A$6092,[1]PlanCuentas!F$2:F$6092)</f>
        <v>0</v>
      </c>
      <c r="N602" s="12">
        <f>LOOKUP(409021200,[1]PlanCuentas!$A$2:$A$6092,[1]PlanCuentas!F$2:F$6092)</f>
        <v>0</v>
      </c>
      <c r="O602" s="12">
        <f>LOOKUP(409021300,[1]PlanCuentas!$A$2:$A$6092,[1]PlanCuentas!F$2:F$6092)</f>
        <v>0</v>
      </c>
      <c r="P602" s="12">
        <f>LOOKUP(409022000,[1]PlanCuentas!$A$2:$A$6092,[1]PlanCuentas!F$2:F$6092)</f>
        <v>0</v>
      </c>
      <c r="Q602" s="13">
        <f t="shared" si="30"/>
        <v>0</v>
      </c>
    </row>
    <row r="603" spans="1:17" x14ac:dyDescent="0.2">
      <c r="A603" s="10">
        <v>5</v>
      </c>
      <c r="B603" s="11" t="str">
        <f>[1]Aseguradoras!B6</f>
        <v>Rumbos S.A de Seguros</v>
      </c>
      <c r="C603" s="12">
        <f>LOOKUP(409020100,[1]PlanCuentas!$A$2:$A$6092,[1]PlanCuentas!G$2:G$6092)</f>
        <v>0</v>
      </c>
      <c r="D603" s="12">
        <f>LOOKUP(409020200,[1]PlanCuentas!$A$2:$A$6092,[1]PlanCuentas!G$2:G$6092)</f>
        <v>0</v>
      </c>
      <c r="E603" s="12">
        <f>LOOKUP(409020300,[1]PlanCuentas!$A$2:$A$6092,[1]PlanCuentas!G$2:G$6092)</f>
        <v>0</v>
      </c>
      <c r="F603" s="12">
        <f>LOOKUP(409020400,[1]PlanCuentas!$A$2:$A$6092,[1]PlanCuentas!G$2:G$6092)</f>
        <v>0</v>
      </c>
      <c r="G603" s="12">
        <f>LOOKUP(409020500,[1]PlanCuentas!$A$2:$A$6092,[1]PlanCuentas!G$2:G$6092)</f>
        <v>0</v>
      </c>
      <c r="H603" s="12">
        <f>LOOKUP(409020600,[1]PlanCuentas!$A$2:$A$6092,[1]PlanCuentas!G$2:G$6092)</f>
        <v>0</v>
      </c>
      <c r="I603" s="12">
        <f>LOOKUP(409020700,[1]PlanCuentas!$A$2:$A$6092,[1]PlanCuentas!G$2:G$6092)</f>
        <v>0</v>
      </c>
      <c r="J603" s="12">
        <f>LOOKUP(409020800,[1]PlanCuentas!$A$2:$A$6092,[1]PlanCuentas!G$2:G$6092)</f>
        <v>0</v>
      </c>
      <c r="K603" s="12">
        <f>LOOKUP(409020900,[1]PlanCuentas!$A$2:$A$6092,[1]PlanCuentas!G$2:G$6092)</f>
        <v>0</v>
      </c>
      <c r="L603" s="12">
        <f>LOOKUP(409021000,[1]PlanCuentas!$A$2:$A$6092,[1]PlanCuentas!G$2:G$6092)</f>
        <v>0</v>
      </c>
      <c r="M603" s="12">
        <f>LOOKUP(409021100,[1]PlanCuentas!$A$2:$A$6092,[1]PlanCuentas!G$2:G$6092)</f>
        <v>0</v>
      </c>
      <c r="N603" s="12">
        <f>LOOKUP(409021200,[1]PlanCuentas!$A$2:$A$6092,[1]PlanCuentas!G$2:G$6092)</f>
        <v>0</v>
      </c>
      <c r="O603" s="12">
        <f>LOOKUP(409021300,[1]PlanCuentas!$A$2:$A$6092,[1]PlanCuentas!G$2:G$6092)</f>
        <v>0</v>
      </c>
      <c r="P603" s="12">
        <f>LOOKUP(409022000,[1]PlanCuentas!$A$2:$A$6092,[1]PlanCuentas!G$2:G$6092)</f>
        <v>0</v>
      </c>
      <c r="Q603" s="13">
        <f t="shared" si="30"/>
        <v>0</v>
      </c>
    </row>
    <row r="604" spans="1:17" x14ac:dyDescent="0.2">
      <c r="A604" s="10">
        <v>6</v>
      </c>
      <c r="B604" s="11" t="str">
        <f>[1]Aseguradoras!B7</f>
        <v>La Consolidada S.A de Seguros</v>
      </c>
      <c r="C604" s="12">
        <f>LOOKUP(409020100,[1]PlanCuentas!$A$2:$A$6092,[1]PlanCuentas!H$2:H$6092)</f>
        <v>0</v>
      </c>
      <c r="D604" s="12">
        <f>LOOKUP(409020200,[1]PlanCuentas!$A$2:$A$6092,[1]PlanCuentas!H$2:H$6092)</f>
        <v>0</v>
      </c>
      <c r="E604" s="12">
        <f>LOOKUP(409020300,[1]PlanCuentas!$A$2:$A$6092,[1]PlanCuentas!H$2:H$6092)</f>
        <v>0</v>
      </c>
      <c r="F604" s="12">
        <f>LOOKUP(409020400,[1]PlanCuentas!$A$2:$A$6092,[1]PlanCuentas!H$2:H$6092)</f>
        <v>0</v>
      </c>
      <c r="G604" s="12">
        <f>LOOKUP(409020500,[1]PlanCuentas!$A$2:$A$6092,[1]PlanCuentas!H$2:H$6092)</f>
        <v>0</v>
      </c>
      <c r="H604" s="12">
        <f>LOOKUP(409020600,[1]PlanCuentas!$A$2:$A$6092,[1]PlanCuentas!H$2:H$6092)</f>
        <v>0</v>
      </c>
      <c r="I604" s="12">
        <f>LOOKUP(409020700,[1]PlanCuentas!$A$2:$A$6092,[1]PlanCuentas!H$2:H$6092)</f>
        <v>0</v>
      </c>
      <c r="J604" s="12">
        <f>LOOKUP(409020800,[1]PlanCuentas!$A$2:$A$6092,[1]PlanCuentas!H$2:H$6092)</f>
        <v>0</v>
      </c>
      <c r="K604" s="12">
        <f>LOOKUP(409020900,[1]PlanCuentas!$A$2:$A$6092,[1]PlanCuentas!H$2:H$6092)</f>
        <v>0</v>
      </c>
      <c r="L604" s="12">
        <f>LOOKUP(409021000,[1]PlanCuentas!$A$2:$A$6092,[1]PlanCuentas!H$2:H$6092)</f>
        <v>0</v>
      </c>
      <c r="M604" s="12">
        <f>LOOKUP(409021100,[1]PlanCuentas!$A$2:$A$6092,[1]PlanCuentas!H$2:H$6092)</f>
        <v>0</v>
      </c>
      <c r="N604" s="12">
        <f>LOOKUP(409021200,[1]PlanCuentas!$A$2:$A$6092,[1]PlanCuentas!H$2:H$6092)</f>
        <v>0</v>
      </c>
      <c r="O604" s="12">
        <f>LOOKUP(409021300,[1]PlanCuentas!$A$2:$A$6092,[1]PlanCuentas!H$2:H$6092)</f>
        <v>0</v>
      </c>
      <c r="P604" s="12">
        <f>LOOKUP(409022000,[1]PlanCuentas!$A$2:$A$6092,[1]PlanCuentas!H$2:H$6092)</f>
        <v>0</v>
      </c>
      <c r="Q604" s="13">
        <f t="shared" si="30"/>
        <v>0</v>
      </c>
    </row>
    <row r="605" spans="1:17" x14ac:dyDescent="0.2">
      <c r="A605" s="10">
        <v>7</v>
      </c>
      <c r="B605" s="11" t="str">
        <f>[1]Aseguradoras!B8</f>
        <v>El Productor S.A de Seguros y Reaseguros</v>
      </c>
      <c r="C605" s="12">
        <f>LOOKUP(409020100,[1]PlanCuentas!$A$2:$A$6092,[1]PlanCuentas!I$2:I$6092)</f>
        <v>0</v>
      </c>
      <c r="D605" s="12">
        <f>LOOKUP(409020200,[1]PlanCuentas!$A$2:$A$6092,[1]PlanCuentas!I$2:I$6092)</f>
        <v>0</v>
      </c>
      <c r="E605" s="12">
        <f>LOOKUP(409020300,[1]PlanCuentas!$A$2:$A$6092,[1]PlanCuentas!I$2:I$6092)</f>
        <v>0</v>
      </c>
      <c r="F605" s="12">
        <f>LOOKUP(409020400,[1]PlanCuentas!$A$2:$A$6092,[1]PlanCuentas!I$2:I$6092)</f>
        <v>0</v>
      </c>
      <c r="G605" s="12">
        <f>LOOKUP(409020500,[1]PlanCuentas!$A$2:$A$6092,[1]PlanCuentas!I$2:I$6092)</f>
        <v>0</v>
      </c>
      <c r="H605" s="12">
        <f>LOOKUP(409020600,[1]PlanCuentas!$A$2:$A$6092,[1]PlanCuentas!I$2:I$6092)</f>
        <v>0</v>
      </c>
      <c r="I605" s="12">
        <f>LOOKUP(409020700,[1]PlanCuentas!$A$2:$A$6092,[1]PlanCuentas!I$2:I$6092)</f>
        <v>0</v>
      </c>
      <c r="J605" s="12">
        <f>LOOKUP(409020800,[1]PlanCuentas!$A$2:$A$6092,[1]PlanCuentas!I$2:I$6092)</f>
        <v>0</v>
      </c>
      <c r="K605" s="12">
        <f>LOOKUP(409020900,[1]PlanCuentas!$A$2:$A$6092,[1]PlanCuentas!I$2:I$6092)</f>
        <v>0</v>
      </c>
      <c r="L605" s="12">
        <f>LOOKUP(409021000,[1]PlanCuentas!$A$2:$A$6092,[1]PlanCuentas!I$2:I$6092)</f>
        <v>0</v>
      </c>
      <c r="M605" s="12">
        <f>LOOKUP(409021100,[1]PlanCuentas!$A$2:$A$6092,[1]PlanCuentas!I$2:I$6092)</f>
        <v>0</v>
      </c>
      <c r="N605" s="12">
        <f>LOOKUP(409021200,[1]PlanCuentas!$A$2:$A$6092,[1]PlanCuentas!I$2:I$6092)</f>
        <v>0</v>
      </c>
      <c r="O605" s="12">
        <f>LOOKUP(409021300,[1]PlanCuentas!$A$2:$A$6092,[1]PlanCuentas!I$2:I$6092)</f>
        <v>0</v>
      </c>
      <c r="P605" s="12">
        <f>LOOKUP(409022000,[1]PlanCuentas!$A$2:$A$6092,[1]PlanCuentas!I$2:I$6092)</f>
        <v>0</v>
      </c>
      <c r="Q605" s="13">
        <f t="shared" si="30"/>
        <v>0</v>
      </c>
    </row>
    <row r="606" spans="1:17" x14ac:dyDescent="0.2">
      <c r="A606" s="10">
        <v>8</v>
      </c>
      <c r="B606" s="11" t="str">
        <f>[1]Aseguradoras!B9</f>
        <v>Atalaya S.A de Seguros Generales</v>
      </c>
      <c r="C606" s="12">
        <f>LOOKUP(409020100,[1]PlanCuentas!$A$2:$A$6092,[1]PlanCuentas!J$2:J$6092)</f>
        <v>0</v>
      </c>
      <c r="D606" s="12">
        <f>LOOKUP(409020200,[1]PlanCuentas!$A$2:$A$6092,[1]PlanCuentas!J$2:J$6092)</f>
        <v>0</v>
      </c>
      <c r="E606" s="12">
        <f>LOOKUP(409020300,[1]PlanCuentas!$A$2:$A$6092,[1]PlanCuentas!J$2:J$6092)</f>
        <v>0</v>
      </c>
      <c r="F606" s="12">
        <f>LOOKUP(409020400,[1]PlanCuentas!$A$2:$A$6092,[1]PlanCuentas!J$2:J$6092)</f>
        <v>0</v>
      </c>
      <c r="G606" s="12">
        <f>LOOKUP(409020500,[1]PlanCuentas!$A$2:$A$6092,[1]PlanCuentas!J$2:J$6092)</f>
        <v>0</v>
      </c>
      <c r="H606" s="12">
        <f>LOOKUP(409020600,[1]PlanCuentas!$A$2:$A$6092,[1]PlanCuentas!J$2:J$6092)</f>
        <v>0</v>
      </c>
      <c r="I606" s="12">
        <f>LOOKUP(409020700,[1]PlanCuentas!$A$2:$A$6092,[1]PlanCuentas!J$2:J$6092)</f>
        <v>0</v>
      </c>
      <c r="J606" s="12">
        <f>LOOKUP(409020800,[1]PlanCuentas!$A$2:$A$6092,[1]PlanCuentas!J$2:J$6092)</f>
        <v>0</v>
      </c>
      <c r="K606" s="12">
        <f>LOOKUP(409020900,[1]PlanCuentas!$A$2:$A$6092,[1]PlanCuentas!J$2:J$6092)</f>
        <v>0</v>
      </c>
      <c r="L606" s="12">
        <f>LOOKUP(409021000,[1]PlanCuentas!$A$2:$A$6092,[1]PlanCuentas!J$2:J$6092)</f>
        <v>0</v>
      </c>
      <c r="M606" s="12">
        <f>LOOKUP(409021100,[1]PlanCuentas!$A$2:$A$6092,[1]PlanCuentas!J$2:J$6092)</f>
        <v>0</v>
      </c>
      <c r="N606" s="12">
        <f>LOOKUP(409021200,[1]PlanCuentas!$A$2:$A$6092,[1]PlanCuentas!J$2:J$6092)</f>
        <v>0</v>
      </c>
      <c r="O606" s="12">
        <f>LOOKUP(409021300,[1]PlanCuentas!$A$2:$A$6092,[1]PlanCuentas!J$2:J$6092)</f>
        <v>0</v>
      </c>
      <c r="P606" s="12">
        <f>LOOKUP(409022000,[1]PlanCuentas!$A$2:$A$6092,[1]PlanCuentas!J$2:J$6092)</f>
        <v>0</v>
      </c>
      <c r="Q606" s="13">
        <f t="shared" si="30"/>
        <v>0</v>
      </c>
    </row>
    <row r="607" spans="1:17" x14ac:dyDescent="0.2">
      <c r="A607" s="10">
        <v>9</v>
      </c>
      <c r="B607" s="11" t="str">
        <f>[1]Aseguradoras!B10</f>
        <v>La Independencia de Seguros S.A.</v>
      </c>
      <c r="C607" s="12">
        <f>LOOKUP(409020100,[1]PlanCuentas!$A$2:$A$6092,[1]PlanCuentas!K$2:K$6092)</f>
        <v>0</v>
      </c>
      <c r="D607" s="12">
        <f>LOOKUP(409020200,[1]PlanCuentas!$A$2:$A$6092,[1]PlanCuentas!K$2:K$6092)</f>
        <v>0</v>
      </c>
      <c r="E607" s="12">
        <f>LOOKUP(409020300,[1]PlanCuentas!$A$2:$A$6092,[1]PlanCuentas!K$2:K$6092)</f>
        <v>0</v>
      </c>
      <c r="F607" s="12">
        <f>LOOKUP(409020400,[1]PlanCuentas!$A$2:$A$6092,[1]PlanCuentas!K$2:K$6092)</f>
        <v>0</v>
      </c>
      <c r="G607" s="12">
        <f>LOOKUP(409020500,[1]PlanCuentas!$A$2:$A$6092,[1]PlanCuentas!K$2:K$6092)</f>
        <v>0</v>
      </c>
      <c r="H607" s="12">
        <f>LOOKUP(409020600,[1]PlanCuentas!$A$2:$A$6092,[1]PlanCuentas!K$2:K$6092)</f>
        <v>0</v>
      </c>
      <c r="I607" s="12">
        <f>LOOKUP(409020700,[1]PlanCuentas!$A$2:$A$6092,[1]PlanCuentas!K$2:K$6092)</f>
        <v>0</v>
      </c>
      <c r="J607" s="12">
        <f>LOOKUP(409020800,[1]PlanCuentas!$A$2:$A$6092,[1]PlanCuentas!K$2:K$6092)</f>
        <v>0</v>
      </c>
      <c r="K607" s="12">
        <f>LOOKUP(409020900,[1]PlanCuentas!$A$2:$A$6092,[1]PlanCuentas!K$2:K$6092)</f>
        <v>0</v>
      </c>
      <c r="L607" s="12">
        <f>LOOKUP(409021000,[1]PlanCuentas!$A$2:$A$6092,[1]PlanCuentas!K$2:K$6092)</f>
        <v>0</v>
      </c>
      <c r="M607" s="12">
        <f>LOOKUP(409021100,[1]PlanCuentas!$A$2:$A$6092,[1]PlanCuentas!K$2:K$6092)</f>
        <v>0</v>
      </c>
      <c r="N607" s="12">
        <f>LOOKUP(409021200,[1]PlanCuentas!$A$2:$A$6092,[1]PlanCuentas!K$2:K$6092)</f>
        <v>0</v>
      </c>
      <c r="O607" s="12">
        <f>LOOKUP(409021300,[1]PlanCuentas!$A$2:$A$6092,[1]PlanCuentas!K$2:K$6092)</f>
        <v>0</v>
      </c>
      <c r="P607" s="12">
        <f>LOOKUP(409022000,[1]PlanCuentas!$A$2:$A$6092,[1]PlanCuentas!K$2:K$6092)</f>
        <v>0</v>
      </c>
      <c r="Q607" s="13">
        <f t="shared" si="30"/>
        <v>0</v>
      </c>
    </row>
    <row r="608" spans="1:17" x14ac:dyDescent="0.2">
      <c r="A608" s="10">
        <v>10</v>
      </c>
      <c r="B608" s="11" t="str">
        <f>[1]Aseguradoras!B11</f>
        <v>Patria S.A de Seguros y Reaseguros</v>
      </c>
      <c r="C608" s="12">
        <f>LOOKUP(409020100,[1]PlanCuentas!$A$2:$A$6092,[1]PlanCuentas!L$2:L$6092)</f>
        <v>0</v>
      </c>
      <c r="D608" s="12">
        <f>LOOKUP(409020200,[1]PlanCuentas!$A$2:$A$6092,[1]PlanCuentas!L$2:L$6092)</f>
        <v>0</v>
      </c>
      <c r="E608" s="12">
        <f>LOOKUP(409020300,[1]PlanCuentas!$A$2:$A$6092,[1]PlanCuentas!L$2:L$6092)</f>
        <v>0</v>
      </c>
      <c r="F608" s="12">
        <f>LOOKUP(409020400,[1]PlanCuentas!$A$2:$A$6092,[1]PlanCuentas!L$2:L$6092)</f>
        <v>0</v>
      </c>
      <c r="G608" s="12">
        <f>LOOKUP(409020500,[1]PlanCuentas!$A$2:$A$6092,[1]PlanCuentas!L$2:L$6092)</f>
        <v>0</v>
      </c>
      <c r="H608" s="12">
        <f>LOOKUP(409020600,[1]PlanCuentas!$A$2:$A$6092,[1]PlanCuentas!L$2:L$6092)</f>
        <v>0</v>
      </c>
      <c r="I608" s="12">
        <f>LOOKUP(409020700,[1]PlanCuentas!$A$2:$A$6092,[1]PlanCuentas!L$2:L$6092)</f>
        <v>0</v>
      </c>
      <c r="J608" s="12">
        <f>LOOKUP(409020800,[1]PlanCuentas!$A$2:$A$6092,[1]PlanCuentas!L$2:L$6092)</f>
        <v>0</v>
      </c>
      <c r="K608" s="12">
        <f>LOOKUP(409020900,[1]PlanCuentas!$A$2:$A$6092,[1]PlanCuentas!L$2:L$6092)</f>
        <v>0</v>
      </c>
      <c r="L608" s="12">
        <f>LOOKUP(409021000,[1]PlanCuentas!$A$2:$A$6092,[1]PlanCuentas!L$2:L$6092)</f>
        <v>0</v>
      </c>
      <c r="M608" s="12">
        <f>LOOKUP(409021100,[1]PlanCuentas!$A$2:$A$6092,[1]PlanCuentas!L$2:L$6092)</f>
        <v>0</v>
      </c>
      <c r="N608" s="12">
        <f>LOOKUP(409021200,[1]PlanCuentas!$A$2:$A$6092,[1]PlanCuentas!L$2:L$6092)</f>
        <v>0</v>
      </c>
      <c r="O608" s="12">
        <f>LOOKUP(409021300,[1]PlanCuentas!$A$2:$A$6092,[1]PlanCuentas!L$2:L$6092)</f>
        <v>0</v>
      </c>
      <c r="P608" s="12">
        <f>LOOKUP(409022000,[1]PlanCuentas!$A$2:$A$6092,[1]PlanCuentas!L$2:L$6092)</f>
        <v>0</v>
      </c>
      <c r="Q608" s="13">
        <f t="shared" si="30"/>
        <v>0</v>
      </c>
    </row>
    <row r="609" spans="1:17" x14ac:dyDescent="0.2">
      <c r="A609" s="10">
        <v>11</v>
      </c>
      <c r="B609" s="11" t="str">
        <f>[1]Aseguradoras!B12</f>
        <v>Garantía S.A de Seguros y Reaseguros</v>
      </c>
      <c r="C609" s="12">
        <f>LOOKUP(409020100,[1]PlanCuentas!$A$2:$A$6092,[1]PlanCuentas!M$2:M$6092)</f>
        <v>0</v>
      </c>
      <c r="D609" s="12">
        <f>LOOKUP(409020200,[1]PlanCuentas!$A$2:$A$6092,[1]PlanCuentas!M$2:M$6092)</f>
        <v>0</v>
      </c>
      <c r="E609" s="12">
        <f>LOOKUP(409020300,[1]PlanCuentas!$A$2:$A$6092,[1]PlanCuentas!M$2:M$6092)</f>
        <v>0</v>
      </c>
      <c r="F609" s="12">
        <f>LOOKUP(409020400,[1]PlanCuentas!$A$2:$A$6092,[1]PlanCuentas!M$2:M$6092)</f>
        <v>0</v>
      </c>
      <c r="G609" s="12">
        <f>LOOKUP(409020500,[1]PlanCuentas!$A$2:$A$6092,[1]PlanCuentas!M$2:M$6092)</f>
        <v>0</v>
      </c>
      <c r="H609" s="12">
        <f>LOOKUP(409020600,[1]PlanCuentas!$A$2:$A$6092,[1]PlanCuentas!M$2:M$6092)</f>
        <v>0</v>
      </c>
      <c r="I609" s="12">
        <f>LOOKUP(409020700,[1]PlanCuentas!$A$2:$A$6092,[1]PlanCuentas!M$2:M$6092)</f>
        <v>0</v>
      </c>
      <c r="J609" s="12">
        <f>LOOKUP(409020800,[1]PlanCuentas!$A$2:$A$6092,[1]PlanCuentas!M$2:M$6092)</f>
        <v>0</v>
      </c>
      <c r="K609" s="12">
        <f>LOOKUP(409020900,[1]PlanCuentas!$A$2:$A$6092,[1]PlanCuentas!M$2:M$6092)</f>
        <v>0</v>
      </c>
      <c r="L609" s="12">
        <f>LOOKUP(409021000,[1]PlanCuentas!$A$2:$A$6092,[1]PlanCuentas!M$2:M$6092)</f>
        <v>0</v>
      </c>
      <c r="M609" s="12">
        <f>LOOKUP(409021100,[1]PlanCuentas!$A$2:$A$6092,[1]PlanCuentas!M$2:M$6092)</f>
        <v>0</v>
      </c>
      <c r="N609" s="12">
        <f>LOOKUP(409021200,[1]PlanCuentas!$A$2:$A$6092,[1]PlanCuentas!M$2:M$6092)</f>
        <v>0</v>
      </c>
      <c r="O609" s="12">
        <f>LOOKUP(409021300,[1]PlanCuentas!$A$2:$A$6092,[1]PlanCuentas!M$2:M$6092)</f>
        <v>0</v>
      </c>
      <c r="P609" s="12">
        <f>LOOKUP(409022000,[1]PlanCuentas!$A$2:$A$6092,[1]PlanCuentas!M$2:M$6092)</f>
        <v>0</v>
      </c>
      <c r="Q609" s="13">
        <f t="shared" si="30"/>
        <v>0</v>
      </c>
    </row>
    <row r="610" spans="1:17" x14ac:dyDescent="0.2">
      <c r="A610" s="10">
        <v>12</v>
      </c>
      <c r="B610" s="11" t="str">
        <f>[1]Aseguradoras!B13</f>
        <v>Aseguradora Paraguaya S.A.</v>
      </c>
      <c r="C610" s="12">
        <f>LOOKUP(409020100,[1]PlanCuentas!$A$2:$A$6092,[1]PlanCuentas!N$2:N$6092)</f>
        <v>0</v>
      </c>
      <c r="D610" s="12">
        <f>LOOKUP(409020200,[1]PlanCuentas!$A$2:$A$6092,[1]PlanCuentas!N$2:N$6092)</f>
        <v>0</v>
      </c>
      <c r="E610" s="12">
        <f>LOOKUP(409020300,[1]PlanCuentas!$A$2:$A$6092,[1]PlanCuentas!N$2:N$6092)</f>
        <v>0</v>
      </c>
      <c r="F610" s="12">
        <f>LOOKUP(409020400,[1]PlanCuentas!$A$2:$A$6092,[1]PlanCuentas!N$2:N$6092)</f>
        <v>40857127</v>
      </c>
      <c r="G610" s="12">
        <f>LOOKUP(409020500,[1]PlanCuentas!$A$2:$A$6092,[1]PlanCuentas!N$2:N$6092)</f>
        <v>0</v>
      </c>
      <c r="H610" s="12">
        <f>LOOKUP(409020600,[1]PlanCuentas!$A$2:$A$6092,[1]PlanCuentas!N$2:N$6092)</f>
        <v>0</v>
      </c>
      <c r="I610" s="12">
        <f>LOOKUP(409020700,[1]PlanCuentas!$A$2:$A$6092,[1]PlanCuentas!N$2:N$6092)</f>
        <v>0</v>
      </c>
      <c r="J610" s="12">
        <f>LOOKUP(409020800,[1]PlanCuentas!$A$2:$A$6092,[1]PlanCuentas!N$2:N$6092)</f>
        <v>0</v>
      </c>
      <c r="K610" s="12">
        <f>LOOKUP(409020900,[1]PlanCuentas!$A$2:$A$6092,[1]PlanCuentas!N$2:N$6092)</f>
        <v>28373890</v>
      </c>
      <c r="L610" s="12">
        <f>LOOKUP(409021000,[1]PlanCuentas!$A$2:$A$6092,[1]PlanCuentas!N$2:N$6092)</f>
        <v>0</v>
      </c>
      <c r="M610" s="12">
        <f>LOOKUP(409021100,[1]PlanCuentas!$A$2:$A$6092,[1]PlanCuentas!N$2:N$6092)</f>
        <v>0</v>
      </c>
      <c r="N610" s="12">
        <f>LOOKUP(409021200,[1]PlanCuentas!$A$2:$A$6092,[1]PlanCuentas!N$2:N$6092)</f>
        <v>0</v>
      </c>
      <c r="O610" s="12">
        <f>LOOKUP(409021300,[1]PlanCuentas!$A$2:$A$6092,[1]PlanCuentas!N$2:N$6092)</f>
        <v>0</v>
      </c>
      <c r="P610" s="12">
        <f>LOOKUP(409022000,[1]PlanCuentas!$A$2:$A$6092,[1]PlanCuentas!N$2:N$6092)</f>
        <v>0</v>
      </c>
      <c r="Q610" s="13">
        <f t="shared" si="30"/>
        <v>69231017</v>
      </c>
    </row>
    <row r="611" spans="1:17" x14ac:dyDescent="0.2">
      <c r="A611" s="10">
        <v>13</v>
      </c>
      <c r="B611" s="11" t="str">
        <f>[1]Aseguradoras!B14</f>
        <v>Fénix S.A de Seguros y Reaseguros</v>
      </c>
      <c r="C611" s="12">
        <f>LOOKUP(409020100,[1]PlanCuentas!$A$2:$A$6092,[1]PlanCuentas!O$2:O$6092)</f>
        <v>0</v>
      </c>
      <c r="D611" s="12">
        <f>LOOKUP(409020200,[1]PlanCuentas!$A$2:$A$6092,[1]PlanCuentas!O$2:O$6092)</f>
        <v>0</v>
      </c>
      <c r="E611" s="12">
        <f>LOOKUP(409020300,[1]PlanCuentas!$A$2:$A$6092,[1]PlanCuentas!O$2:O$6092)</f>
        <v>0</v>
      </c>
      <c r="F611" s="12">
        <f>LOOKUP(409020400,[1]PlanCuentas!$A$2:$A$6092,[1]PlanCuentas!O$2:O$6092)</f>
        <v>0</v>
      </c>
      <c r="G611" s="12">
        <f>LOOKUP(409020500,[1]PlanCuentas!$A$2:$A$6092,[1]PlanCuentas!O$2:O$6092)</f>
        <v>0</v>
      </c>
      <c r="H611" s="12">
        <f>LOOKUP(409020600,[1]PlanCuentas!$A$2:$A$6092,[1]PlanCuentas!O$2:O$6092)</f>
        <v>0</v>
      </c>
      <c r="I611" s="12">
        <f>LOOKUP(409020700,[1]PlanCuentas!$A$2:$A$6092,[1]PlanCuentas!O$2:O$6092)</f>
        <v>0</v>
      </c>
      <c r="J611" s="12">
        <f>LOOKUP(409020800,[1]PlanCuentas!$A$2:$A$6092,[1]PlanCuentas!O$2:O$6092)</f>
        <v>0</v>
      </c>
      <c r="K611" s="12">
        <f>LOOKUP(409020900,[1]PlanCuentas!$A$2:$A$6092,[1]PlanCuentas!O$2:O$6092)</f>
        <v>0</v>
      </c>
      <c r="L611" s="12">
        <f>LOOKUP(409021000,[1]PlanCuentas!$A$2:$A$6092,[1]PlanCuentas!O$2:O$6092)</f>
        <v>0</v>
      </c>
      <c r="M611" s="12">
        <f>LOOKUP(409021100,[1]PlanCuentas!$A$2:$A$6092,[1]PlanCuentas!O$2:O$6092)</f>
        <v>0</v>
      </c>
      <c r="N611" s="12">
        <f>LOOKUP(409021200,[1]PlanCuentas!$A$2:$A$6092,[1]PlanCuentas!O$2:O$6092)</f>
        <v>0</v>
      </c>
      <c r="O611" s="12">
        <f>LOOKUP(409021300,[1]PlanCuentas!$A$2:$A$6092,[1]PlanCuentas!O$2:O$6092)</f>
        <v>0</v>
      </c>
      <c r="P611" s="12">
        <f>LOOKUP(409022000,[1]PlanCuentas!$A$2:$A$6092,[1]PlanCuentas!O$2:O$6092)</f>
        <v>0</v>
      </c>
      <c r="Q611" s="13">
        <f t="shared" si="30"/>
        <v>0</v>
      </c>
    </row>
    <row r="612" spans="1:17" x14ac:dyDescent="0.2">
      <c r="A612" s="10">
        <v>14</v>
      </c>
      <c r="B612" s="11" t="str">
        <f>[1]Aseguradoras!B15</f>
        <v>Central S.A de Seguros</v>
      </c>
      <c r="C612" s="12">
        <f>LOOKUP(409020100,[1]PlanCuentas!$A$2:$A$6092,[1]PlanCuentas!P$2:P$6092)</f>
        <v>0</v>
      </c>
      <c r="D612" s="12">
        <f>LOOKUP(409020200,[1]PlanCuentas!$A$2:$A$6092,[1]PlanCuentas!P$2:P$6092)</f>
        <v>0</v>
      </c>
      <c r="E612" s="12">
        <f>LOOKUP(409020300,[1]PlanCuentas!$A$2:$A$6092,[1]PlanCuentas!P$2:P$6092)</f>
        <v>0</v>
      </c>
      <c r="F612" s="12">
        <f>LOOKUP(409020400,[1]PlanCuentas!$A$2:$A$6092,[1]PlanCuentas!P$2:P$6092)</f>
        <v>0</v>
      </c>
      <c r="G612" s="12">
        <f>LOOKUP(409020500,[1]PlanCuentas!$A$2:$A$6092,[1]PlanCuentas!P$2:P$6092)</f>
        <v>0</v>
      </c>
      <c r="H612" s="12">
        <f>LOOKUP(409020600,[1]PlanCuentas!$A$2:$A$6092,[1]PlanCuentas!P$2:P$6092)</f>
        <v>0</v>
      </c>
      <c r="I612" s="12">
        <f>LOOKUP(409020700,[1]PlanCuentas!$A$2:$A$6092,[1]PlanCuentas!P$2:P$6092)</f>
        <v>0</v>
      </c>
      <c r="J612" s="12">
        <f>LOOKUP(409020800,[1]PlanCuentas!$A$2:$A$6092,[1]PlanCuentas!P$2:P$6092)</f>
        <v>0</v>
      </c>
      <c r="K612" s="12">
        <f>LOOKUP(409020900,[1]PlanCuentas!$A$2:$A$6092,[1]PlanCuentas!P$2:P$6092)</f>
        <v>0</v>
      </c>
      <c r="L612" s="12">
        <f>LOOKUP(409021000,[1]PlanCuentas!$A$2:$A$6092,[1]PlanCuentas!P$2:P$6092)</f>
        <v>0</v>
      </c>
      <c r="M612" s="12">
        <f>LOOKUP(409021100,[1]PlanCuentas!$A$2:$A$6092,[1]PlanCuentas!P$2:P$6092)</f>
        <v>0</v>
      </c>
      <c r="N612" s="12">
        <f>LOOKUP(409021200,[1]PlanCuentas!$A$2:$A$6092,[1]PlanCuentas!P$2:P$6092)</f>
        <v>0</v>
      </c>
      <c r="O612" s="12">
        <f>LOOKUP(409021300,[1]PlanCuentas!$A$2:$A$6092,[1]PlanCuentas!P$2:P$6092)</f>
        <v>0</v>
      </c>
      <c r="P612" s="12">
        <f>LOOKUP(409022000,[1]PlanCuentas!$A$2:$A$6092,[1]PlanCuentas!P$2:P$6092)</f>
        <v>0</v>
      </c>
      <c r="Q612" s="13">
        <f t="shared" si="30"/>
        <v>0</v>
      </c>
    </row>
    <row r="613" spans="1:17" x14ac:dyDescent="0.2">
      <c r="A613" s="10">
        <v>15</v>
      </c>
      <c r="B613" s="11" t="str">
        <f>[1]Aseguradoras!B16</f>
        <v>Seguros Chaco S.A de Seguros y Reaseguros</v>
      </c>
      <c r="C613" s="12">
        <f>LOOKUP(409020100,[1]PlanCuentas!$A$2:$A$6092,[1]PlanCuentas!Q$2:Q$6092)</f>
        <v>0</v>
      </c>
      <c r="D613" s="12">
        <f>LOOKUP(409020200,[1]PlanCuentas!$A$2:$A$6092,[1]PlanCuentas!Q$2:Q$6092)</f>
        <v>0</v>
      </c>
      <c r="E613" s="12">
        <f>LOOKUP(409020300,[1]PlanCuentas!$A$2:$A$6092,[1]PlanCuentas!Q$2:Q$6092)</f>
        <v>0</v>
      </c>
      <c r="F613" s="12">
        <f>LOOKUP(409020400,[1]PlanCuentas!$A$2:$A$6092,[1]PlanCuentas!Q$2:Q$6092)</f>
        <v>0</v>
      </c>
      <c r="G613" s="12">
        <f>LOOKUP(409020500,[1]PlanCuentas!$A$2:$A$6092,[1]PlanCuentas!Q$2:Q$6092)</f>
        <v>0</v>
      </c>
      <c r="H613" s="12">
        <f>LOOKUP(409020600,[1]PlanCuentas!$A$2:$A$6092,[1]PlanCuentas!Q$2:Q$6092)</f>
        <v>0</v>
      </c>
      <c r="I613" s="12">
        <f>LOOKUP(409020700,[1]PlanCuentas!$A$2:$A$6092,[1]PlanCuentas!Q$2:Q$6092)</f>
        <v>0</v>
      </c>
      <c r="J613" s="12">
        <f>LOOKUP(409020800,[1]PlanCuentas!$A$2:$A$6092,[1]PlanCuentas!Q$2:Q$6092)</f>
        <v>0</v>
      </c>
      <c r="K613" s="12">
        <f>LOOKUP(409020900,[1]PlanCuentas!$A$2:$A$6092,[1]PlanCuentas!Q$2:Q$6092)</f>
        <v>0</v>
      </c>
      <c r="L613" s="12">
        <f>LOOKUP(409021000,[1]PlanCuentas!$A$2:$A$6092,[1]PlanCuentas!Q$2:Q$6092)</f>
        <v>0</v>
      </c>
      <c r="M613" s="12">
        <f>LOOKUP(409021100,[1]PlanCuentas!$A$2:$A$6092,[1]PlanCuentas!Q$2:Q$6092)</f>
        <v>0</v>
      </c>
      <c r="N613" s="12">
        <f>LOOKUP(409021200,[1]PlanCuentas!$A$2:$A$6092,[1]PlanCuentas!Q$2:Q$6092)</f>
        <v>0</v>
      </c>
      <c r="O613" s="12">
        <f>LOOKUP(409021300,[1]PlanCuentas!$A$2:$A$6092,[1]PlanCuentas!Q$2:Q$6092)</f>
        <v>0</v>
      </c>
      <c r="P613" s="12">
        <f>LOOKUP(409022000,[1]PlanCuentas!$A$2:$A$6092,[1]PlanCuentas!Q$2:Q$6092)</f>
        <v>0</v>
      </c>
      <c r="Q613" s="13">
        <f t="shared" si="30"/>
        <v>0</v>
      </c>
    </row>
    <row r="614" spans="1:17" x14ac:dyDescent="0.2">
      <c r="A614" s="10">
        <v>16</v>
      </c>
      <c r="B614" s="11" t="str">
        <f>[1]Aseguradoras!B17</f>
        <v>El Sol Del Paraguay Compañía de Seguros y Reaseguros S.A.</v>
      </c>
      <c r="C614" s="12">
        <f>LOOKUP(409020100,[1]PlanCuentas!$A$2:$A$6092,[1]PlanCuentas!R$2:R$6092)</f>
        <v>0</v>
      </c>
      <c r="D614" s="12">
        <f>LOOKUP(409020200,[1]PlanCuentas!$A$2:$A$6092,[1]PlanCuentas!R$2:R$6092)</f>
        <v>0</v>
      </c>
      <c r="E614" s="12">
        <f>LOOKUP(409020300,[1]PlanCuentas!$A$2:$A$6092,[1]PlanCuentas!R$2:R$6092)</f>
        <v>0</v>
      </c>
      <c r="F614" s="12">
        <f>LOOKUP(409020400,[1]PlanCuentas!$A$2:$A$6092,[1]PlanCuentas!R$2:R$6092)</f>
        <v>0</v>
      </c>
      <c r="G614" s="12">
        <f>LOOKUP(409020500,[1]PlanCuentas!$A$2:$A$6092,[1]PlanCuentas!R$2:R$6092)</f>
        <v>0</v>
      </c>
      <c r="H614" s="12">
        <f>LOOKUP(409020600,[1]PlanCuentas!$A$2:$A$6092,[1]PlanCuentas!R$2:R$6092)</f>
        <v>0</v>
      </c>
      <c r="I614" s="12">
        <f>LOOKUP(409020700,[1]PlanCuentas!$A$2:$A$6092,[1]PlanCuentas!R$2:R$6092)</f>
        <v>0</v>
      </c>
      <c r="J614" s="12">
        <f>LOOKUP(409020800,[1]PlanCuentas!$A$2:$A$6092,[1]PlanCuentas!R$2:R$6092)</f>
        <v>0</v>
      </c>
      <c r="K614" s="12">
        <f>LOOKUP(409020900,[1]PlanCuentas!$A$2:$A$6092,[1]PlanCuentas!R$2:R$6092)</f>
        <v>0</v>
      </c>
      <c r="L614" s="12">
        <f>LOOKUP(409021000,[1]PlanCuentas!$A$2:$A$6092,[1]PlanCuentas!R$2:R$6092)</f>
        <v>0</v>
      </c>
      <c r="M614" s="12">
        <f>LOOKUP(409021100,[1]PlanCuentas!$A$2:$A$6092,[1]PlanCuentas!R$2:R$6092)</f>
        <v>0</v>
      </c>
      <c r="N614" s="12">
        <f>LOOKUP(409021200,[1]PlanCuentas!$A$2:$A$6092,[1]PlanCuentas!R$2:R$6092)</f>
        <v>0</v>
      </c>
      <c r="O614" s="12">
        <f>LOOKUP(409021300,[1]PlanCuentas!$A$2:$A$6092,[1]PlanCuentas!R$2:R$6092)</f>
        <v>0</v>
      </c>
      <c r="P614" s="12">
        <f>LOOKUP(409022000,[1]PlanCuentas!$A$2:$A$6092,[1]PlanCuentas!R$2:R$6092)</f>
        <v>0</v>
      </c>
      <c r="Q614" s="13">
        <f t="shared" si="30"/>
        <v>0</v>
      </c>
    </row>
    <row r="615" spans="1:17" x14ac:dyDescent="0.2">
      <c r="A615" s="10">
        <v>17</v>
      </c>
      <c r="B615" s="11" t="str">
        <f>[1]Aseguradoras!B18</f>
        <v>Intercontinental de Seguros y Reaseguros S.A.</v>
      </c>
      <c r="C615" s="12">
        <f>LOOKUP(409020100,[1]PlanCuentas!$A$2:$A$6092,[1]PlanCuentas!S$2:S$6092)</f>
        <v>0</v>
      </c>
      <c r="D615" s="12">
        <f>LOOKUP(409020200,[1]PlanCuentas!$A$2:$A$6092,[1]PlanCuentas!S$2:S$6092)</f>
        <v>0</v>
      </c>
      <c r="E615" s="12">
        <f>LOOKUP(409020300,[1]PlanCuentas!$A$2:$A$6092,[1]PlanCuentas!S$2:S$6092)</f>
        <v>0</v>
      </c>
      <c r="F615" s="12">
        <f>LOOKUP(409020400,[1]PlanCuentas!$A$2:$A$6092,[1]PlanCuentas!S$2:S$6092)</f>
        <v>0</v>
      </c>
      <c r="G615" s="12">
        <f>LOOKUP(409020500,[1]PlanCuentas!$A$2:$A$6092,[1]PlanCuentas!S$2:S$6092)</f>
        <v>0</v>
      </c>
      <c r="H615" s="12">
        <f>LOOKUP(409020600,[1]PlanCuentas!$A$2:$A$6092,[1]PlanCuentas!S$2:S$6092)</f>
        <v>0</v>
      </c>
      <c r="I615" s="12">
        <f>LOOKUP(409020700,[1]PlanCuentas!$A$2:$A$6092,[1]PlanCuentas!S$2:S$6092)</f>
        <v>0</v>
      </c>
      <c r="J615" s="12">
        <f>LOOKUP(409020800,[1]PlanCuentas!$A$2:$A$6092,[1]PlanCuentas!S$2:S$6092)</f>
        <v>0</v>
      </c>
      <c r="K615" s="12">
        <f>LOOKUP(409020900,[1]PlanCuentas!$A$2:$A$6092,[1]PlanCuentas!S$2:S$6092)</f>
        <v>0</v>
      </c>
      <c r="L615" s="12">
        <f>LOOKUP(409021000,[1]PlanCuentas!$A$2:$A$6092,[1]PlanCuentas!S$2:S$6092)</f>
        <v>0</v>
      </c>
      <c r="M615" s="12">
        <f>LOOKUP(409021100,[1]PlanCuentas!$A$2:$A$6092,[1]PlanCuentas!S$2:S$6092)</f>
        <v>0</v>
      </c>
      <c r="N615" s="12">
        <f>LOOKUP(409021200,[1]PlanCuentas!$A$2:$A$6092,[1]PlanCuentas!S$2:S$6092)</f>
        <v>0</v>
      </c>
      <c r="O615" s="12">
        <f>LOOKUP(409021300,[1]PlanCuentas!$A$2:$A$6092,[1]PlanCuentas!S$2:S$6092)</f>
        <v>0</v>
      </c>
      <c r="P615" s="12">
        <f>LOOKUP(409022000,[1]PlanCuentas!$A$2:$A$6092,[1]PlanCuentas!S$2:S$6092)</f>
        <v>0</v>
      </c>
      <c r="Q615" s="13">
        <f t="shared" si="30"/>
        <v>0</v>
      </c>
    </row>
    <row r="616" spans="1:17" x14ac:dyDescent="0.2">
      <c r="A616" s="10">
        <v>18</v>
      </c>
      <c r="B616" s="11" t="str">
        <f>[1]Aseguradoras!B19</f>
        <v>Seguridad S.A Compañía de Seguros</v>
      </c>
      <c r="C616" s="12">
        <f>LOOKUP(409020100,[1]PlanCuentas!$A$2:$A$6092,[1]PlanCuentas!T$2:T$6092)</f>
        <v>0</v>
      </c>
      <c r="D616" s="12">
        <f>LOOKUP(409020200,[1]PlanCuentas!$A$2:$A$6092,[1]PlanCuentas!T$2:T$6092)</f>
        <v>0</v>
      </c>
      <c r="E616" s="12">
        <f>LOOKUP(409020300,[1]PlanCuentas!$A$2:$A$6092,[1]PlanCuentas!T$2:T$6092)</f>
        <v>133793984</v>
      </c>
      <c r="F616" s="12">
        <f>LOOKUP(409020400,[1]PlanCuentas!$A$2:$A$6092,[1]PlanCuentas!T$2:T$6092)</f>
        <v>0</v>
      </c>
      <c r="G616" s="12">
        <f>LOOKUP(409020500,[1]PlanCuentas!$A$2:$A$6092,[1]PlanCuentas!T$2:T$6092)</f>
        <v>0</v>
      </c>
      <c r="H616" s="12">
        <f>LOOKUP(409020600,[1]PlanCuentas!$A$2:$A$6092,[1]PlanCuentas!T$2:T$6092)</f>
        <v>0</v>
      </c>
      <c r="I616" s="12">
        <f>LOOKUP(409020700,[1]PlanCuentas!$A$2:$A$6092,[1]PlanCuentas!T$2:T$6092)</f>
        <v>0</v>
      </c>
      <c r="J616" s="12">
        <f>LOOKUP(409020800,[1]PlanCuentas!$A$2:$A$6092,[1]PlanCuentas!T$2:T$6092)</f>
        <v>0</v>
      </c>
      <c r="K616" s="12">
        <f>LOOKUP(409020900,[1]PlanCuentas!$A$2:$A$6092,[1]PlanCuentas!T$2:T$6092)</f>
        <v>0</v>
      </c>
      <c r="L616" s="12">
        <f>LOOKUP(409021000,[1]PlanCuentas!$A$2:$A$6092,[1]PlanCuentas!T$2:T$6092)</f>
        <v>0</v>
      </c>
      <c r="M616" s="12">
        <f>LOOKUP(409021100,[1]PlanCuentas!$A$2:$A$6092,[1]PlanCuentas!T$2:T$6092)</f>
        <v>0</v>
      </c>
      <c r="N616" s="12">
        <f>LOOKUP(409021200,[1]PlanCuentas!$A$2:$A$6092,[1]PlanCuentas!T$2:T$6092)</f>
        <v>97325646</v>
      </c>
      <c r="O616" s="12">
        <f>LOOKUP(409021300,[1]PlanCuentas!$A$2:$A$6092,[1]PlanCuentas!T$2:T$6092)</f>
        <v>0</v>
      </c>
      <c r="P616" s="12">
        <f>LOOKUP(409022000,[1]PlanCuentas!$A$2:$A$6092,[1]PlanCuentas!T$2:T$6092)</f>
        <v>0</v>
      </c>
      <c r="Q616" s="13">
        <f t="shared" si="30"/>
        <v>231119630</v>
      </c>
    </row>
    <row r="617" spans="1:17" x14ac:dyDescent="0.2">
      <c r="A617" s="10">
        <v>19</v>
      </c>
      <c r="B617" s="11" t="str">
        <f>[1]Aseguradoras!B20</f>
        <v>Universo de Seguros y Reaseguros S.A.</v>
      </c>
      <c r="C617" s="12">
        <f>LOOKUP(409020100,[1]PlanCuentas!$A$2:$A$6092,[1]PlanCuentas!U$2:U$6092)</f>
        <v>0</v>
      </c>
      <c r="D617" s="12">
        <f>LOOKUP(409020200,[1]PlanCuentas!$A$2:$A$6092,[1]PlanCuentas!U$2:U$6092)</f>
        <v>0</v>
      </c>
      <c r="E617" s="12">
        <f>LOOKUP(409020300,[1]PlanCuentas!$A$2:$A$6092,[1]PlanCuentas!U$2:U$6092)</f>
        <v>0</v>
      </c>
      <c r="F617" s="12">
        <f>LOOKUP(409020400,[1]PlanCuentas!$A$2:$A$6092,[1]PlanCuentas!U$2:U$6092)</f>
        <v>0</v>
      </c>
      <c r="G617" s="12">
        <f>LOOKUP(409020500,[1]PlanCuentas!$A$2:$A$6092,[1]PlanCuentas!U$2:U$6092)</f>
        <v>0</v>
      </c>
      <c r="H617" s="12">
        <f>LOOKUP(409020600,[1]PlanCuentas!$A$2:$A$6092,[1]PlanCuentas!U$2:U$6092)</f>
        <v>0</v>
      </c>
      <c r="I617" s="12">
        <f>LOOKUP(409020700,[1]PlanCuentas!$A$2:$A$6092,[1]PlanCuentas!U$2:U$6092)</f>
        <v>0</v>
      </c>
      <c r="J617" s="12">
        <f>LOOKUP(409020800,[1]PlanCuentas!$A$2:$A$6092,[1]PlanCuentas!U$2:U$6092)</f>
        <v>0</v>
      </c>
      <c r="K617" s="12">
        <f>LOOKUP(409020900,[1]PlanCuentas!$A$2:$A$6092,[1]PlanCuentas!U$2:U$6092)</f>
        <v>0</v>
      </c>
      <c r="L617" s="12">
        <f>LOOKUP(409021000,[1]PlanCuentas!$A$2:$A$6092,[1]PlanCuentas!U$2:U$6092)</f>
        <v>0</v>
      </c>
      <c r="M617" s="12">
        <f>LOOKUP(409021100,[1]PlanCuentas!$A$2:$A$6092,[1]PlanCuentas!U$2:U$6092)</f>
        <v>0</v>
      </c>
      <c r="N617" s="12">
        <f>LOOKUP(409021200,[1]PlanCuentas!$A$2:$A$6092,[1]PlanCuentas!U$2:U$6092)</f>
        <v>0</v>
      </c>
      <c r="O617" s="12">
        <f>LOOKUP(409021300,[1]PlanCuentas!$A$2:$A$6092,[1]PlanCuentas!U$2:U$6092)</f>
        <v>0</v>
      </c>
      <c r="P617" s="12">
        <f>LOOKUP(409022000,[1]PlanCuentas!$A$2:$A$6092,[1]PlanCuentas!U$2:U$6092)</f>
        <v>0</v>
      </c>
      <c r="Q617" s="13">
        <f t="shared" si="30"/>
        <v>0</v>
      </c>
    </row>
    <row r="618" spans="1:17" x14ac:dyDescent="0.2">
      <c r="A618" s="10">
        <v>20</v>
      </c>
      <c r="B618" s="11" t="str">
        <f>[1]Aseguradoras!B21</f>
        <v>Aseguradora Yacyreta S.A de Seguros y Reaseguros</v>
      </c>
      <c r="C618" s="12">
        <f>LOOKUP(409020100,[1]PlanCuentas!$A$2:$A$6092,[1]PlanCuentas!V$2:V$6092)</f>
        <v>0</v>
      </c>
      <c r="D618" s="12">
        <f>LOOKUP(409020200,[1]PlanCuentas!$A$2:$A$6092,[1]PlanCuentas!V$2:V$6092)</f>
        <v>0</v>
      </c>
      <c r="E618" s="12">
        <f>LOOKUP(409020300,[1]PlanCuentas!$A$2:$A$6092,[1]PlanCuentas!V$2:V$6092)</f>
        <v>0</v>
      </c>
      <c r="F618" s="12">
        <f>LOOKUP(409020400,[1]PlanCuentas!$A$2:$A$6092,[1]PlanCuentas!V$2:V$6092)</f>
        <v>0</v>
      </c>
      <c r="G618" s="12">
        <f>LOOKUP(409020500,[1]PlanCuentas!$A$2:$A$6092,[1]PlanCuentas!V$2:V$6092)</f>
        <v>0</v>
      </c>
      <c r="H618" s="12">
        <f>LOOKUP(409020600,[1]PlanCuentas!$A$2:$A$6092,[1]PlanCuentas!V$2:V$6092)</f>
        <v>0</v>
      </c>
      <c r="I618" s="12">
        <f>LOOKUP(409020700,[1]PlanCuentas!$A$2:$A$6092,[1]PlanCuentas!V$2:V$6092)</f>
        <v>0</v>
      </c>
      <c r="J618" s="12">
        <f>LOOKUP(409020800,[1]PlanCuentas!$A$2:$A$6092,[1]PlanCuentas!V$2:V$6092)</f>
        <v>0</v>
      </c>
      <c r="K618" s="12">
        <f>LOOKUP(409020900,[1]PlanCuentas!$A$2:$A$6092,[1]PlanCuentas!V$2:V$6092)</f>
        <v>0</v>
      </c>
      <c r="L618" s="12">
        <f>LOOKUP(409021000,[1]PlanCuentas!$A$2:$A$6092,[1]PlanCuentas!V$2:V$6092)</f>
        <v>0</v>
      </c>
      <c r="M618" s="12">
        <f>LOOKUP(409021100,[1]PlanCuentas!$A$2:$A$6092,[1]PlanCuentas!V$2:V$6092)</f>
        <v>0</v>
      </c>
      <c r="N618" s="12">
        <f>LOOKUP(409021200,[1]PlanCuentas!$A$2:$A$6092,[1]PlanCuentas!V$2:V$6092)</f>
        <v>0</v>
      </c>
      <c r="O618" s="12">
        <f>LOOKUP(409021300,[1]PlanCuentas!$A$2:$A$6092,[1]PlanCuentas!V$2:V$6092)</f>
        <v>0</v>
      </c>
      <c r="P618" s="12">
        <f>LOOKUP(409022000,[1]PlanCuentas!$A$2:$A$6092,[1]PlanCuentas!V$2:V$6092)</f>
        <v>0</v>
      </c>
      <c r="Q618" s="13">
        <f t="shared" si="30"/>
        <v>0</v>
      </c>
    </row>
    <row r="619" spans="1:17" x14ac:dyDescent="0.2">
      <c r="A619" s="10">
        <v>21</v>
      </c>
      <c r="B619" s="11" t="str">
        <f>[1]Aseguradoras!B22</f>
        <v>La Agricola S.A de Seguros y Reaseguros</v>
      </c>
      <c r="C619" s="12">
        <f>LOOKUP(409020100,[1]PlanCuentas!$A$2:$A$6092,[1]PlanCuentas!W$2:W$6092)</f>
        <v>0</v>
      </c>
      <c r="D619" s="12">
        <f>LOOKUP(409020200,[1]PlanCuentas!$A$2:$A$6092,[1]PlanCuentas!W$2:W$6092)</f>
        <v>0</v>
      </c>
      <c r="E619" s="12">
        <f>LOOKUP(409020300,[1]PlanCuentas!$A$2:$A$6092,[1]PlanCuentas!W$2:W$6092)</f>
        <v>0</v>
      </c>
      <c r="F619" s="12">
        <f>LOOKUP(409020400,[1]PlanCuentas!$A$2:$A$6092,[1]PlanCuentas!W$2:W$6092)</f>
        <v>0</v>
      </c>
      <c r="G619" s="12">
        <f>LOOKUP(409020500,[1]PlanCuentas!$A$2:$A$6092,[1]PlanCuentas!W$2:W$6092)</f>
        <v>0</v>
      </c>
      <c r="H619" s="12">
        <f>LOOKUP(409020600,[1]PlanCuentas!$A$2:$A$6092,[1]PlanCuentas!W$2:W$6092)</f>
        <v>0</v>
      </c>
      <c r="I619" s="12">
        <f>LOOKUP(409020700,[1]PlanCuentas!$A$2:$A$6092,[1]PlanCuentas!W$2:W$6092)</f>
        <v>0</v>
      </c>
      <c r="J619" s="12">
        <f>LOOKUP(409020800,[1]PlanCuentas!$A$2:$A$6092,[1]PlanCuentas!W$2:W$6092)</f>
        <v>0</v>
      </c>
      <c r="K619" s="12">
        <f>LOOKUP(409020900,[1]PlanCuentas!$A$2:$A$6092,[1]PlanCuentas!W$2:W$6092)</f>
        <v>0</v>
      </c>
      <c r="L619" s="12">
        <f>LOOKUP(409021000,[1]PlanCuentas!$A$2:$A$6092,[1]PlanCuentas!W$2:W$6092)</f>
        <v>0</v>
      </c>
      <c r="M619" s="12">
        <f>LOOKUP(409021100,[1]PlanCuentas!$A$2:$A$6092,[1]PlanCuentas!W$2:W$6092)</f>
        <v>0</v>
      </c>
      <c r="N619" s="12">
        <f>LOOKUP(409021200,[1]PlanCuentas!$A$2:$A$6092,[1]PlanCuentas!W$2:W$6092)</f>
        <v>0</v>
      </c>
      <c r="O619" s="12">
        <f>LOOKUP(409021300,[1]PlanCuentas!$A$2:$A$6092,[1]PlanCuentas!W$2:W$6092)</f>
        <v>0</v>
      </c>
      <c r="P619" s="12">
        <f>LOOKUP(409022000,[1]PlanCuentas!$A$2:$A$6092,[1]PlanCuentas!W$2:W$6092)</f>
        <v>0</v>
      </c>
      <c r="Q619" s="13">
        <f t="shared" si="30"/>
        <v>0</v>
      </c>
    </row>
    <row r="620" spans="1:17" x14ac:dyDescent="0.2">
      <c r="A620" s="10">
        <v>22</v>
      </c>
      <c r="B620" s="11" t="str">
        <f>[1]Aseguradoras!B23</f>
        <v>Grupo General de Seguros y Reaseguros S.A.</v>
      </c>
      <c r="C620" s="12">
        <f>LOOKUP(409020100,[1]PlanCuentas!$A$2:$A$6092,[1]PlanCuentas!X$2:X$6092)</f>
        <v>0</v>
      </c>
      <c r="D620" s="12">
        <f>LOOKUP(409020200,[1]PlanCuentas!$A$2:$A$6092,[1]PlanCuentas!X$2:X$6092)</f>
        <v>0</v>
      </c>
      <c r="E620" s="12">
        <f>LOOKUP(409020300,[1]PlanCuentas!$A$2:$A$6092,[1]PlanCuentas!X$2:X$6092)</f>
        <v>0</v>
      </c>
      <c r="F620" s="12">
        <f>LOOKUP(409020400,[1]PlanCuentas!$A$2:$A$6092,[1]PlanCuentas!X$2:X$6092)</f>
        <v>209331981</v>
      </c>
      <c r="G620" s="12">
        <f>LOOKUP(409020500,[1]PlanCuentas!$A$2:$A$6092,[1]PlanCuentas!X$2:X$6092)</f>
        <v>0</v>
      </c>
      <c r="H620" s="12">
        <f>LOOKUP(409020600,[1]PlanCuentas!$A$2:$A$6092,[1]PlanCuentas!X$2:X$6092)</f>
        <v>70332854</v>
      </c>
      <c r="I620" s="12">
        <f>LOOKUP(409020700,[1]PlanCuentas!$A$2:$A$6092,[1]PlanCuentas!X$2:X$6092)</f>
        <v>0</v>
      </c>
      <c r="J620" s="12">
        <f>LOOKUP(409020800,[1]PlanCuentas!$A$2:$A$6092,[1]PlanCuentas!X$2:X$6092)</f>
        <v>0</v>
      </c>
      <c r="K620" s="12">
        <f>LOOKUP(409020900,[1]PlanCuentas!$A$2:$A$6092,[1]PlanCuentas!X$2:X$6092)</f>
        <v>0</v>
      </c>
      <c r="L620" s="12">
        <f>LOOKUP(409021000,[1]PlanCuentas!$A$2:$A$6092,[1]PlanCuentas!X$2:X$6092)</f>
        <v>0</v>
      </c>
      <c r="M620" s="12">
        <f>LOOKUP(409021100,[1]PlanCuentas!$A$2:$A$6092,[1]PlanCuentas!X$2:X$6092)</f>
        <v>0</v>
      </c>
      <c r="N620" s="12">
        <f>LOOKUP(409021200,[1]PlanCuentas!$A$2:$A$6092,[1]PlanCuentas!X$2:X$6092)</f>
        <v>0</v>
      </c>
      <c r="O620" s="12">
        <f>LOOKUP(409021300,[1]PlanCuentas!$A$2:$A$6092,[1]PlanCuentas!X$2:X$6092)</f>
        <v>0</v>
      </c>
      <c r="P620" s="12">
        <f>LOOKUP(409022000,[1]PlanCuentas!$A$2:$A$6092,[1]PlanCuentas!X$2:X$6092)</f>
        <v>0</v>
      </c>
      <c r="Q620" s="13">
        <f t="shared" si="30"/>
        <v>279664835</v>
      </c>
    </row>
    <row r="621" spans="1:17" x14ac:dyDescent="0.2">
      <c r="A621" s="10">
        <v>23</v>
      </c>
      <c r="B621" s="11" t="str">
        <f>[1]Aseguradoras!B24</f>
        <v>Alfa S.A de Seguros y Reaseguros</v>
      </c>
      <c r="C621" s="12">
        <f>LOOKUP(409020100,[1]PlanCuentas!$A$2:$A$6092,[1]PlanCuentas!Y$2:Y$6092)</f>
        <v>284805250</v>
      </c>
      <c r="D621" s="12">
        <f>LOOKUP(409020200,[1]PlanCuentas!$A$2:$A$6092,[1]PlanCuentas!Y$2:Y$6092)</f>
        <v>0</v>
      </c>
      <c r="E621" s="12">
        <f>LOOKUP(409020300,[1]PlanCuentas!$A$2:$A$6092,[1]PlanCuentas!Y$2:Y$6092)</f>
        <v>0</v>
      </c>
      <c r="F621" s="12">
        <f>LOOKUP(409020400,[1]PlanCuentas!$A$2:$A$6092,[1]PlanCuentas!Y$2:Y$6092)</f>
        <v>0</v>
      </c>
      <c r="G621" s="12">
        <f>LOOKUP(409020500,[1]PlanCuentas!$A$2:$A$6092,[1]PlanCuentas!Y$2:Y$6092)</f>
        <v>0</v>
      </c>
      <c r="H621" s="12">
        <f>LOOKUP(409020600,[1]PlanCuentas!$A$2:$A$6092,[1]PlanCuentas!Y$2:Y$6092)</f>
        <v>0</v>
      </c>
      <c r="I621" s="12">
        <f>LOOKUP(409020700,[1]PlanCuentas!$A$2:$A$6092,[1]PlanCuentas!Y$2:Y$6092)</f>
        <v>0</v>
      </c>
      <c r="J621" s="12">
        <f>LOOKUP(409020800,[1]PlanCuentas!$A$2:$A$6092,[1]PlanCuentas!Y$2:Y$6092)</f>
        <v>0</v>
      </c>
      <c r="K621" s="12">
        <f>LOOKUP(409020900,[1]PlanCuentas!$A$2:$A$6092,[1]PlanCuentas!Y$2:Y$6092)</f>
        <v>0</v>
      </c>
      <c r="L621" s="12">
        <f>LOOKUP(409021000,[1]PlanCuentas!$A$2:$A$6092,[1]PlanCuentas!Y$2:Y$6092)</f>
        <v>0</v>
      </c>
      <c r="M621" s="12">
        <f>LOOKUP(409021100,[1]PlanCuentas!$A$2:$A$6092,[1]PlanCuentas!Y$2:Y$6092)</f>
        <v>0</v>
      </c>
      <c r="N621" s="12">
        <f>LOOKUP(409021200,[1]PlanCuentas!$A$2:$A$6092,[1]PlanCuentas!Y$2:Y$6092)</f>
        <v>0</v>
      </c>
      <c r="O621" s="12">
        <f>LOOKUP(409021300,[1]PlanCuentas!$A$2:$A$6092,[1]PlanCuentas!Y$2:Y$6092)</f>
        <v>0</v>
      </c>
      <c r="P621" s="12">
        <f>LOOKUP(409022000,[1]PlanCuentas!$A$2:$A$6092,[1]PlanCuentas!Y$2:Y$6092)</f>
        <v>0</v>
      </c>
      <c r="Q621" s="13">
        <f t="shared" si="30"/>
        <v>284805250</v>
      </c>
    </row>
    <row r="622" spans="1:17" x14ac:dyDescent="0.2">
      <c r="A622" s="10">
        <v>24</v>
      </c>
      <c r="B622" s="11" t="str">
        <f>[1]Aseguradoras!B25</f>
        <v>Cenit de Seguros S.A.</v>
      </c>
      <c r="C622" s="12">
        <f>LOOKUP(409020100,[1]PlanCuentas!$A$2:$A$6092,[1]PlanCuentas!Z$2:Z$6092)</f>
        <v>0</v>
      </c>
      <c r="D622" s="12">
        <f>LOOKUP(409020200,[1]PlanCuentas!$A$2:$A$6092,[1]PlanCuentas!Z$2:Z$6092)</f>
        <v>0</v>
      </c>
      <c r="E622" s="12">
        <f>LOOKUP(409020300,[1]PlanCuentas!$A$2:$A$6092,[1]PlanCuentas!Z$2:Z$6092)</f>
        <v>0</v>
      </c>
      <c r="F622" s="12">
        <f>LOOKUP(409020400,[1]PlanCuentas!$A$2:$A$6092,[1]PlanCuentas!Z$2:Z$6092)</f>
        <v>0</v>
      </c>
      <c r="G622" s="12">
        <f>LOOKUP(409020500,[1]PlanCuentas!$A$2:$A$6092,[1]PlanCuentas!Z$2:Z$6092)</f>
        <v>0</v>
      </c>
      <c r="H622" s="12">
        <f>LOOKUP(409020600,[1]PlanCuentas!$A$2:$A$6092,[1]PlanCuentas!Z$2:Z$6092)</f>
        <v>119828976</v>
      </c>
      <c r="I622" s="12">
        <f>LOOKUP(409020700,[1]PlanCuentas!$A$2:$A$6092,[1]PlanCuentas!Z$2:Z$6092)</f>
        <v>0</v>
      </c>
      <c r="J622" s="12">
        <f>LOOKUP(409020800,[1]PlanCuentas!$A$2:$A$6092,[1]PlanCuentas!Z$2:Z$6092)</f>
        <v>0</v>
      </c>
      <c r="K622" s="12">
        <f>LOOKUP(409020900,[1]PlanCuentas!$A$2:$A$6092,[1]PlanCuentas!Z$2:Z$6092)</f>
        <v>0</v>
      </c>
      <c r="L622" s="12">
        <f>LOOKUP(409021000,[1]PlanCuentas!$A$2:$A$6092,[1]PlanCuentas!Z$2:Z$6092)</f>
        <v>0</v>
      </c>
      <c r="M622" s="12">
        <f>LOOKUP(409021100,[1]PlanCuentas!$A$2:$A$6092,[1]PlanCuentas!Z$2:Z$6092)</f>
        <v>0</v>
      </c>
      <c r="N622" s="12">
        <f>LOOKUP(409021200,[1]PlanCuentas!$A$2:$A$6092,[1]PlanCuentas!Z$2:Z$6092)</f>
        <v>0</v>
      </c>
      <c r="O622" s="12">
        <f>LOOKUP(409021300,[1]PlanCuentas!$A$2:$A$6092,[1]PlanCuentas!Z$2:Z$6092)</f>
        <v>0</v>
      </c>
      <c r="P622" s="12">
        <f>LOOKUP(409022000,[1]PlanCuentas!$A$2:$A$6092,[1]PlanCuentas!Z$2:Z$6092)</f>
        <v>0</v>
      </c>
      <c r="Q622" s="13">
        <f t="shared" si="30"/>
        <v>119828976</v>
      </c>
    </row>
    <row r="623" spans="1:17" x14ac:dyDescent="0.2">
      <c r="A623" s="10">
        <v>25</v>
      </c>
      <c r="B623" s="11" t="str">
        <f>[1]Aseguradoras!B26</f>
        <v>La Meridional Paraguaya S.A de Seguros</v>
      </c>
      <c r="C623" s="12">
        <f>LOOKUP(409020100,[1]PlanCuentas!$A$2:$A$6092,[1]PlanCuentas!AA$2:AA$6092)</f>
        <v>0</v>
      </c>
      <c r="D623" s="12">
        <f>LOOKUP(409020200,[1]PlanCuentas!$A$2:$A$6092,[1]PlanCuentas!AA$2:AA$6092)</f>
        <v>0</v>
      </c>
      <c r="E623" s="12">
        <f>LOOKUP(409020300,[1]PlanCuentas!$A$2:$A$6092,[1]PlanCuentas!AA$2:AA$6092)</f>
        <v>0</v>
      </c>
      <c r="F623" s="12">
        <f>LOOKUP(409020400,[1]PlanCuentas!$A$2:$A$6092,[1]PlanCuentas!AA$2:AA$6092)</f>
        <v>0</v>
      </c>
      <c r="G623" s="12">
        <f>LOOKUP(409020500,[1]PlanCuentas!$A$2:$A$6092,[1]PlanCuentas!AA$2:AA$6092)</f>
        <v>0</v>
      </c>
      <c r="H623" s="12">
        <f>LOOKUP(409020600,[1]PlanCuentas!$A$2:$A$6092,[1]PlanCuentas!AA$2:AA$6092)</f>
        <v>0</v>
      </c>
      <c r="I623" s="12">
        <f>LOOKUP(409020700,[1]PlanCuentas!$A$2:$A$6092,[1]PlanCuentas!AA$2:AA$6092)</f>
        <v>0</v>
      </c>
      <c r="J623" s="12">
        <f>LOOKUP(409020800,[1]PlanCuentas!$A$2:$A$6092,[1]PlanCuentas!AA$2:AA$6092)</f>
        <v>0</v>
      </c>
      <c r="K623" s="12">
        <f>LOOKUP(409020900,[1]PlanCuentas!$A$2:$A$6092,[1]PlanCuentas!AA$2:AA$6092)</f>
        <v>0</v>
      </c>
      <c r="L623" s="12">
        <f>LOOKUP(409021000,[1]PlanCuentas!$A$2:$A$6092,[1]PlanCuentas!AA$2:AA$6092)</f>
        <v>0</v>
      </c>
      <c r="M623" s="12">
        <f>LOOKUP(409021100,[1]PlanCuentas!$A$2:$A$6092,[1]PlanCuentas!AA$2:AA$6092)</f>
        <v>0</v>
      </c>
      <c r="N623" s="12">
        <f>LOOKUP(409021200,[1]PlanCuentas!$A$2:$A$6092,[1]PlanCuentas!AA$2:AA$6092)</f>
        <v>0</v>
      </c>
      <c r="O623" s="12">
        <f>LOOKUP(409021300,[1]PlanCuentas!$A$2:$A$6092,[1]PlanCuentas!AA$2:AA$6092)</f>
        <v>0</v>
      </c>
      <c r="P623" s="12">
        <f>LOOKUP(409022000,[1]PlanCuentas!$A$2:$A$6092,[1]PlanCuentas!AA$2:AA$6092)</f>
        <v>0</v>
      </c>
      <c r="Q623" s="13">
        <f t="shared" si="30"/>
        <v>0</v>
      </c>
    </row>
    <row r="624" spans="1:17" x14ac:dyDescent="0.2">
      <c r="A624" s="10">
        <v>26</v>
      </c>
      <c r="B624" s="11" t="str">
        <f>[1]Aseguradoras!B27</f>
        <v>Aseguradora Del Este S.A de Seguros y Reaseguros</v>
      </c>
      <c r="C624" s="12">
        <f>LOOKUP(409020100,[1]PlanCuentas!$A$2:$A$6092,[1]PlanCuentas!AB$2:AB$6092)</f>
        <v>1077012158</v>
      </c>
      <c r="D624" s="12">
        <f>LOOKUP(409020200,[1]PlanCuentas!$A$2:$A$6092,[1]PlanCuentas!AB$2:AB$6092)</f>
        <v>85358004</v>
      </c>
      <c r="E624" s="12">
        <f>LOOKUP(409020300,[1]PlanCuentas!$A$2:$A$6092,[1]PlanCuentas!AB$2:AB$6092)</f>
        <v>0</v>
      </c>
      <c r="F624" s="12">
        <f>LOOKUP(409020400,[1]PlanCuentas!$A$2:$A$6092,[1]PlanCuentas!AB$2:AB$6092)</f>
        <v>78400000</v>
      </c>
      <c r="G624" s="12">
        <f>LOOKUP(409020500,[1]PlanCuentas!$A$2:$A$6092,[1]PlanCuentas!AB$2:AB$6092)</f>
        <v>0</v>
      </c>
      <c r="H624" s="12">
        <f>LOOKUP(409020600,[1]PlanCuentas!$A$2:$A$6092,[1]PlanCuentas!AB$2:AB$6092)</f>
        <v>0</v>
      </c>
      <c r="I624" s="12">
        <f>LOOKUP(409020700,[1]PlanCuentas!$A$2:$A$6092,[1]PlanCuentas!AB$2:AB$6092)</f>
        <v>0</v>
      </c>
      <c r="J624" s="12">
        <f>LOOKUP(409020800,[1]PlanCuentas!$A$2:$A$6092,[1]PlanCuentas!AB$2:AB$6092)</f>
        <v>0</v>
      </c>
      <c r="K624" s="12">
        <f>LOOKUP(409020900,[1]PlanCuentas!$A$2:$A$6092,[1]PlanCuentas!AB$2:AB$6092)</f>
        <v>0</v>
      </c>
      <c r="L624" s="12">
        <f>LOOKUP(409021000,[1]PlanCuentas!$A$2:$A$6092,[1]PlanCuentas!AB$2:AB$6092)</f>
        <v>0</v>
      </c>
      <c r="M624" s="12">
        <f>LOOKUP(409021100,[1]PlanCuentas!$A$2:$A$6092,[1]PlanCuentas!AB$2:AB$6092)</f>
        <v>0</v>
      </c>
      <c r="N624" s="12">
        <f>LOOKUP(409021200,[1]PlanCuentas!$A$2:$A$6092,[1]PlanCuentas!AB$2:AB$6092)</f>
        <v>0</v>
      </c>
      <c r="O624" s="12">
        <f>LOOKUP(409021300,[1]PlanCuentas!$A$2:$A$6092,[1]PlanCuentas!AB$2:AB$6092)</f>
        <v>0</v>
      </c>
      <c r="P624" s="12">
        <f>LOOKUP(409022000,[1]PlanCuentas!$A$2:$A$6092,[1]PlanCuentas!AB$2:AB$6092)</f>
        <v>0</v>
      </c>
      <c r="Q624" s="13">
        <f t="shared" si="30"/>
        <v>1240770162</v>
      </c>
    </row>
    <row r="625" spans="1:24" x14ac:dyDescent="0.2">
      <c r="A625" s="10">
        <v>27</v>
      </c>
      <c r="B625" s="11" t="str">
        <f>[1]Aseguradoras!B28</f>
        <v>Imperio S.A de Seguros y Reaseguros</v>
      </c>
      <c r="C625" s="12">
        <f>LOOKUP(409020100,[1]PlanCuentas!$A$2:$A$6092,[1]PlanCuentas!AC$2:AC$6092)</f>
        <v>55361155</v>
      </c>
      <c r="D625" s="12">
        <f>LOOKUP(409020200,[1]PlanCuentas!$A$2:$A$6092,[1]PlanCuentas!AC$2:AC$6092)</f>
        <v>0</v>
      </c>
      <c r="E625" s="12">
        <f>LOOKUP(409020300,[1]PlanCuentas!$A$2:$A$6092,[1]PlanCuentas!AC$2:AC$6092)</f>
        <v>0</v>
      </c>
      <c r="F625" s="12">
        <f>LOOKUP(409020400,[1]PlanCuentas!$A$2:$A$6092,[1]PlanCuentas!AC$2:AC$6092)</f>
        <v>0</v>
      </c>
      <c r="G625" s="12">
        <f>LOOKUP(409020500,[1]PlanCuentas!$A$2:$A$6092,[1]PlanCuentas!AC$2:AC$6092)</f>
        <v>0</v>
      </c>
      <c r="H625" s="12">
        <f>LOOKUP(409020600,[1]PlanCuentas!$A$2:$A$6092,[1]PlanCuentas!AC$2:AC$6092)</f>
        <v>0</v>
      </c>
      <c r="I625" s="12">
        <f>LOOKUP(409020700,[1]PlanCuentas!$A$2:$A$6092,[1]PlanCuentas!AC$2:AC$6092)</f>
        <v>0</v>
      </c>
      <c r="J625" s="12">
        <f>LOOKUP(409020800,[1]PlanCuentas!$A$2:$A$6092,[1]PlanCuentas!AC$2:AC$6092)</f>
        <v>0</v>
      </c>
      <c r="K625" s="12">
        <f>LOOKUP(409020900,[1]PlanCuentas!$A$2:$A$6092,[1]PlanCuentas!AC$2:AC$6092)</f>
        <v>0</v>
      </c>
      <c r="L625" s="12">
        <f>LOOKUP(409021000,[1]PlanCuentas!$A$2:$A$6092,[1]PlanCuentas!AC$2:AC$6092)</f>
        <v>0</v>
      </c>
      <c r="M625" s="12">
        <f>LOOKUP(409021100,[1]PlanCuentas!$A$2:$A$6092,[1]PlanCuentas!AC$2:AC$6092)</f>
        <v>0</v>
      </c>
      <c r="N625" s="12">
        <f>LOOKUP(409021200,[1]PlanCuentas!$A$2:$A$6092,[1]PlanCuentas!AC$2:AC$6092)</f>
        <v>0</v>
      </c>
      <c r="O625" s="12">
        <f>LOOKUP(409021300,[1]PlanCuentas!$A$2:$A$6092,[1]PlanCuentas!AC$2:AC$6092)</f>
        <v>0</v>
      </c>
      <c r="P625" s="12">
        <f>LOOKUP(409022000,[1]PlanCuentas!$A$2:$A$6092,[1]PlanCuentas!AC$2:AC$6092)</f>
        <v>0</v>
      </c>
      <c r="Q625" s="13">
        <f t="shared" si="30"/>
        <v>55361155</v>
      </c>
    </row>
    <row r="626" spans="1:24" x14ac:dyDescent="0.2">
      <c r="A626" s="10">
        <v>28</v>
      </c>
      <c r="B626" s="11" t="str">
        <f>[1]Aseguradoras!B29</f>
        <v>Regional S.A de Seguros y Reaseguros</v>
      </c>
      <c r="C626" s="12">
        <f>LOOKUP(409020100,[1]PlanCuentas!$A$2:$A$6092,[1]PlanCuentas!AD$2:AD$6092)</f>
        <v>15500000</v>
      </c>
      <c r="D626" s="12">
        <f>LOOKUP(409020200,[1]PlanCuentas!$A$2:$A$6092,[1]PlanCuentas!AD$2:AD$6092)</f>
        <v>0</v>
      </c>
      <c r="E626" s="12">
        <f>LOOKUP(409020300,[1]PlanCuentas!$A$2:$A$6092,[1]PlanCuentas!AD$2:AD$6092)</f>
        <v>0</v>
      </c>
      <c r="F626" s="12">
        <f>LOOKUP(409020400,[1]PlanCuentas!$A$2:$A$6092,[1]PlanCuentas!AD$2:AD$6092)</f>
        <v>0</v>
      </c>
      <c r="G626" s="12">
        <f>LOOKUP(409020500,[1]PlanCuentas!$A$2:$A$6092,[1]PlanCuentas!AD$2:AD$6092)</f>
        <v>0</v>
      </c>
      <c r="H626" s="12">
        <f>LOOKUP(409020600,[1]PlanCuentas!$A$2:$A$6092,[1]PlanCuentas!AD$2:AD$6092)</f>
        <v>654537196</v>
      </c>
      <c r="I626" s="12">
        <f>LOOKUP(409020700,[1]PlanCuentas!$A$2:$A$6092,[1]PlanCuentas!AD$2:AD$6092)</f>
        <v>0</v>
      </c>
      <c r="J626" s="12">
        <f>LOOKUP(409020800,[1]PlanCuentas!$A$2:$A$6092,[1]PlanCuentas!AD$2:AD$6092)</f>
        <v>0</v>
      </c>
      <c r="K626" s="12">
        <f>LOOKUP(409020900,[1]PlanCuentas!$A$2:$A$6092,[1]PlanCuentas!AD$2:AD$6092)</f>
        <v>0</v>
      </c>
      <c r="L626" s="12">
        <f>LOOKUP(409021000,[1]PlanCuentas!$A$2:$A$6092,[1]PlanCuentas!AD$2:AD$6092)</f>
        <v>0</v>
      </c>
      <c r="M626" s="12">
        <f>LOOKUP(409021100,[1]PlanCuentas!$A$2:$A$6092,[1]PlanCuentas!AD$2:AD$6092)</f>
        <v>0</v>
      </c>
      <c r="N626" s="12">
        <f>LOOKUP(409021200,[1]PlanCuentas!$A$2:$A$6092,[1]PlanCuentas!AD$2:AD$6092)</f>
        <v>0</v>
      </c>
      <c r="O626" s="12">
        <f>LOOKUP(409021300,[1]PlanCuentas!$A$2:$A$6092,[1]PlanCuentas!AD$2:AD$6092)</f>
        <v>0</v>
      </c>
      <c r="P626" s="12">
        <f>LOOKUP(409022000,[1]PlanCuentas!$A$2:$A$6092,[1]PlanCuentas!AD$2:AD$6092)</f>
        <v>3200000</v>
      </c>
      <c r="Q626" s="13">
        <f t="shared" si="30"/>
        <v>673237196</v>
      </c>
    </row>
    <row r="627" spans="1:24" s="37" customFormat="1" x14ac:dyDescent="0.2">
      <c r="A627" s="10">
        <v>29</v>
      </c>
      <c r="B627" s="11" t="str">
        <f>[1]Aseguradoras!B30</f>
        <v>Mapfre Paraguay Compañía de Seguros S.A.</v>
      </c>
      <c r="C627" s="12">
        <f>LOOKUP(409020100,[1]PlanCuentas!$A$2:$A$6092,[1]PlanCuentas!AE$2:AE$6092)</f>
        <v>1467816273</v>
      </c>
      <c r="D627" s="12">
        <f>LOOKUP(409020200,[1]PlanCuentas!$A$2:$A$6092,[1]PlanCuentas!AE$2:AE$6092)</f>
        <v>632961186</v>
      </c>
      <c r="E627" s="12">
        <f>LOOKUP(409020300,[1]PlanCuentas!$A$2:$A$6092,[1]PlanCuentas!AE$2:AE$6092)</f>
        <v>0</v>
      </c>
      <c r="F627" s="12">
        <f>LOOKUP(409020400,[1]PlanCuentas!$A$2:$A$6092,[1]PlanCuentas!AE$2:AE$6092)</f>
        <v>0</v>
      </c>
      <c r="G627" s="12">
        <f>LOOKUP(409020500,[1]PlanCuentas!$A$2:$A$6092,[1]PlanCuentas!AE$2:AE$6092)</f>
        <v>0</v>
      </c>
      <c r="H627" s="12">
        <f>LOOKUP(409020600,[1]PlanCuentas!$A$2:$A$6092,[1]PlanCuentas!AE$2:AE$6092)</f>
        <v>4697436699</v>
      </c>
      <c r="I627" s="12">
        <f>LOOKUP(409020700,[1]PlanCuentas!$A$2:$A$6092,[1]PlanCuentas!AE$2:AE$6092)</f>
        <v>0</v>
      </c>
      <c r="J627" s="12">
        <f>LOOKUP(409020800,[1]PlanCuentas!$A$2:$A$6092,[1]PlanCuentas!AE$2:AE$6092)</f>
        <v>7272086700</v>
      </c>
      <c r="K627" s="12">
        <f>LOOKUP(409020900,[1]PlanCuentas!$A$2:$A$6092,[1]PlanCuentas!AE$2:AE$6092)</f>
        <v>0</v>
      </c>
      <c r="L627" s="12">
        <f>LOOKUP(409021000,[1]PlanCuentas!$A$2:$A$6092,[1]PlanCuentas!AE$2:AE$6092)</f>
        <v>0</v>
      </c>
      <c r="M627" s="12">
        <f>LOOKUP(409021100,[1]PlanCuentas!$A$2:$A$6092,[1]PlanCuentas!AE$2:AE$6092)</f>
        <v>0</v>
      </c>
      <c r="N627" s="12">
        <f>LOOKUP(409021200,[1]PlanCuentas!$A$2:$A$6092,[1]PlanCuentas!AE$2:AE$6092)</f>
        <v>373588</v>
      </c>
      <c r="O627" s="12">
        <f>LOOKUP(409021300,[1]PlanCuentas!$A$2:$A$6092,[1]PlanCuentas!AE$2:AE$6092)</f>
        <v>0</v>
      </c>
      <c r="P627" s="12">
        <f>LOOKUP(409022000,[1]PlanCuentas!$A$2:$A$6092,[1]PlanCuentas!AE$2:AE$6092)</f>
        <v>0</v>
      </c>
      <c r="Q627" s="13">
        <f t="shared" si="30"/>
        <v>14070674446</v>
      </c>
    </row>
    <row r="628" spans="1:24" x14ac:dyDescent="0.2">
      <c r="A628" s="10">
        <v>30</v>
      </c>
      <c r="B628" s="11" t="str">
        <f>[1]Aseguradoras!B31</f>
        <v>Aseguradora Tajy Propiedad Cooperativa S.A. de Seguros</v>
      </c>
      <c r="C628" s="12">
        <f>LOOKUP(409020100,[1]PlanCuentas!$A$2:$A$6092,[1]PlanCuentas!AF$2:AF$6092)</f>
        <v>0</v>
      </c>
      <c r="D628" s="12">
        <f>LOOKUP(409020200,[1]PlanCuentas!$A$2:$A$6092,[1]PlanCuentas!AF$2:AF$6092)</f>
        <v>0</v>
      </c>
      <c r="E628" s="12">
        <f>LOOKUP(409020300,[1]PlanCuentas!$A$2:$A$6092,[1]PlanCuentas!AF$2:AF$6092)</f>
        <v>0</v>
      </c>
      <c r="F628" s="12">
        <f>LOOKUP(409020400,[1]PlanCuentas!$A$2:$A$6092,[1]PlanCuentas!AF$2:AF$6092)</f>
        <v>128314087</v>
      </c>
      <c r="G628" s="12">
        <f>LOOKUP(409020500,[1]PlanCuentas!$A$2:$A$6092,[1]PlanCuentas!AF$2:AF$6092)</f>
        <v>0</v>
      </c>
      <c r="H628" s="12">
        <f>LOOKUP(409020600,[1]PlanCuentas!$A$2:$A$6092,[1]PlanCuentas!AF$2:AF$6092)</f>
        <v>0</v>
      </c>
      <c r="I628" s="12">
        <f>LOOKUP(409020700,[1]PlanCuentas!$A$2:$A$6092,[1]PlanCuentas!AF$2:AF$6092)</f>
        <v>0</v>
      </c>
      <c r="J628" s="12">
        <f>LOOKUP(409020800,[1]PlanCuentas!$A$2:$A$6092,[1]PlanCuentas!AF$2:AF$6092)</f>
        <v>0</v>
      </c>
      <c r="K628" s="12">
        <f>LOOKUP(409020900,[1]PlanCuentas!$A$2:$A$6092,[1]PlanCuentas!AF$2:AF$6092)</f>
        <v>284100194</v>
      </c>
      <c r="L628" s="12">
        <f>LOOKUP(409021000,[1]PlanCuentas!$A$2:$A$6092,[1]PlanCuentas!AF$2:AF$6092)</f>
        <v>0</v>
      </c>
      <c r="M628" s="12">
        <f>LOOKUP(409021100,[1]PlanCuentas!$A$2:$A$6092,[1]PlanCuentas!AF$2:AF$6092)</f>
        <v>0</v>
      </c>
      <c r="N628" s="12">
        <f>LOOKUP(409021200,[1]PlanCuentas!$A$2:$A$6092,[1]PlanCuentas!AF$2:AF$6092)</f>
        <v>0</v>
      </c>
      <c r="O628" s="12">
        <f>LOOKUP(409021300,[1]PlanCuentas!$A$2:$A$6092,[1]PlanCuentas!AF$2:AF$6092)</f>
        <v>0</v>
      </c>
      <c r="P628" s="12">
        <f>LOOKUP(409022000,[1]PlanCuentas!$A$2:$A$6092,[1]PlanCuentas!AF$2:AF$6092)</f>
        <v>139649864</v>
      </c>
      <c r="Q628" s="13">
        <f t="shared" si="30"/>
        <v>552064145</v>
      </c>
    </row>
    <row r="629" spans="1:24" x14ac:dyDescent="0.2">
      <c r="A629" s="10">
        <v>31</v>
      </c>
      <c r="B629" s="11" t="str">
        <f>[1]Aseguradoras!B32</f>
        <v>Aseguradora del Sur S.A. Seguros Generales - ASUR</v>
      </c>
      <c r="C629" s="12">
        <f>LOOKUP(409020100,[1]PlanCuentas!$A$2:$A$6092,[1]PlanCuentas!AG$2:AG$6092)</f>
        <v>0</v>
      </c>
      <c r="D629" s="12">
        <f>LOOKUP(409020200,[1]PlanCuentas!$A$2:$A$6092,[1]PlanCuentas!AG$2:AG$6092)</f>
        <v>0</v>
      </c>
      <c r="E629" s="12">
        <f>LOOKUP(409020300,[1]PlanCuentas!$A$2:$A$6092,[1]PlanCuentas!AG$2:AG$6092)</f>
        <v>0</v>
      </c>
      <c r="F629" s="12">
        <f>LOOKUP(409020400,[1]PlanCuentas!$A$2:$A$6092,[1]PlanCuentas!AG$2:AG$6092)</f>
        <v>0</v>
      </c>
      <c r="G629" s="12">
        <f>LOOKUP(409020500,[1]PlanCuentas!$A$2:$A$6092,[1]PlanCuentas!AG$2:AG$6092)</f>
        <v>0</v>
      </c>
      <c r="H629" s="12">
        <f>LOOKUP(409020600,[1]PlanCuentas!$A$2:$A$6092,[1]PlanCuentas!AG$2:AG$6092)</f>
        <v>0</v>
      </c>
      <c r="I629" s="12">
        <f>LOOKUP(409020700,[1]PlanCuentas!$A$2:$A$6092,[1]PlanCuentas!AG$2:AG$6092)</f>
        <v>0</v>
      </c>
      <c r="J629" s="12">
        <f>LOOKUP(409020800,[1]PlanCuentas!$A$2:$A$6092,[1]PlanCuentas!AG$2:AG$6092)</f>
        <v>0</v>
      </c>
      <c r="K629" s="12">
        <f>LOOKUP(409020900,[1]PlanCuentas!$A$2:$A$6092,[1]PlanCuentas!AG$2:AG$6092)</f>
        <v>0</v>
      </c>
      <c r="L629" s="12">
        <f>LOOKUP(409021000,[1]PlanCuentas!$A$2:$A$6092,[1]PlanCuentas!AG$2:AG$6092)</f>
        <v>0</v>
      </c>
      <c r="M629" s="12">
        <f>LOOKUP(409021100,[1]PlanCuentas!$A$2:$A$6092,[1]PlanCuentas!AG$2:AG$6092)</f>
        <v>0</v>
      </c>
      <c r="N629" s="12">
        <f>LOOKUP(409021200,[1]PlanCuentas!$A$2:$A$6092,[1]PlanCuentas!AG$2:AG$6092)</f>
        <v>0</v>
      </c>
      <c r="O629" s="12">
        <f>LOOKUP(409021300,[1]PlanCuentas!$A$2:$A$6092,[1]PlanCuentas!AG$2:AG$6092)</f>
        <v>0</v>
      </c>
      <c r="P629" s="12">
        <f>LOOKUP(409022000,[1]PlanCuentas!$A$2:$A$6092,[1]PlanCuentas!AG$2:AG$6092)</f>
        <v>0</v>
      </c>
      <c r="Q629" s="13">
        <f t="shared" si="30"/>
        <v>0</v>
      </c>
      <c r="R629" s="5"/>
      <c r="S629" s="5"/>
      <c r="T629" s="5"/>
      <c r="U629" s="5"/>
      <c r="V629" s="5"/>
      <c r="W629" s="5"/>
      <c r="X629" s="5"/>
    </row>
    <row r="630" spans="1:24" x14ac:dyDescent="0.2">
      <c r="A630" s="10">
        <v>32</v>
      </c>
      <c r="B630" s="11" t="str">
        <f>[1]Aseguradoras!B33</f>
        <v>Panal Compañía De Seguros Generales S.A.</v>
      </c>
      <c r="C630" s="12">
        <f>LOOKUP(409020100,[1]PlanCuentas!$A$2:$A$6092,[1]PlanCuentas!AH$2:AH$6092)</f>
        <v>0</v>
      </c>
      <c r="D630" s="12">
        <f>LOOKUP(409020200,[1]PlanCuentas!$A$2:$A$6092,[1]PlanCuentas!AH$2:AH$6092)</f>
        <v>0</v>
      </c>
      <c r="E630" s="12">
        <f>LOOKUP(409020300,[1]PlanCuentas!$A$2:$A$6092,[1]PlanCuentas!AH$2:AH$6092)</f>
        <v>0</v>
      </c>
      <c r="F630" s="12">
        <f>LOOKUP(409020400,[1]PlanCuentas!$A$2:$A$6092,[1]PlanCuentas!AH$2:AH$6092)</f>
        <v>39500000</v>
      </c>
      <c r="G630" s="12">
        <f>LOOKUP(409020500,[1]PlanCuentas!$A$2:$A$6092,[1]PlanCuentas!AH$2:AH$6092)</f>
        <v>0</v>
      </c>
      <c r="H630" s="12">
        <f>LOOKUP(409020600,[1]PlanCuentas!$A$2:$A$6092,[1]PlanCuentas!AH$2:AH$6092)</f>
        <v>944784000</v>
      </c>
      <c r="I630" s="12">
        <f>LOOKUP(409020700,[1]PlanCuentas!$A$2:$A$6092,[1]PlanCuentas!AH$2:AH$6092)</f>
        <v>0</v>
      </c>
      <c r="J630" s="12">
        <f>LOOKUP(409020800,[1]PlanCuentas!$A$2:$A$6092,[1]PlanCuentas!AH$2:AH$6092)</f>
        <v>0</v>
      </c>
      <c r="K630" s="12">
        <f>LOOKUP(409020900,[1]PlanCuentas!$A$2:$A$6092,[1]PlanCuentas!AH$2:AH$6092)</f>
        <v>0</v>
      </c>
      <c r="L630" s="12">
        <f>LOOKUP(409021000,[1]PlanCuentas!$A$2:$A$6092,[1]PlanCuentas!AH$2:AH$6092)</f>
        <v>0</v>
      </c>
      <c r="M630" s="12">
        <f>LOOKUP(409021100,[1]PlanCuentas!$A$2:$A$6092,[1]PlanCuentas!AH$2:AH$6092)</f>
        <v>0</v>
      </c>
      <c r="N630" s="12">
        <f>LOOKUP(409021200,[1]PlanCuentas!$A$2:$A$6092,[1]PlanCuentas!AH$2:AH$6092)</f>
        <v>0</v>
      </c>
      <c r="O630" s="12">
        <f>LOOKUP(409021300,[1]PlanCuentas!$A$2:$A$6092,[1]PlanCuentas!AH$2:AH$6092)</f>
        <v>0</v>
      </c>
      <c r="P630" s="12">
        <f>LOOKUP(409022000,[1]PlanCuentas!$A$2:$A$6092,[1]PlanCuentas!AH$2:AH$6092)</f>
        <v>2191921944</v>
      </c>
      <c r="Q630" s="13">
        <f t="shared" si="30"/>
        <v>3176205944</v>
      </c>
    </row>
    <row r="631" spans="1:24" x14ac:dyDescent="0.2">
      <c r="A631" s="14">
        <v>33</v>
      </c>
      <c r="B631" s="19" t="str">
        <f>[1]Aseguradoras!B34</f>
        <v>Sancor Seguros del Paraguay S.A.</v>
      </c>
      <c r="C631" s="12">
        <f>LOOKUP(409020100,[1]PlanCuentas!$A$2:$A$6092,[1]PlanCuentas!AI$2:AI$6092)</f>
        <v>0</v>
      </c>
      <c r="D631" s="12">
        <f>LOOKUP(409020200,[1]PlanCuentas!$A$2:$A$6092,[1]PlanCuentas!AI$2:AI$6092)</f>
        <v>0</v>
      </c>
      <c r="E631" s="12">
        <f>LOOKUP(409020300,[1]PlanCuentas!$A$2:$A$6092,[1]PlanCuentas!AI$2:AI$6092)</f>
        <v>0</v>
      </c>
      <c r="F631" s="12">
        <f>LOOKUP(409020400,[1]PlanCuentas!$A$2:$A$6092,[1]PlanCuentas!AI$2:AI$6092)</f>
        <v>0</v>
      </c>
      <c r="G631" s="12">
        <f>LOOKUP(409020500,[1]PlanCuentas!$A$2:$A$6092,[1]PlanCuentas!AI$2:AI$6092)</f>
        <v>0</v>
      </c>
      <c r="H631" s="12">
        <f>LOOKUP(409020600,[1]PlanCuentas!$A$2:$A$6092,[1]PlanCuentas!AI$2:AI$6092)</f>
        <v>0</v>
      </c>
      <c r="I631" s="12">
        <f>LOOKUP(409020700,[1]PlanCuentas!$A$2:$A$6092,[1]PlanCuentas!AI$2:AI$6092)</f>
        <v>0</v>
      </c>
      <c r="J631" s="12">
        <f>LOOKUP(409020800,[1]PlanCuentas!$A$2:$A$6092,[1]PlanCuentas!AI$2:AI$6092)</f>
        <v>0</v>
      </c>
      <c r="K631" s="12">
        <f>LOOKUP(409020900,[1]PlanCuentas!$A$2:$A$6092,[1]PlanCuentas!AI$2:AI$6092)</f>
        <v>0</v>
      </c>
      <c r="L631" s="12">
        <f>LOOKUP(409021000,[1]PlanCuentas!$A$2:$A$6092,[1]PlanCuentas!AI$2:AI$6092)</f>
        <v>0</v>
      </c>
      <c r="M631" s="12">
        <f>LOOKUP(409021100,[1]PlanCuentas!$A$2:$A$6092,[1]PlanCuentas!AI$2:AI$6092)</f>
        <v>0</v>
      </c>
      <c r="N631" s="12">
        <f>LOOKUP(409021200,[1]PlanCuentas!$A$2:$A$6092,[1]PlanCuentas!AI$2:AI$6092)</f>
        <v>0</v>
      </c>
      <c r="O631" s="12">
        <f>LOOKUP(409021300,[1]PlanCuentas!$A$2:$A$6092,[1]PlanCuentas!AI$2:AI$6092)</f>
        <v>0</v>
      </c>
      <c r="P631" s="12">
        <f>LOOKUP(409022000,[1]PlanCuentas!$A$2:$A$6092,[1]PlanCuentas!AI$2:AI$6092)</f>
        <v>0</v>
      </c>
      <c r="Q631" s="13">
        <f>SUM(C631:P631)</f>
        <v>0</v>
      </c>
    </row>
    <row r="632" spans="1:24" x14ac:dyDescent="0.2">
      <c r="A632" s="14"/>
      <c r="B632" s="15" t="s">
        <v>18</v>
      </c>
      <c r="C632" s="17">
        <f t="shared" ref="C632:Q632" si="31">SUBTOTAL(109,C599:C631)</f>
        <v>2922988145</v>
      </c>
      <c r="D632" s="17">
        <f t="shared" si="31"/>
        <v>718319190</v>
      </c>
      <c r="E632" s="17">
        <f t="shared" si="31"/>
        <v>133793984</v>
      </c>
      <c r="F632" s="17">
        <f t="shared" si="31"/>
        <v>1162973657</v>
      </c>
      <c r="G632" s="17">
        <f t="shared" si="31"/>
        <v>0</v>
      </c>
      <c r="H632" s="17">
        <f t="shared" si="31"/>
        <v>6615008629</v>
      </c>
      <c r="I632" s="17">
        <f t="shared" si="31"/>
        <v>0</v>
      </c>
      <c r="J632" s="17">
        <f t="shared" si="31"/>
        <v>7272086700</v>
      </c>
      <c r="K632" s="17">
        <f t="shared" si="31"/>
        <v>312474084</v>
      </c>
      <c r="L632" s="17">
        <f t="shared" si="31"/>
        <v>0</v>
      </c>
      <c r="M632" s="17">
        <f t="shared" si="31"/>
        <v>0</v>
      </c>
      <c r="N632" s="17">
        <f t="shared" si="31"/>
        <v>97699234</v>
      </c>
      <c r="O632" s="17">
        <f t="shared" si="31"/>
        <v>259500000</v>
      </c>
      <c r="P632" s="17">
        <f t="shared" si="31"/>
        <v>2334771808</v>
      </c>
      <c r="Q632" s="17">
        <f t="shared" si="31"/>
        <v>21829615431</v>
      </c>
    </row>
    <row r="633" spans="1:24" x14ac:dyDescent="0.2"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</row>
    <row r="634" spans="1:24" ht="28.35" customHeight="1" x14ac:dyDescent="0.2">
      <c r="A634" s="1" t="s">
        <v>44</v>
      </c>
      <c r="B634" s="47" t="s">
        <v>45</v>
      </c>
      <c r="C634" s="47"/>
      <c r="D634" s="2"/>
      <c r="E634" s="30"/>
      <c r="F634" s="4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</row>
    <row r="635" spans="1:24" ht="24" x14ac:dyDescent="0.2">
      <c r="A635" s="7" t="s">
        <v>2</v>
      </c>
      <c r="B635" s="8" t="s">
        <v>3</v>
      </c>
      <c r="C635" s="9" t="s">
        <v>4</v>
      </c>
      <c r="D635" s="9" t="s">
        <v>5</v>
      </c>
      <c r="E635" s="9" t="s">
        <v>6</v>
      </c>
      <c r="F635" s="36" t="s">
        <v>7</v>
      </c>
      <c r="G635" s="9" t="s">
        <v>8</v>
      </c>
      <c r="H635" s="9" t="s">
        <v>9</v>
      </c>
      <c r="I635" s="9" t="s">
        <v>10</v>
      </c>
      <c r="J635" s="9" t="s">
        <v>11</v>
      </c>
      <c r="K635" s="9" t="s">
        <v>12</v>
      </c>
      <c r="L635" s="9" t="s">
        <v>13</v>
      </c>
      <c r="M635" s="9" t="s">
        <v>14</v>
      </c>
      <c r="N635" s="9" t="s">
        <v>15</v>
      </c>
      <c r="O635" s="9" t="s">
        <v>16</v>
      </c>
      <c r="P635" s="8" t="s">
        <v>17</v>
      </c>
      <c r="Q635" s="8" t="s">
        <v>18</v>
      </c>
    </row>
    <row r="636" spans="1:24" x14ac:dyDescent="0.2">
      <c r="A636" s="10">
        <v>1</v>
      </c>
      <c r="B636" s="11" t="str">
        <f>[1]Aseguradoras!B2</f>
        <v>El Comercio Paraguayo S.A. de Seguros</v>
      </c>
      <c r="C636" s="12">
        <f>LOOKUP(410010100,[1]PlanCuentas!$A$2:$A$6092,[1]PlanCuentas!C$2:C$6092)</f>
        <v>0</v>
      </c>
      <c r="D636" s="12">
        <f>LOOKUP(410010200,[1]PlanCuentas!$A$2:$A$6092,[1]PlanCuentas!C$2:C$6092)</f>
        <v>0</v>
      </c>
      <c r="E636" s="12">
        <f>LOOKUP(410010300,[1]PlanCuentas!$A$2:$A$6092,[1]PlanCuentas!C$2:C$6092)</f>
        <v>0</v>
      </c>
      <c r="F636" s="12">
        <f>LOOKUP(410010400,[1]PlanCuentas!$A$2:$A$6092,[1]PlanCuentas!C$2:C$6092)</f>
        <v>0</v>
      </c>
      <c r="G636" s="12">
        <f>LOOKUP(410010500,[1]PlanCuentas!$A$2:$A$6092,[1]PlanCuentas!C$2:C$6092)</f>
        <v>0</v>
      </c>
      <c r="H636" s="12">
        <f>LOOKUP(410010600,[1]PlanCuentas!$A$2:$A$6092,[1]PlanCuentas!C$2:C$6092)</f>
        <v>0</v>
      </c>
      <c r="I636" s="12">
        <f>LOOKUP(410010700,[1]PlanCuentas!$A$2:$A$6092,[1]PlanCuentas!C$2:C$6092)</f>
        <v>0</v>
      </c>
      <c r="J636" s="12">
        <f>LOOKUP(410010800,[1]PlanCuentas!$A$2:$A$6092,[1]PlanCuentas!C$2:C$6092)</f>
        <v>0</v>
      </c>
      <c r="K636" s="12">
        <f>LOOKUP(410010900,[1]PlanCuentas!$A$2:$A$6092,[1]PlanCuentas!C$2:C$6092)</f>
        <v>0</v>
      </c>
      <c r="L636" s="12">
        <f>LOOKUP(410011000,[1]PlanCuentas!$A$2:$A$6092,[1]PlanCuentas!C$2:C$6092)</f>
        <v>0</v>
      </c>
      <c r="M636" s="12">
        <f>LOOKUP(410011100,[1]PlanCuentas!$A$2:$A$6092,[1]PlanCuentas!C$2:C$6092)</f>
        <v>0</v>
      </c>
      <c r="N636" s="12">
        <f>LOOKUP(410011200,[1]PlanCuentas!$A$2:$A$6092,[1]PlanCuentas!C$2:C$6092)</f>
        <v>0</v>
      </c>
      <c r="O636" s="12">
        <f>LOOKUP(410011300,[1]PlanCuentas!$A$2:$A$6092,[1]PlanCuentas!C$2:C$6092)</f>
        <v>0</v>
      </c>
      <c r="P636" s="12">
        <f>LOOKUP(410012000,[1]PlanCuentas!$A$2:$A$6092,[1]PlanCuentas!C$2:C$6092)</f>
        <v>0</v>
      </c>
      <c r="Q636" s="13">
        <f t="shared" ref="Q636:Q667" si="32">SUM(C636:P636)</f>
        <v>0</v>
      </c>
    </row>
    <row r="637" spans="1:24" x14ac:dyDescent="0.2">
      <c r="A637" s="10">
        <v>2</v>
      </c>
      <c r="B637" s="11" t="str">
        <f>[1]Aseguradoras!B3</f>
        <v>La Rural S.A de Seguros</v>
      </c>
      <c r="C637" s="12">
        <f>LOOKUP(410010100,[1]PlanCuentas!$A$2:$A$6092,[1]PlanCuentas!D$2:D$6092)</f>
        <v>0</v>
      </c>
      <c r="D637" s="12">
        <f>LOOKUP(410010200,[1]PlanCuentas!$A$2:$A$6092,[1]PlanCuentas!D$2:D$6092)</f>
        <v>0</v>
      </c>
      <c r="E637" s="12">
        <f>LOOKUP(410010300,[1]PlanCuentas!$A$2:$A$6092,[1]PlanCuentas!D$2:D$6092)</f>
        <v>0</v>
      </c>
      <c r="F637" s="12">
        <f>LOOKUP(410010400,[1]PlanCuentas!$A$2:$A$6092,[1]PlanCuentas!D$2:D$6092)</f>
        <v>0</v>
      </c>
      <c r="G637" s="12">
        <f>LOOKUP(410010500,[1]PlanCuentas!$A$2:$A$6092,[1]PlanCuentas!D$2:D$6092)</f>
        <v>0</v>
      </c>
      <c r="H637" s="12">
        <f>LOOKUP(410010600,[1]PlanCuentas!$A$2:$A$6092,[1]PlanCuentas!D$2:D$6092)</f>
        <v>0</v>
      </c>
      <c r="I637" s="12">
        <f>LOOKUP(410010700,[1]PlanCuentas!$A$2:$A$6092,[1]PlanCuentas!D$2:D$6092)</f>
        <v>0</v>
      </c>
      <c r="J637" s="12">
        <f>LOOKUP(410010800,[1]PlanCuentas!$A$2:$A$6092,[1]PlanCuentas!D$2:D$6092)</f>
        <v>0</v>
      </c>
      <c r="K637" s="12">
        <f>LOOKUP(410010900,[1]PlanCuentas!$A$2:$A$6092,[1]PlanCuentas!D$2:D$6092)</f>
        <v>0</v>
      </c>
      <c r="L637" s="12">
        <f>LOOKUP(410011000,[1]PlanCuentas!$A$2:$A$6092,[1]PlanCuentas!D$2:D$6092)</f>
        <v>0</v>
      </c>
      <c r="M637" s="12">
        <f>LOOKUP(410011100,[1]PlanCuentas!$A$2:$A$6092,[1]PlanCuentas!D$2:D$6092)</f>
        <v>0</v>
      </c>
      <c r="N637" s="12">
        <f>LOOKUP(410011200,[1]PlanCuentas!$A$2:$A$6092,[1]PlanCuentas!D$2:D$6092)</f>
        <v>0</v>
      </c>
      <c r="O637" s="12">
        <f>LOOKUP(410011300,[1]PlanCuentas!$A$2:$A$6092,[1]PlanCuentas!D$2:D$6092)</f>
        <v>0</v>
      </c>
      <c r="P637" s="12">
        <f>LOOKUP(410012000,[1]PlanCuentas!$A$2:$A$6092,[1]PlanCuentas!D$2:D$6092)</f>
        <v>0</v>
      </c>
      <c r="Q637" s="13">
        <f t="shared" si="32"/>
        <v>0</v>
      </c>
    </row>
    <row r="638" spans="1:24" x14ac:dyDescent="0.2">
      <c r="A638" s="10">
        <v>3</v>
      </c>
      <c r="B638" s="11" t="str">
        <f>[1]Aseguradoras!B4</f>
        <v>La Paraguaya S.A de Seguros</v>
      </c>
      <c r="C638" s="12">
        <f>LOOKUP(410010100,[1]PlanCuentas!$A$2:$A$6092,[1]PlanCuentas!E$2:E$6092)</f>
        <v>0</v>
      </c>
      <c r="D638" s="12">
        <f>LOOKUP(410010200,[1]PlanCuentas!$A$2:$A$6092,[1]PlanCuentas!E$2:E$6092)</f>
        <v>0</v>
      </c>
      <c r="E638" s="12">
        <f>LOOKUP(410010300,[1]PlanCuentas!$A$2:$A$6092,[1]PlanCuentas!E$2:E$6092)</f>
        <v>0</v>
      </c>
      <c r="F638" s="12">
        <f>LOOKUP(410010400,[1]PlanCuentas!$A$2:$A$6092,[1]PlanCuentas!E$2:E$6092)</f>
        <v>0</v>
      </c>
      <c r="G638" s="12">
        <f>LOOKUP(410010500,[1]PlanCuentas!$A$2:$A$6092,[1]PlanCuentas!E$2:E$6092)</f>
        <v>0</v>
      </c>
      <c r="H638" s="12">
        <f>LOOKUP(410010600,[1]PlanCuentas!$A$2:$A$6092,[1]PlanCuentas!E$2:E$6092)</f>
        <v>0</v>
      </c>
      <c r="I638" s="12">
        <f>LOOKUP(410010700,[1]PlanCuentas!$A$2:$A$6092,[1]PlanCuentas!E$2:E$6092)</f>
        <v>0</v>
      </c>
      <c r="J638" s="12">
        <f>LOOKUP(410010800,[1]PlanCuentas!$A$2:$A$6092,[1]PlanCuentas!E$2:E$6092)</f>
        <v>0</v>
      </c>
      <c r="K638" s="12">
        <f>LOOKUP(410010900,[1]PlanCuentas!$A$2:$A$6092,[1]PlanCuentas!E$2:E$6092)</f>
        <v>0</v>
      </c>
      <c r="L638" s="12">
        <f>LOOKUP(410011000,[1]PlanCuentas!$A$2:$A$6092,[1]PlanCuentas!E$2:E$6092)</f>
        <v>0</v>
      </c>
      <c r="M638" s="12">
        <f>LOOKUP(410011100,[1]PlanCuentas!$A$2:$A$6092,[1]PlanCuentas!E$2:E$6092)</f>
        <v>0</v>
      </c>
      <c r="N638" s="12">
        <f>LOOKUP(410011200,[1]PlanCuentas!$A$2:$A$6092,[1]PlanCuentas!E$2:E$6092)</f>
        <v>0</v>
      </c>
      <c r="O638" s="12">
        <f>LOOKUP(410011300,[1]PlanCuentas!$A$2:$A$6092,[1]PlanCuentas!E$2:E$6092)</f>
        <v>0</v>
      </c>
      <c r="P638" s="12">
        <f>LOOKUP(410012000,[1]PlanCuentas!$A$2:$A$6092,[1]PlanCuentas!E$2:E$6092)</f>
        <v>0</v>
      </c>
      <c r="Q638" s="13">
        <f t="shared" si="32"/>
        <v>0</v>
      </c>
    </row>
    <row r="639" spans="1:24" x14ac:dyDescent="0.2">
      <c r="A639" s="10">
        <v>4</v>
      </c>
      <c r="B639" s="11" t="str">
        <f>[1]Aseguradoras!B5</f>
        <v>Seguros Generales S. A (SEGESA)</v>
      </c>
      <c r="C639" s="12">
        <f>LOOKUP(410010100,[1]PlanCuentas!$A$2:$A$6092,[1]PlanCuentas!F$2:F$6092)</f>
        <v>0</v>
      </c>
      <c r="D639" s="12">
        <f>LOOKUP(410010200,[1]PlanCuentas!$A$2:$A$6092,[1]PlanCuentas!F$2:F$6092)</f>
        <v>0</v>
      </c>
      <c r="E639" s="12">
        <f>LOOKUP(410010300,[1]PlanCuentas!$A$2:$A$6092,[1]PlanCuentas!F$2:F$6092)</f>
        <v>0</v>
      </c>
      <c r="F639" s="12">
        <f>LOOKUP(410010400,[1]PlanCuentas!$A$2:$A$6092,[1]PlanCuentas!F$2:F$6092)</f>
        <v>0</v>
      </c>
      <c r="G639" s="12">
        <f>LOOKUP(410010500,[1]PlanCuentas!$A$2:$A$6092,[1]PlanCuentas!F$2:F$6092)</f>
        <v>0</v>
      </c>
      <c r="H639" s="12">
        <f>LOOKUP(410010600,[1]PlanCuentas!$A$2:$A$6092,[1]PlanCuentas!F$2:F$6092)</f>
        <v>0</v>
      </c>
      <c r="I639" s="12">
        <f>LOOKUP(410010700,[1]PlanCuentas!$A$2:$A$6092,[1]PlanCuentas!F$2:F$6092)</f>
        <v>0</v>
      </c>
      <c r="J639" s="12">
        <f>LOOKUP(410010800,[1]PlanCuentas!$A$2:$A$6092,[1]PlanCuentas!F$2:F$6092)</f>
        <v>0</v>
      </c>
      <c r="K639" s="12">
        <f>LOOKUP(410010900,[1]PlanCuentas!$A$2:$A$6092,[1]PlanCuentas!F$2:F$6092)</f>
        <v>0</v>
      </c>
      <c r="L639" s="12">
        <f>LOOKUP(410011000,[1]PlanCuentas!$A$2:$A$6092,[1]PlanCuentas!F$2:F$6092)</f>
        <v>0</v>
      </c>
      <c r="M639" s="12">
        <f>LOOKUP(410011100,[1]PlanCuentas!$A$2:$A$6092,[1]PlanCuentas!F$2:F$6092)</f>
        <v>0</v>
      </c>
      <c r="N639" s="12">
        <f>LOOKUP(410011200,[1]PlanCuentas!$A$2:$A$6092,[1]PlanCuentas!F$2:F$6092)</f>
        <v>0</v>
      </c>
      <c r="O639" s="12">
        <f>LOOKUP(410011300,[1]PlanCuentas!$A$2:$A$6092,[1]PlanCuentas!F$2:F$6092)</f>
        <v>0</v>
      </c>
      <c r="P639" s="12">
        <f>LOOKUP(410012000,[1]PlanCuentas!$A$2:$A$6092,[1]PlanCuentas!F$2:F$6092)</f>
        <v>0</v>
      </c>
      <c r="Q639" s="13">
        <f t="shared" si="32"/>
        <v>0</v>
      </c>
    </row>
    <row r="640" spans="1:24" x14ac:dyDescent="0.2">
      <c r="A640" s="10">
        <v>5</v>
      </c>
      <c r="B640" s="11" t="str">
        <f>[1]Aseguradoras!B6</f>
        <v>Rumbos S.A de Seguros</v>
      </c>
      <c r="C640" s="12">
        <f>LOOKUP(410010100,[1]PlanCuentas!$A$2:$A$6092,[1]PlanCuentas!G$2:G$6092)</f>
        <v>0</v>
      </c>
      <c r="D640" s="12">
        <f>LOOKUP(410010200,[1]PlanCuentas!$A$2:$A$6092,[1]PlanCuentas!G$2:G$6092)</f>
        <v>0</v>
      </c>
      <c r="E640" s="12">
        <f>LOOKUP(410010300,[1]PlanCuentas!$A$2:$A$6092,[1]PlanCuentas!G$2:G$6092)</f>
        <v>0</v>
      </c>
      <c r="F640" s="12">
        <f>LOOKUP(410010400,[1]PlanCuentas!$A$2:$A$6092,[1]PlanCuentas!G$2:G$6092)</f>
        <v>0</v>
      </c>
      <c r="G640" s="12">
        <f>LOOKUP(410010500,[1]PlanCuentas!$A$2:$A$6092,[1]PlanCuentas!G$2:G$6092)</f>
        <v>0</v>
      </c>
      <c r="H640" s="12">
        <f>LOOKUP(410010600,[1]PlanCuentas!$A$2:$A$6092,[1]PlanCuentas!G$2:G$6092)</f>
        <v>0</v>
      </c>
      <c r="I640" s="12">
        <f>LOOKUP(410010700,[1]PlanCuentas!$A$2:$A$6092,[1]PlanCuentas!G$2:G$6092)</f>
        <v>0</v>
      </c>
      <c r="J640" s="12">
        <f>LOOKUP(410010800,[1]PlanCuentas!$A$2:$A$6092,[1]PlanCuentas!G$2:G$6092)</f>
        <v>0</v>
      </c>
      <c r="K640" s="12">
        <f>LOOKUP(410010900,[1]PlanCuentas!$A$2:$A$6092,[1]PlanCuentas!G$2:G$6092)</f>
        <v>0</v>
      </c>
      <c r="L640" s="12">
        <f>LOOKUP(410011000,[1]PlanCuentas!$A$2:$A$6092,[1]PlanCuentas!G$2:G$6092)</f>
        <v>0</v>
      </c>
      <c r="M640" s="12">
        <f>LOOKUP(410011100,[1]PlanCuentas!$A$2:$A$6092,[1]PlanCuentas!G$2:G$6092)</f>
        <v>0</v>
      </c>
      <c r="N640" s="12">
        <f>LOOKUP(410011200,[1]PlanCuentas!$A$2:$A$6092,[1]PlanCuentas!G$2:G$6092)</f>
        <v>0</v>
      </c>
      <c r="O640" s="12">
        <f>LOOKUP(410011300,[1]PlanCuentas!$A$2:$A$6092,[1]PlanCuentas!G$2:G$6092)</f>
        <v>4773076</v>
      </c>
      <c r="P640" s="12">
        <f>LOOKUP(410012000,[1]PlanCuentas!$A$2:$A$6092,[1]PlanCuentas!G$2:G$6092)</f>
        <v>0</v>
      </c>
      <c r="Q640" s="13">
        <f t="shared" si="32"/>
        <v>4773076</v>
      </c>
    </row>
    <row r="641" spans="1:17" x14ac:dyDescent="0.2">
      <c r="A641" s="10">
        <v>6</v>
      </c>
      <c r="B641" s="11" t="str">
        <f>[1]Aseguradoras!B7</f>
        <v>La Consolidada S.A de Seguros</v>
      </c>
      <c r="C641" s="12">
        <f>LOOKUP(410010100,[1]PlanCuentas!$A$2:$A$6092,[1]PlanCuentas!H$2:H$6092)</f>
        <v>0</v>
      </c>
      <c r="D641" s="12">
        <f>LOOKUP(410010200,[1]PlanCuentas!$A$2:$A$6092,[1]PlanCuentas!H$2:H$6092)</f>
        <v>0</v>
      </c>
      <c r="E641" s="12">
        <f>LOOKUP(410010300,[1]PlanCuentas!$A$2:$A$6092,[1]PlanCuentas!H$2:H$6092)</f>
        <v>0</v>
      </c>
      <c r="F641" s="12">
        <f>LOOKUP(410010400,[1]PlanCuentas!$A$2:$A$6092,[1]PlanCuentas!H$2:H$6092)</f>
        <v>0</v>
      </c>
      <c r="G641" s="12">
        <f>LOOKUP(410010500,[1]PlanCuentas!$A$2:$A$6092,[1]PlanCuentas!H$2:H$6092)</f>
        <v>0</v>
      </c>
      <c r="H641" s="12">
        <f>LOOKUP(410010600,[1]PlanCuentas!$A$2:$A$6092,[1]PlanCuentas!H$2:H$6092)</f>
        <v>0</v>
      </c>
      <c r="I641" s="12">
        <f>LOOKUP(410010700,[1]PlanCuentas!$A$2:$A$6092,[1]PlanCuentas!H$2:H$6092)</f>
        <v>0</v>
      </c>
      <c r="J641" s="12">
        <f>LOOKUP(410010800,[1]PlanCuentas!$A$2:$A$6092,[1]PlanCuentas!H$2:H$6092)</f>
        <v>0</v>
      </c>
      <c r="K641" s="12">
        <f>LOOKUP(410010900,[1]PlanCuentas!$A$2:$A$6092,[1]PlanCuentas!H$2:H$6092)</f>
        <v>0</v>
      </c>
      <c r="L641" s="12">
        <f>LOOKUP(410011000,[1]PlanCuentas!$A$2:$A$6092,[1]PlanCuentas!H$2:H$6092)</f>
        <v>0</v>
      </c>
      <c r="M641" s="12">
        <f>LOOKUP(410011100,[1]PlanCuentas!$A$2:$A$6092,[1]PlanCuentas!H$2:H$6092)</f>
        <v>0</v>
      </c>
      <c r="N641" s="12">
        <f>LOOKUP(410011200,[1]PlanCuentas!$A$2:$A$6092,[1]PlanCuentas!H$2:H$6092)</f>
        <v>0</v>
      </c>
      <c r="O641" s="12">
        <f>LOOKUP(410011300,[1]PlanCuentas!$A$2:$A$6092,[1]PlanCuentas!H$2:H$6092)</f>
        <v>0</v>
      </c>
      <c r="P641" s="12">
        <f>LOOKUP(410012000,[1]PlanCuentas!$A$2:$A$6092,[1]PlanCuentas!H$2:H$6092)</f>
        <v>0</v>
      </c>
      <c r="Q641" s="13">
        <f t="shared" si="32"/>
        <v>0</v>
      </c>
    </row>
    <row r="642" spans="1:17" x14ac:dyDescent="0.2">
      <c r="A642" s="10">
        <v>7</v>
      </c>
      <c r="B642" s="11" t="str">
        <f>[1]Aseguradoras!B8</f>
        <v>El Productor S.A de Seguros y Reaseguros</v>
      </c>
      <c r="C642" s="12">
        <f>LOOKUP(410010100,[1]PlanCuentas!$A$2:$A$6092,[1]PlanCuentas!I$2:I$6092)</f>
        <v>0</v>
      </c>
      <c r="D642" s="12">
        <f>LOOKUP(410010200,[1]PlanCuentas!$A$2:$A$6092,[1]PlanCuentas!I$2:I$6092)</f>
        <v>0</v>
      </c>
      <c r="E642" s="12">
        <f>LOOKUP(410010300,[1]PlanCuentas!$A$2:$A$6092,[1]PlanCuentas!I$2:I$6092)</f>
        <v>0</v>
      </c>
      <c r="F642" s="12">
        <f>LOOKUP(410010400,[1]PlanCuentas!$A$2:$A$6092,[1]PlanCuentas!I$2:I$6092)</f>
        <v>0</v>
      </c>
      <c r="G642" s="12">
        <f>LOOKUP(410010500,[1]PlanCuentas!$A$2:$A$6092,[1]PlanCuentas!I$2:I$6092)</f>
        <v>0</v>
      </c>
      <c r="H642" s="12">
        <f>LOOKUP(410010600,[1]PlanCuentas!$A$2:$A$6092,[1]PlanCuentas!I$2:I$6092)</f>
        <v>0</v>
      </c>
      <c r="I642" s="12">
        <f>LOOKUP(410010700,[1]PlanCuentas!$A$2:$A$6092,[1]PlanCuentas!I$2:I$6092)</f>
        <v>0</v>
      </c>
      <c r="J642" s="12">
        <f>LOOKUP(410010800,[1]PlanCuentas!$A$2:$A$6092,[1]PlanCuentas!I$2:I$6092)</f>
        <v>0</v>
      </c>
      <c r="K642" s="12">
        <f>LOOKUP(410010900,[1]PlanCuentas!$A$2:$A$6092,[1]PlanCuentas!I$2:I$6092)</f>
        <v>0</v>
      </c>
      <c r="L642" s="12">
        <f>LOOKUP(410011000,[1]PlanCuentas!$A$2:$A$6092,[1]PlanCuentas!I$2:I$6092)</f>
        <v>0</v>
      </c>
      <c r="M642" s="12">
        <f>LOOKUP(410011100,[1]PlanCuentas!$A$2:$A$6092,[1]PlanCuentas!I$2:I$6092)</f>
        <v>0</v>
      </c>
      <c r="N642" s="12">
        <f>LOOKUP(410011200,[1]PlanCuentas!$A$2:$A$6092,[1]PlanCuentas!I$2:I$6092)</f>
        <v>0</v>
      </c>
      <c r="O642" s="12">
        <f>LOOKUP(410011300,[1]PlanCuentas!$A$2:$A$6092,[1]PlanCuentas!I$2:I$6092)</f>
        <v>0</v>
      </c>
      <c r="P642" s="12">
        <f>LOOKUP(410012000,[1]PlanCuentas!$A$2:$A$6092,[1]PlanCuentas!I$2:I$6092)</f>
        <v>0</v>
      </c>
      <c r="Q642" s="13">
        <f t="shared" si="32"/>
        <v>0</v>
      </c>
    </row>
    <row r="643" spans="1:17" x14ac:dyDescent="0.2">
      <c r="A643" s="10">
        <v>8</v>
      </c>
      <c r="B643" s="11" t="str">
        <f>[1]Aseguradoras!B9</f>
        <v>Atalaya S.A de Seguros Generales</v>
      </c>
      <c r="C643" s="12">
        <f>LOOKUP(410010100,[1]PlanCuentas!$A$2:$A$6092,[1]PlanCuentas!J$2:J$6092)</f>
        <v>0</v>
      </c>
      <c r="D643" s="12">
        <f>LOOKUP(410010200,[1]PlanCuentas!$A$2:$A$6092,[1]PlanCuentas!J$2:J$6092)</f>
        <v>0</v>
      </c>
      <c r="E643" s="12">
        <f>LOOKUP(410010300,[1]PlanCuentas!$A$2:$A$6092,[1]PlanCuentas!J$2:J$6092)</f>
        <v>0</v>
      </c>
      <c r="F643" s="12">
        <f>LOOKUP(410010400,[1]PlanCuentas!$A$2:$A$6092,[1]PlanCuentas!J$2:J$6092)</f>
        <v>0</v>
      </c>
      <c r="G643" s="12">
        <f>LOOKUP(410010500,[1]PlanCuentas!$A$2:$A$6092,[1]PlanCuentas!J$2:J$6092)</f>
        <v>0</v>
      </c>
      <c r="H643" s="12">
        <f>LOOKUP(410010600,[1]PlanCuentas!$A$2:$A$6092,[1]PlanCuentas!J$2:J$6092)</f>
        <v>0</v>
      </c>
      <c r="I643" s="12">
        <f>LOOKUP(410010700,[1]PlanCuentas!$A$2:$A$6092,[1]PlanCuentas!J$2:J$6092)</f>
        <v>0</v>
      </c>
      <c r="J643" s="12">
        <f>LOOKUP(410010800,[1]PlanCuentas!$A$2:$A$6092,[1]PlanCuentas!J$2:J$6092)</f>
        <v>0</v>
      </c>
      <c r="K643" s="12">
        <f>LOOKUP(410010900,[1]PlanCuentas!$A$2:$A$6092,[1]PlanCuentas!J$2:J$6092)</f>
        <v>0</v>
      </c>
      <c r="L643" s="12">
        <f>LOOKUP(410011000,[1]PlanCuentas!$A$2:$A$6092,[1]PlanCuentas!J$2:J$6092)</f>
        <v>0</v>
      </c>
      <c r="M643" s="12">
        <f>LOOKUP(410011100,[1]PlanCuentas!$A$2:$A$6092,[1]PlanCuentas!J$2:J$6092)</f>
        <v>0</v>
      </c>
      <c r="N643" s="12">
        <f>LOOKUP(410011200,[1]PlanCuentas!$A$2:$A$6092,[1]PlanCuentas!J$2:J$6092)</f>
        <v>0</v>
      </c>
      <c r="O643" s="12">
        <f>LOOKUP(410011300,[1]PlanCuentas!$A$2:$A$6092,[1]PlanCuentas!J$2:J$6092)</f>
        <v>0</v>
      </c>
      <c r="P643" s="12">
        <f>LOOKUP(410012000,[1]PlanCuentas!$A$2:$A$6092,[1]PlanCuentas!J$2:J$6092)</f>
        <v>0</v>
      </c>
      <c r="Q643" s="13">
        <f t="shared" si="32"/>
        <v>0</v>
      </c>
    </row>
    <row r="644" spans="1:17" x14ac:dyDescent="0.2">
      <c r="A644" s="10">
        <v>9</v>
      </c>
      <c r="B644" s="11" t="str">
        <f>[1]Aseguradoras!B10</f>
        <v>La Independencia de Seguros S.A.</v>
      </c>
      <c r="C644" s="12">
        <f>LOOKUP(410010100,[1]PlanCuentas!$A$2:$A$6092,[1]PlanCuentas!K$2:K$6092)</f>
        <v>172067</v>
      </c>
      <c r="D644" s="12">
        <f>LOOKUP(410010200,[1]PlanCuentas!$A$2:$A$6092,[1]PlanCuentas!K$2:K$6092)</f>
        <v>0</v>
      </c>
      <c r="E644" s="12">
        <f>LOOKUP(410010300,[1]PlanCuentas!$A$2:$A$6092,[1]PlanCuentas!K$2:K$6092)</f>
        <v>0</v>
      </c>
      <c r="F644" s="12">
        <f>LOOKUP(410010400,[1]PlanCuentas!$A$2:$A$6092,[1]PlanCuentas!K$2:K$6092)</f>
        <v>0</v>
      </c>
      <c r="G644" s="12">
        <f>LOOKUP(410010500,[1]PlanCuentas!$A$2:$A$6092,[1]PlanCuentas!K$2:K$6092)</f>
        <v>0</v>
      </c>
      <c r="H644" s="12">
        <f>LOOKUP(410010600,[1]PlanCuentas!$A$2:$A$6092,[1]PlanCuentas!K$2:K$6092)</f>
        <v>15508</v>
      </c>
      <c r="I644" s="12">
        <f>LOOKUP(410010700,[1]PlanCuentas!$A$2:$A$6092,[1]PlanCuentas!K$2:K$6092)</f>
        <v>0</v>
      </c>
      <c r="J644" s="12">
        <f>LOOKUP(410010800,[1]PlanCuentas!$A$2:$A$6092,[1]PlanCuentas!K$2:K$6092)</f>
        <v>0</v>
      </c>
      <c r="K644" s="12">
        <f>LOOKUP(410010900,[1]PlanCuentas!$A$2:$A$6092,[1]PlanCuentas!K$2:K$6092)</f>
        <v>12473</v>
      </c>
      <c r="L644" s="12">
        <f>LOOKUP(410011000,[1]PlanCuentas!$A$2:$A$6092,[1]PlanCuentas!K$2:K$6092)</f>
        <v>0</v>
      </c>
      <c r="M644" s="12">
        <f>LOOKUP(410011100,[1]PlanCuentas!$A$2:$A$6092,[1]PlanCuentas!K$2:K$6092)</f>
        <v>0</v>
      </c>
      <c r="N644" s="12">
        <f>LOOKUP(410011200,[1]PlanCuentas!$A$2:$A$6092,[1]PlanCuentas!K$2:K$6092)</f>
        <v>0</v>
      </c>
      <c r="O644" s="12">
        <f>LOOKUP(410011300,[1]PlanCuentas!$A$2:$A$6092,[1]PlanCuentas!K$2:K$6092)</f>
        <v>0</v>
      </c>
      <c r="P644" s="12">
        <f>LOOKUP(410012000,[1]PlanCuentas!$A$2:$A$6092,[1]PlanCuentas!K$2:K$6092)</f>
        <v>0</v>
      </c>
      <c r="Q644" s="13">
        <f t="shared" si="32"/>
        <v>200048</v>
      </c>
    </row>
    <row r="645" spans="1:17" x14ac:dyDescent="0.2">
      <c r="A645" s="10">
        <v>10</v>
      </c>
      <c r="B645" s="11" t="str">
        <f>[1]Aseguradoras!B11</f>
        <v>Patria S.A de Seguros y Reaseguros</v>
      </c>
      <c r="C645" s="12">
        <f>LOOKUP(410010100,[1]PlanCuentas!$A$2:$A$6092,[1]PlanCuentas!L$2:L$6092)</f>
        <v>0</v>
      </c>
      <c r="D645" s="12">
        <f>LOOKUP(410010200,[1]PlanCuentas!$A$2:$A$6092,[1]PlanCuentas!L$2:L$6092)</f>
        <v>0</v>
      </c>
      <c r="E645" s="12">
        <f>LOOKUP(410010300,[1]PlanCuentas!$A$2:$A$6092,[1]PlanCuentas!L$2:L$6092)</f>
        <v>0</v>
      </c>
      <c r="F645" s="12">
        <f>LOOKUP(410010400,[1]PlanCuentas!$A$2:$A$6092,[1]PlanCuentas!L$2:L$6092)</f>
        <v>0</v>
      </c>
      <c r="G645" s="12">
        <f>LOOKUP(410010500,[1]PlanCuentas!$A$2:$A$6092,[1]PlanCuentas!L$2:L$6092)</f>
        <v>0</v>
      </c>
      <c r="H645" s="12">
        <f>LOOKUP(410010600,[1]PlanCuentas!$A$2:$A$6092,[1]PlanCuentas!L$2:L$6092)</f>
        <v>0</v>
      </c>
      <c r="I645" s="12">
        <f>LOOKUP(410010700,[1]PlanCuentas!$A$2:$A$6092,[1]PlanCuentas!L$2:L$6092)</f>
        <v>0</v>
      </c>
      <c r="J645" s="12">
        <f>LOOKUP(410010800,[1]PlanCuentas!$A$2:$A$6092,[1]PlanCuentas!L$2:L$6092)</f>
        <v>0</v>
      </c>
      <c r="K645" s="12">
        <f>LOOKUP(410010900,[1]PlanCuentas!$A$2:$A$6092,[1]PlanCuentas!L$2:L$6092)</f>
        <v>0</v>
      </c>
      <c r="L645" s="12">
        <f>LOOKUP(410011000,[1]PlanCuentas!$A$2:$A$6092,[1]PlanCuentas!L$2:L$6092)</f>
        <v>0</v>
      </c>
      <c r="M645" s="12">
        <f>LOOKUP(410011100,[1]PlanCuentas!$A$2:$A$6092,[1]PlanCuentas!L$2:L$6092)</f>
        <v>0</v>
      </c>
      <c r="N645" s="12">
        <f>LOOKUP(410011200,[1]PlanCuentas!$A$2:$A$6092,[1]PlanCuentas!L$2:L$6092)</f>
        <v>0</v>
      </c>
      <c r="O645" s="12">
        <f>LOOKUP(410011300,[1]PlanCuentas!$A$2:$A$6092,[1]PlanCuentas!L$2:L$6092)</f>
        <v>0</v>
      </c>
      <c r="P645" s="12">
        <f>LOOKUP(410012000,[1]PlanCuentas!$A$2:$A$6092,[1]PlanCuentas!L$2:L$6092)</f>
        <v>0</v>
      </c>
      <c r="Q645" s="13">
        <f t="shared" si="32"/>
        <v>0</v>
      </c>
    </row>
    <row r="646" spans="1:17" x14ac:dyDescent="0.2">
      <c r="A646" s="10">
        <v>11</v>
      </c>
      <c r="B646" s="11" t="str">
        <f>[1]Aseguradoras!B12</f>
        <v>Garantía S.A de Seguros y Reaseguros</v>
      </c>
      <c r="C646" s="12">
        <f>LOOKUP(410010100,[1]PlanCuentas!$A$2:$A$6092,[1]PlanCuentas!M$2:M$6092)</f>
        <v>72302</v>
      </c>
      <c r="D646" s="12">
        <f>LOOKUP(410010200,[1]PlanCuentas!$A$2:$A$6092,[1]PlanCuentas!M$2:M$6092)</f>
        <v>0</v>
      </c>
      <c r="E646" s="12">
        <f>LOOKUP(410010300,[1]PlanCuentas!$A$2:$A$6092,[1]PlanCuentas!M$2:M$6092)</f>
        <v>0</v>
      </c>
      <c r="F646" s="12">
        <f>LOOKUP(410010400,[1]PlanCuentas!$A$2:$A$6092,[1]PlanCuentas!M$2:M$6092)</f>
        <v>0</v>
      </c>
      <c r="G646" s="12">
        <f>LOOKUP(410010500,[1]PlanCuentas!$A$2:$A$6092,[1]PlanCuentas!M$2:M$6092)</f>
        <v>0</v>
      </c>
      <c r="H646" s="12">
        <f>LOOKUP(410010600,[1]PlanCuentas!$A$2:$A$6092,[1]PlanCuentas!M$2:M$6092)</f>
        <v>0</v>
      </c>
      <c r="I646" s="12">
        <f>LOOKUP(410010700,[1]PlanCuentas!$A$2:$A$6092,[1]PlanCuentas!M$2:M$6092)</f>
        <v>0</v>
      </c>
      <c r="J646" s="12">
        <f>LOOKUP(410010800,[1]PlanCuentas!$A$2:$A$6092,[1]PlanCuentas!M$2:M$6092)</f>
        <v>0</v>
      </c>
      <c r="K646" s="12">
        <f>LOOKUP(410010900,[1]PlanCuentas!$A$2:$A$6092,[1]PlanCuentas!M$2:M$6092)</f>
        <v>0</v>
      </c>
      <c r="L646" s="12">
        <f>LOOKUP(410011000,[1]PlanCuentas!$A$2:$A$6092,[1]PlanCuentas!M$2:M$6092)</f>
        <v>0</v>
      </c>
      <c r="M646" s="12">
        <f>LOOKUP(410011100,[1]PlanCuentas!$A$2:$A$6092,[1]PlanCuentas!M$2:M$6092)</f>
        <v>0</v>
      </c>
      <c r="N646" s="12">
        <f>LOOKUP(410011200,[1]PlanCuentas!$A$2:$A$6092,[1]PlanCuentas!M$2:M$6092)</f>
        <v>0</v>
      </c>
      <c r="O646" s="12">
        <f>LOOKUP(410011300,[1]PlanCuentas!$A$2:$A$6092,[1]PlanCuentas!M$2:M$6092)</f>
        <v>0</v>
      </c>
      <c r="P646" s="12">
        <f>LOOKUP(410012000,[1]PlanCuentas!$A$2:$A$6092,[1]PlanCuentas!M$2:M$6092)</f>
        <v>0</v>
      </c>
      <c r="Q646" s="13">
        <f t="shared" si="32"/>
        <v>72302</v>
      </c>
    </row>
    <row r="647" spans="1:17" x14ac:dyDescent="0.2">
      <c r="A647" s="10">
        <v>12</v>
      </c>
      <c r="B647" s="11" t="str">
        <f>[1]Aseguradoras!B13</f>
        <v>Aseguradora Paraguaya S.A.</v>
      </c>
      <c r="C647" s="12">
        <f>LOOKUP(410010100,[1]PlanCuentas!$A$2:$A$6092,[1]PlanCuentas!N$2:N$6092)</f>
        <v>0</v>
      </c>
      <c r="D647" s="12">
        <f>LOOKUP(410010200,[1]PlanCuentas!$A$2:$A$6092,[1]PlanCuentas!N$2:N$6092)</f>
        <v>0</v>
      </c>
      <c r="E647" s="12">
        <f>LOOKUP(410010300,[1]PlanCuentas!$A$2:$A$6092,[1]PlanCuentas!N$2:N$6092)</f>
        <v>0</v>
      </c>
      <c r="F647" s="12">
        <f>LOOKUP(410010400,[1]PlanCuentas!$A$2:$A$6092,[1]PlanCuentas!N$2:N$6092)</f>
        <v>54282</v>
      </c>
      <c r="G647" s="12">
        <f>LOOKUP(410010500,[1]PlanCuentas!$A$2:$A$6092,[1]PlanCuentas!N$2:N$6092)</f>
        <v>0</v>
      </c>
      <c r="H647" s="12">
        <f>LOOKUP(410010600,[1]PlanCuentas!$A$2:$A$6092,[1]PlanCuentas!N$2:N$6092)</f>
        <v>846720</v>
      </c>
      <c r="I647" s="12">
        <f>LOOKUP(410010700,[1]PlanCuentas!$A$2:$A$6092,[1]PlanCuentas!N$2:N$6092)</f>
        <v>0</v>
      </c>
      <c r="J647" s="12">
        <f>LOOKUP(410010800,[1]PlanCuentas!$A$2:$A$6092,[1]PlanCuentas!N$2:N$6092)</f>
        <v>0</v>
      </c>
      <c r="K647" s="12">
        <f>LOOKUP(410010900,[1]PlanCuentas!$A$2:$A$6092,[1]PlanCuentas!N$2:N$6092)</f>
        <v>0</v>
      </c>
      <c r="L647" s="12">
        <f>LOOKUP(410011000,[1]PlanCuentas!$A$2:$A$6092,[1]PlanCuentas!N$2:N$6092)</f>
        <v>0</v>
      </c>
      <c r="M647" s="12">
        <f>LOOKUP(410011100,[1]PlanCuentas!$A$2:$A$6092,[1]PlanCuentas!N$2:N$6092)</f>
        <v>0</v>
      </c>
      <c r="N647" s="12">
        <f>LOOKUP(410011200,[1]PlanCuentas!$A$2:$A$6092,[1]PlanCuentas!N$2:N$6092)</f>
        <v>0</v>
      </c>
      <c r="O647" s="12">
        <f>LOOKUP(410011300,[1]PlanCuentas!$A$2:$A$6092,[1]PlanCuentas!N$2:N$6092)</f>
        <v>0</v>
      </c>
      <c r="P647" s="12">
        <f>LOOKUP(410012000,[1]PlanCuentas!$A$2:$A$6092,[1]PlanCuentas!N$2:N$6092)</f>
        <v>0</v>
      </c>
      <c r="Q647" s="13">
        <f t="shared" si="32"/>
        <v>901002</v>
      </c>
    </row>
    <row r="648" spans="1:17" x14ac:dyDescent="0.2">
      <c r="A648" s="10">
        <v>13</v>
      </c>
      <c r="B648" s="11" t="str">
        <f>[1]Aseguradoras!B14</f>
        <v>Fénix S.A de Seguros y Reaseguros</v>
      </c>
      <c r="C648" s="12">
        <f>LOOKUP(410010100,[1]PlanCuentas!$A$2:$A$6092,[1]PlanCuentas!O$2:O$6092)</f>
        <v>0</v>
      </c>
      <c r="D648" s="12">
        <f>LOOKUP(410010200,[1]PlanCuentas!$A$2:$A$6092,[1]PlanCuentas!O$2:O$6092)</f>
        <v>0</v>
      </c>
      <c r="E648" s="12">
        <f>LOOKUP(410010300,[1]PlanCuentas!$A$2:$A$6092,[1]PlanCuentas!O$2:O$6092)</f>
        <v>0</v>
      </c>
      <c r="F648" s="12">
        <f>LOOKUP(410010400,[1]PlanCuentas!$A$2:$A$6092,[1]PlanCuentas!O$2:O$6092)</f>
        <v>0</v>
      </c>
      <c r="G648" s="12">
        <f>LOOKUP(410010500,[1]PlanCuentas!$A$2:$A$6092,[1]PlanCuentas!O$2:O$6092)</f>
        <v>0</v>
      </c>
      <c r="H648" s="12">
        <f>LOOKUP(410010600,[1]PlanCuentas!$A$2:$A$6092,[1]PlanCuentas!O$2:O$6092)</f>
        <v>0</v>
      </c>
      <c r="I648" s="12">
        <f>LOOKUP(410010700,[1]PlanCuentas!$A$2:$A$6092,[1]PlanCuentas!O$2:O$6092)</f>
        <v>0</v>
      </c>
      <c r="J648" s="12">
        <f>LOOKUP(410010800,[1]PlanCuentas!$A$2:$A$6092,[1]PlanCuentas!O$2:O$6092)</f>
        <v>0</v>
      </c>
      <c r="K648" s="12">
        <f>LOOKUP(410010900,[1]PlanCuentas!$A$2:$A$6092,[1]PlanCuentas!O$2:O$6092)</f>
        <v>0</v>
      </c>
      <c r="L648" s="12">
        <f>LOOKUP(410011000,[1]PlanCuentas!$A$2:$A$6092,[1]PlanCuentas!O$2:O$6092)</f>
        <v>0</v>
      </c>
      <c r="M648" s="12">
        <f>LOOKUP(410011100,[1]PlanCuentas!$A$2:$A$6092,[1]PlanCuentas!O$2:O$6092)</f>
        <v>0</v>
      </c>
      <c r="N648" s="12">
        <f>LOOKUP(410011200,[1]PlanCuentas!$A$2:$A$6092,[1]PlanCuentas!O$2:O$6092)</f>
        <v>0</v>
      </c>
      <c r="O648" s="12">
        <f>LOOKUP(410011300,[1]PlanCuentas!$A$2:$A$6092,[1]PlanCuentas!O$2:O$6092)</f>
        <v>0</v>
      </c>
      <c r="P648" s="12">
        <f>LOOKUP(410012000,[1]PlanCuentas!$A$2:$A$6092,[1]PlanCuentas!O$2:O$6092)</f>
        <v>0</v>
      </c>
      <c r="Q648" s="13">
        <f t="shared" si="32"/>
        <v>0</v>
      </c>
    </row>
    <row r="649" spans="1:17" x14ac:dyDescent="0.2">
      <c r="A649" s="10">
        <v>14</v>
      </c>
      <c r="B649" s="11" t="str">
        <f>[1]Aseguradoras!B15</f>
        <v>Central S.A de Seguros</v>
      </c>
      <c r="C649" s="12">
        <f>LOOKUP(410010100,[1]PlanCuentas!$A$2:$A$6092,[1]PlanCuentas!P$2:P$6092)</f>
        <v>0</v>
      </c>
      <c r="D649" s="12">
        <f>LOOKUP(410010200,[1]PlanCuentas!$A$2:$A$6092,[1]PlanCuentas!P$2:P$6092)</f>
        <v>0</v>
      </c>
      <c r="E649" s="12">
        <f>LOOKUP(410010300,[1]PlanCuentas!$A$2:$A$6092,[1]PlanCuentas!P$2:P$6092)</f>
        <v>0</v>
      </c>
      <c r="F649" s="12">
        <f>LOOKUP(410010400,[1]PlanCuentas!$A$2:$A$6092,[1]PlanCuentas!P$2:P$6092)</f>
        <v>0</v>
      </c>
      <c r="G649" s="12">
        <f>LOOKUP(410010500,[1]PlanCuentas!$A$2:$A$6092,[1]PlanCuentas!P$2:P$6092)</f>
        <v>0</v>
      </c>
      <c r="H649" s="12">
        <f>LOOKUP(410010600,[1]PlanCuentas!$A$2:$A$6092,[1]PlanCuentas!P$2:P$6092)</f>
        <v>0</v>
      </c>
      <c r="I649" s="12">
        <f>LOOKUP(410010700,[1]PlanCuentas!$A$2:$A$6092,[1]PlanCuentas!P$2:P$6092)</f>
        <v>0</v>
      </c>
      <c r="J649" s="12">
        <f>LOOKUP(410010800,[1]PlanCuentas!$A$2:$A$6092,[1]PlanCuentas!P$2:P$6092)</f>
        <v>0</v>
      </c>
      <c r="K649" s="12">
        <f>LOOKUP(410010900,[1]PlanCuentas!$A$2:$A$6092,[1]PlanCuentas!P$2:P$6092)</f>
        <v>0</v>
      </c>
      <c r="L649" s="12">
        <f>LOOKUP(410011000,[1]PlanCuentas!$A$2:$A$6092,[1]PlanCuentas!P$2:P$6092)</f>
        <v>0</v>
      </c>
      <c r="M649" s="12">
        <f>LOOKUP(410011100,[1]PlanCuentas!$A$2:$A$6092,[1]PlanCuentas!P$2:P$6092)</f>
        <v>0</v>
      </c>
      <c r="N649" s="12">
        <f>LOOKUP(410011200,[1]PlanCuentas!$A$2:$A$6092,[1]PlanCuentas!P$2:P$6092)</f>
        <v>0</v>
      </c>
      <c r="O649" s="12">
        <f>LOOKUP(410011300,[1]PlanCuentas!$A$2:$A$6092,[1]PlanCuentas!P$2:P$6092)</f>
        <v>0</v>
      </c>
      <c r="P649" s="12">
        <f>LOOKUP(410012000,[1]PlanCuentas!$A$2:$A$6092,[1]PlanCuentas!P$2:P$6092)</f>
        <v>0</v>
      </c>
      <c r="Q649" s="13">
        <f t="shared" si="32"/>
        <v>0</v>
      </c>
    </row>
    <row r="650" spans="1:17" x14ac:dyDescent="0.2">
      <c r="A650" s="10">
        <v>15</v>
      </c>
      <c r="B650" s="11" t="str">
        <f>[1]Aseguradoras!B16</f>
        <v>Seguros Chaco S.A de Seguros y Reaseguros</v>
      </c>
      <c r="C650" s="12">
        <f>LOOKUP(410010100,[1]PlanCuentas!$A$2:$A$6092,[1]PlanCuentas!Q$2:Q$6092)</f>
        <v>7902</v>
      </c>
      <c r="D650" s="12">
        <f>LOOKUP(410010200,[1]PlanCuentas!$A$2:$A$6092,[1]PlanCuentas!Q$2:Q$6092)</f>
        <v>101840</v>
      </c>
      <c r="E650" s="12">
        <f>LOOKUP(410010300,[1]PlanCuentas!$A$2:$A$6092,[1]PlanCuentas!Q$2:Q$6092)</f>
        <v>0</v>
      </c>
      <c r="F650" s="12">
        <f>LOOKUP(410010400,[1]PlanCuentas!$A$2:$A$6092,[1]PlanCuentas!Q$2:Q$6092)</f>
        <v>0</v>
      </c>
      <c r="G650" s="12">
        <f>LOOKUP(410010500,[1]PlanCuentas!$A$2:$A$6092,[1]PlanCuentas!Q$2:Q$6092)</f>
        <v>0</v>
      </c>
      <c r="H650" s="12">
        <f>LOOKUP(410010600,[1]PlanCuentas!$A$2:$A$6092,[1]PlanCuentas!Q$2:Q$6092)</f>
        <v>595832</v>
      </c>
      <c r="I650" s="12">
        <f>LOOKUP(410010700,[1]PlanCuentas!$A$2:$A$6092,[1]PlanCuentas!Q$2:Q$6092)</f>
        <v>0</v>
      </c>
      <c r="J650" s="12">
        <f>LOOKUP(410010800,[1]PlanCuentas!$A$2:$A$6092,[1]PlanCuentas!Q$2:Q$6092)</f>
        <v>0</v>
      </c>
      <c r="K650" s="12">
        <f>LOOKUP(410010900,[1]PlanCuentas!$A$2:$A$6092,[1]PlanCuentas!Q$2:Q$6092)</f>
        <v>0</v>
      </c>
      <c r="L650" s="12">
        <f>LOOKUP(410011000,[1]PlanCuentas!$A$2:$A$6092,[1]PlanCuentas!Q$2:Q$6092)</f>
        <v>0</v>
      </c>
      <c r="M650" s="12">
        <f>LOOKUP(410011100,[1]PlanCuentas!$A$2:$A$6092,[1]PlanCuentas!Q$2:Q$6092)</f>
        <v>0</v>
      </c>
      <c r="N650" s="12">
        <f>LOOKUP(410011200,[1]PlanCuentas!$A$2:$A$6092,[1]PlanCuentas!Q$2:Q$6092)</f>
        <v>0</v>
      </c>
      <c r="O650" s="12">
        <f>LOOKUP(410011300,[1]PlanCuentas!$A$2:$A$6092,[1]PlanCuentas!Q$2:Q$6092)</f>
        <v>406250</v>
      </c>
      <c r="P650" s="12">
        <f>LOOKUP(410012000,[1]PlanCuentas!$A$2:$A$6092,[1]PlanCuentas!Q$2:Q$6092)</f>
        <v>0</v>
      </c>
      <c r="Q650" s="13">
        <f t="shared" si="32"/>
        <v>1111824</v>
      </c>
    </row>
    <row r="651" spans="1:17" x14ac:dyDescent="0.2">
      <c r="A651" s="10">
        <v>16</v>
      </c>
      <c r="B651" s="11" t="str">
        <f>[1]Aseguradoras!B17</f>
        <v>El Sol Del Paraguay Compañía de Seguros y Reaseguros S.A.</v>
      </c>
      <c r="C651" s="12">
        <f>LOOKUP(410010100,[1]PlanCuentas!$A$2:$A$6092,[1]PlanCuentas!R$2:R$6092)</f>
        <v>0</v>
      </c>
      <c r="D651" s="12">
        <f>LOOKUP(410010200,[1]PlanCuentas!$A$2:$A$6092,[1]PlanCuentas!R$2:R$6092)</f>
        <v>0</v>
      </c>
      <c r="E651" s="12">
        <f>LOOKUP(410010300,[1]PlanCuentas!$A$2:$A$6092,[1]PlanCuentas!R$2:R$6092)</f>
        <v>0</v>
      </c>
      <c r="F651" s="12">
        <f>LOOKUP(410010400,[1]PlanCuentas!$A$2:$A$6092,[1]PlanCuentas!R$2:R$6092)</f>
        <v>0</v>
      </c>
      <c r="G651" s="12">
        <f>LOOKUP(410010500,[1]PlanCuentas!$A$2:$A$6092,[1]PlanCuentas!R$2:R$6092)</f>
        <v>0</v>
      </c>
      <c r="H651" s="12">
        <f>LOOKUP(410010600,[1]PlanCuentas!$A$2:$A$6092,[1]PlanCuentas!R$2:R$6092)</f>
        <v>0</v>
      </c>
      <c r="I651" s="12">
        <f>LOOKUP(410010700,[1]PlanCuentas!$A$2:$A$6092,[1]PlanCuentas!R$2:R$6092)</f>
        <v>0</v>
      </c>
      <c r="J651" s="12">
        <f>LOOKUP(410010800,[1]PlanCuentas!$A$2:$A$6092,[1]PlanCuentas!R$2:R$6092)</f>
        <v>0</v>
      </c>
      <c r="K651" s="12">
        <f>LOOKUP(410010900,[1]PlanCuentas!$A$2:$A$6092,[1]PlanCuentas!R$2:R$6092)</f>
        <v>0</v>
      </c>
      <c r="L651" s="12">
        <f>LOOKUP(410011000,[1]PlanCuentas!$A$2:$A$6092,[1]PlanCuentas!R$2:R$6092)</f>
        <v>0</v>
      </c>
      <c r="M651" s="12">
        <f>LOOKUP(410011100,[1]PlanCuentas!$A$2:$A$6092,[1]PlanCuentas!R$2:R$6092)</f>
        <v>0</v>
      </c>
      <c r="N651" s="12">
        <f>LOOKUP(410011200,[1]PlanCuentas!$A$2:$A$6092,[1]PlanCuentas!R$2:R$6092)</f>
        <v>0</v>
      </c>
      <c r="O651" s="12">
        <f>LOOKUP(410011300,[1]PlanCuentas!$A$2:$A$6092,[1]PlanCuentas!R$2:R$6092)</f>
        <v>95869</v>
      </c>
      <c r="P651" s="12">
        <f>LOOKUP(410012000,[1]PlanCuentas!$A$2:$A$6092,[1]PlanCuentas!R$2:R$6092)</f>
        <v>0</v>
      </c>
      <c r="Q651" s="13">
        <f t="shared" si="32"/>
        <v>95869</v>
      </c>
    </row>
    <row r="652" spans="1:17" x14ac:dyDescent="0.2">
      <c r="A652" s="10">
        <v>17</v>
      </c>
      <c r="B652" s="11" t="str">
        <f>[1]Aseguradoras!B18</f>
        <v>Intercontinental de Seguros y Reaseguros S.A.</v>
      </c>
      <c r="C652" s="12">
        <f>LOOKUP(410010100,[1]PlanCuentas!$A$2:$A$6092,[1]PlanCuentas!S$2:S$6092)</f>
        <v>0</v>
      </c>
      <c r="D652" s="12">
        <f>LOOKUP(410010200,[1]PlanCuentas!$A$2:$A$6092,[1]PlanCuentas!S$2:S$6092)</f>
        <v>0</v>
      </c>
      <c r="E652" s="12">
        <f>LOOKUP(410010300,[1]PlanCuentas!$A$2:$A$6092,[1]PlanCuentas!S$2:S$6092)</f>
        <v>0</v>
      </c>
      <c r="F652" s="12">
        <f>LOOKUP(410010400,[1]PlanCuentas!$A$2:$A$6092,[1]PlanCuentas!S$2:S$6092)</f>
        <v>0</v>
      </c>
      <c r="G652" s="12">
        <f>LOOKUP(410010500,[1]PlanCuentas!$A$2:$A$6092,[1]PlanCuentas!S$2:S$6092)</f>
        <v>0</v>
      </c>
      <c r="H652" s="12">
        <f>LOOKUP(410010600,[1]PlanCuentas!$A$2:$A$6092,[1]PlanCuentas!S$2:S$6092)</f>
        <v>0</v>
      </c>
      <c r="I652" s="12">
        <f>LOOKUP(410010700,[1]PlanCuentas!$A$2:$A$6092,[1]PlanCuentas!S$2:S$6092)</f>
        <v>0</v>
      </c>
      <c r="J652" s="12">
        <f>LOOKUP(410010800,[1]PlanCuentas!$A$2:$A$6092,[1]PlanCuentas!S$2:S$6092)</f>
        <v>0</v>
      </c>
      <c r="K652" s="12">
        <f>LOOKUP(410010900,[1]PlanCuentas!$A$2:$A$6092,[1]PlanCuentas!S$2:S$6092)</f>
        <v>0</v>
      </c>
      <c r="L652" s="12">
        <f>LOOKUP(410011000,[1]PlanCuentas!$A$2:$A$6092,[1]PlanCuentas!S$2:S$6092)</f>
        <v>0</v>
      </c>
      <c r="M652" s="12">
        <f>LOOKUP(410011100,[1]PlanCuentas!$A$2:$A$6092,[1]PlanCuentas!S$2:S$6092)</f>
        <v>0</v>
      </c>
      <c r="N652" s="12">
        <f>LOOKUP(410011200,[1]PlanCuentas!$A$2:$A$6092,[1]PlanCuentas!S$2:S$6092)</f>
        <v>0</v>
      </c>
      <c r="O652" s="12">
        <f>LOOKUP(410011300,[1]PlanCuentas!$A$2:$A$6092,[1]PlanCuentas!S$2:S$6092)</f>
        <v>0</v>
      </c>
      <c r="P652" s="12">
        <f>LOOKUP(410012000,[1]PlanCuentas!$A$2:$A$6092,[1]PlanCuentas!S$2:S$6092)</f>
        <v>0</v>
      </c>
      <c r="Q652" s="13">
        <f t="shared" si="32"/>
        <v>0</v>
      </c>
    </row>
    <row r="653" spans="1:17" x14ac:dyDescent="0.2">
      <c r="A653" s="10">
        <v>18</v>
      </c>
      <c r="B653" s="11" t="str">
        <f>[1]Aseguradoras!B19</f>
        <v>Seguridad S.A Compañía de Seguros</v>
      </c>
      <c r="C653" s="12">
        <f>LOOKUP(410010100,[1]PlanCuentas!$A$2:$A$6092,[1]PlanCuentas!T$2:T$6092)</f>
        <v>0</v>
      </c>
      <c r="D653" s="12">
        <f>LOOKUP(410010200,[1]PlanCuentas!$A$2:$A$6092,[1]PlanCuentas!T$2:T$6092)</f>
        <v>0</v>
      </c>
      <c r="E653" s="12">
        <f>LOOKUP(410010300,[1]PlanCuentas!$A$2:$A$6092,[1]PlanCuentas!T$2:T$6092)</f>
        <v>0</v>
      </c>
      <c r="F653" s="12">
        <f>LOOKUP(410010400,[1]PlanCuentas!$A$2:$A$6092,[1]PlanCuentas!T$2:T$6092)</f>
        <v>0</v>
      </c>
      <c r="G653" s="12">
        <f>LOOKUP(410010500,[1]PlanCuentas!$A$2:$A$6092,[1]PlanCuentas!T$2:T$6092)</f>
        <v>0</v>
      </c>
      <c r="H653" s="12">
        <f>LOOKUP(410010600,[1]PlanCuentas!$A$2:$A$6092,[1]PlanCuentas!T$2:T$6092)</f>
        <v>0</v>
      </c>
      <c r="I653" s="12">
        <f>LOOKUP(410010700,[1]PlanCuentas!$A$2:$A$6092,[1]PlanCuentas!T$2:T$6092)</f>
        <v>0</v>
      </c>
      <c r="J653" s="12">
        <f>LOOKUP(410010800,[1]PlanCuentas!$A$2:$A$6092,[1]PlanCuentas!T$2:T$6092)</f>
        <v>0</v>
      </c>
      <c r="K653" s="12">
        <f>LOOKUP(410010900,[1]PlanCuentas!$A$2:$A$6092,[1]PlanCuentas!T$2:T$6092)</f>
        <v>0</v>
      </c>
      <c r="L653" s="12">
        <f>LOOKUP(410011000,[1]PlanCuentas!$A$2:$A$6092,[1]PlanCuentas!T$2:T$6092)</f>
        <v>0</v>
      </c>
      <c r="M653" s="12">
        <f>LOOKUP(410011100,[1]PlanCuentas!$A$2:$A$6092,[1]PlanCuentas!T$2:T$6092)</f>
        <v>0</v>
      </c>
      <c r="N653" s="12">
        <f>LOOKUP(410011200,[1]PlanCuentas!$A$2:$A$6092,[1]PlanCuentas!T$2:T$6092)</f>
        <v>0</v>
      </c>
      <c r="O653" s="12">
        <f>LOOKUP(410011300,[1]PlanCuentas!$A$2:$A$6092,[1]PlanCuentas!T$2:T$6092)</f>
        <v>0</v>
      </c>
      <c r="P653" s="12">
        <f>LOOKUP(410012000,[1]PlanCuentas!$A$2:$A$6092,[1]PlanCuentas!T$2:T$6092)</f>
        <v>0</v>
      </c>
      <c r="Q653" s="13">
        <f t="shared" si="32"/>
        <v>0</v>
      </c>
    </row>
    <row r="654" spans="1:17" x14ac:dyDescent="0.2">
      <c r="A654" s="10">
        <v>19</v>
      </c>
      <c r="B654" s="11" t="str">
        <f>[1]Aseguradoras!B20</f>
        <v>Universo de Seguros y Reaseguros S.A.</v>
      </c>
      <c r="C654" s="12">
        <f>LOOKUP(410010100,[1]PlanCuentas!$A$2:$A$6092,[1]PlanCuentas!U$2:U$6092)</f>
        <v>0</v>
      </c>
      <c r="D654" s="12">
        <f>LOOKUP(410010200,[1]PlanCuentas!$A$2:$A$6092,[1]PlanCuentas!U$2:U$6092)</f>
        <v>0</v>
      </c>
      <c r="E654" s="12">
        <f>LOOKUP(410010300,[1]PlanCuentas!$A$2:$A$6092,[1]PlanCuentas!U$2:U$6092)</f>
        <v>0</v>
      </c>
      <c r="F654" s="12">
        <f>LOOKUP(410010400,[1]PlanCuentas!$A$2:$A$6092,[1]PlanCuentas!U$2:U$6092)</f>
        <v>0</v>
      </c>
      <c r="G654" s="12">
        <f>LOOKUP(410010500,[1]PlanCuentas!$A$2:$A$6092,[1]PlanCuentas!U$2:U$6092)</f>
        <v>0</v>
      </c>
      <c r="H654" s="12">
        <f>LOOKUP(410010600,[1]PlanCuentas!$A$2:$A$6092,[1]PlanCuentas!U$2:U$6092)</f>
        <v>0</v>
      </c>
      <c r="I654" s="12">
        <f>LOOKUP(410010700,[1]PlanCuentas!$A$2:$A$6092,[1]PlanCuentas!U$2:U$6092)</f>
        <v>0</v>
      </c>
      <c r="J654" s="12">
        <f>LOOKUP(410010800,[1]PlanCuentas!$A$2:$A$6092,[1]PlanCuentas!U$2:U$6092)</f>
        <v>0</v>
      </c>
      <c r="K654" s="12">
        <f>LOOKUP(410010900,[1]PlanCuentas!$A$2:$A$6092,[1]PlanCuentas!U$2:U$6092)</f>
        <v>0</v>
      </c>
      <c r="L654" s="12">
        <f>LOOKUP(410011000,[1]PlanCuentas!$A$2:$A$6092,[1]PlanCuentas!U$2:U$6092)</f>
        <v>0</v>
      </c>
      <c r="M654" s="12">
        <f>LOOKUP(410011100,[1]PlanCuentas!$A$2:$A$6092,[1]PlanCuentas!U$2:U$6092)</f>
        <v>0</v>
      </c>
      <c r="N654" s="12">
        <f>LOOKUP(410011200,[1]PlanCuentas!$A$2:$A$6092,[1]PlanCuentas!U$2:U$6092)</f>
        <v>0</v>
      </c>
      <c r="O654" s="12">
        <f>LOOKUP(410011300,[1]PlanCuentas!$A$2:$A$6092,[1]PlanCuentas!U$2:U$6092)</f>
        <v>0</v>
      </c>
      <c r="P654" s="12">
        <f>LOOKUP(410012000,[1]PlanCuentas!$A$2:$A$6092,[1]PlanCuentas!U$2:U$6092)</f>
        <v>0</v>
      </c>
      <c r="Q654" s="13">
        <f t="shared" si="32"/>
        <v>0</v>
      </c>
    </row>
    <row r="655" spans="1:17" x14ac:dyDescent="0.2">
      <c r="A655" s="10">
        <v>20</v>
      </c>
      <c r="B655" s="11" t="str">
        <f>[1]Aseguradoras!B21</f>
        <v>Aseguradora Yacyreta S.A de Seguros y Reaseguros</v>
      </c>
      <c r="C655" s="12">
        <f>LOOKUP(410010100,[1]PlanCuentas!$A$2:$A$6092,[1]PlanCuentas!V$2:V$6092)</f>
        <v>0</v>
      </c>
      <c r="D655" s="12">
        <f>LOOKUP(410010200,[1]PlanCuentas!$A$2:$A$6092,[1]PlanCuentas!V$2:V$6092)</f>
        <v>0</v>
      </c>
      <c r="E655" s="12">
        <f>LOOKUP(410010300,[1]PlanCuentas!$A$2:$A$6092,[1]PlanCuentas!V$2:V$6092)</f>
        <v>0</v>
      </c>
      <c r="F655" s="12">
        <f>LOOKUP(410010400,[1]PlanCuentas!$A$2:$A$6092,[1]PlanCuentas!V$2:V$6092)</f>
        <v>0</v>
      </c>
      <c r="G655" s="12">
        <f>LOOKUP(410010500,[1]PlanCuentas!$A$2:$A$6092,[1]PlanCuentas!V$2:V$6092)</f>
        <v>0</v>
      </c>
      <c r="H655" s="12">
        <f>LOOKUP(410010600,[1]PlanCuentas!$A$2:$A$6092,[1]PlanCuentas!V$2:V$6092)</f>
        <v>0</v>
      </c>
      <c r="I655" s="12">
        <f>LOOKUP(410010700,[1]PlanCuentas!$A$2:$A$6092,[1]PlanCuentas!V$2:V$6092)</f>
        <v>0</v>
      </c>
      <c r="J655" s="12">
        <f>LOOKUP(410010800,[1]PlanCuentas!$A$2:$A$6092,[1]PlanCuentas!V$2:V$6092)</f>
        <v>0</v>
      </c>
      <c r="K655" s="12">
        <f>LOOKUP(410010900,[1]PlanCuentas!$A$2:$A$6092,[1]PlanCuentas!V$2:V$6092)</f>
        <v>0</v>
      </c>
      <c r="L655" s="12">
        <f>LOOKUP(410011000,[1]PlanCuentas!$A$2:$A$6092,[1]PlanCuentas!V$2:V$6092)</f>
        <v>0</v>
      </c>
      <c r="M655" s="12">
        <f>LOOKUP(410011100,[1]PlanCuentas!$A$2:$A$6092,[1]PlanCuentas!V$2:V$6092)</f>
        <v>0</v>
      </c>
      <c r="N655" s="12">
        <f>LOOKUP(410011200,[1]PlanCuentas!$A$2:$A$6092,[1]PlanCuentas!V$2:V$6092)</f>
        <v>0</v>
      </c>
      <c r="O655" s="12">
        <f>LOOKUP(410011300,[1]PlanCuentas!$A$2:$A$6092,[1]PlanCuentas!V$2:V$6092)</f>
        <v>0</v>
      </c>
      <c r="P655" s="12">
        <f>LOOKUP(410012000,[1]PlanCuentas!$A$2:$A$6092,[1]PlanCuentas!V$2:V$6092)</f>
        <v>0</v>
      </c>
      <c r="Q655" s="13">
        <f t="shared" si="32"/>
        <v>0</v>
      </c>
    </row>
    <row r="656" spans="1:17" x14ac:dyDescent="0.2">
      <c r="A656" s="10">
        <v>21</v>
      </c>
      <c r="B656" s="11" t="str">
        <f>[1]Aseguradoras!B22</f>
        <v>La Agricola S.A de Seguros y Reaseguros</v>
      </c>
      <c r="C656" s="12">
        <f>LOOKUP(410010100,[1]PlanCuentas!$A$2:$A$6092,[1]PlanCuentas!W$2:W$6092)</f>
        <v>0</v>
      </c>
      <c r="D656" s="12">
        <f>LOOKUP(410010200,[1]PlanCuentas!$A$2:$A$6092,[1]PlanCuentas!W$2:W$6092)</f>
        <v>0</v>
      </c>
      <c r="E656" s="12">
        <f>LOOKUP(410010300,[1]PlanCuentas!$A$2:$A$6092,[1]PlanCuentas!W$2:W$6092)</f>
        <v>0</v>
      </c>
      <c r="F656" s="12">
        <f>LOOKUP(410010400,[1]PlanCuentas!$A$2:$A$6092,[1]PlanCuentas!W$2:W$6092)</f>
        <v>0</v>
      </c>
      <c r="G656" s="12">
        <f>LOOKUP(410010500,[1]PlanCuentas!$A$2:$A$6092,[1]PlanCuentas!W$2:W$6092)</f>
        <v>0</v>
      </c>
      <c r="H656" s="12">
        <f>LOOKUP(410010600,[1]PlanCuentas!$A$2:$A$6092,[1]PlanCuentas!W$2:W$6092)</f>
        <v>0</v>
      </c>
      <c r="I656" s="12">
        <f>LOOKUP(410010700,[1]PlanCuentas!$A$2:$A$6092,[1]PlanCuentas!W$2:W$6092)</f>
        <v>0</v>
      </c>
      <c r="J656" s="12">
        <f>LOOKUP(410010800,[1]PlanCuentas!$A$2:$A$6092,[1]PlanCuentas!W$2:W$6092)</f>
        <v>0</v>
      </c>
      <c r="K656" s="12">
        <f>LOOKUP(410010900,[1]PlanCuentas!$A$2:$A$6092,[1]PlanCuentas!W$2:W$6092)</f>
        <v>0</v>
      </c>
      <c r="L656" s="12">
        <f>LOOKUP(410011000,[1]PlanCuentas!$A$2:$A$6092,[1]PlanCuentas!W$2:W$6092)</f>
        <v>0</v>
      </c>
      <c r="M656" s="12">
        <f>LOOKUP(410011100,[1]PlanCuentas!$A$2:$A$6092,[1]PlanCuentas!W$2:W$6092)</f>
        <v>0</v>
      </c>
      <c r="N656" s="12">
        <f>LOOKUP(410011200,[1]PlanCuentas!$A$2:$A$6092,[1]PlanCuentas!W$2:W$6092)</f>
        <v>0</v>
      </c>
      <c r="O656" s="12">
        <f>LOOKUP(410011300,[1]PlanCuentas!$A$2:$A$6092,[1]PlanCuentas!W$2:W$6092)</f>
        <v>0</v>
      </c>
      <c r="P656" s="12">
        <f>LOOKUP(410012000,[1]PlanCuentas!$A$2:$A$6092,[1]PlanCuentas!W$2:W$6092)</f>
        <v>0</v>
      </c>
      <c r="Q656" s="13">
        <f t="shared" si="32"/>
        <v>0</v>
      </c>
    </row>
    <row r="657" spans="1:22" x14ac:dyDescent="0.2">
      <c r="A657" s="10">
        <v>22</v>
      </c>
      <c r="B657" s="11" t="str">
        <f>[1]Aseguradoras!B23</f>
        <v>Grupo General de Seguros y Reaseguros S.A.</v>
      </c>
      <c r="C657" s="12">
        <f>LOOKUP(410010100,[1]PlanCuentas!$A$2:$A$6092,[1]PlanCuentas!X$2:X$6092)</f>
        <v>0</v>
      </c>
      <c r="D657" s="12">
        <f>LOOKUP(410010200,[1]PlanCuentas!$A$2:$A$6092,[1]PlanCuentas!X$2:X$6092)</f>
        <v>0</v>
      </c>
      <c r="E657" s="12">
        <f>LOOKUP(410010300,[1]PlanCuentas!$A$2:$A$6092,[1]PlanCuentas!X$2:X$6092)</f>
        <v>0</v>
      </c>
      <c r="F657" s="12">
        <f>LOOKUP(410010400,[1]PlanCuentas!$A$2:$A$6092,[1]PlanCuentas!X$2:X$6092)</f>
        <v>0</v>
      </c>
      <c r="G657" s="12">
        <f>LOOKUP(410010500,[1]PlanCuentas!$A$2:$A$6092,[1]PlanCuentas!X$2:X$6092)</f>
        <v>0</v>
      </c>
      <c r="H657" s="12">
        <f>LOOKUP(410010600,[1]PlanCuentas!$A$2:$A$6092,[1]PlanCuentas!X$2:X$6092)</f>
        <v>0</v>
      </c>
      <c r="I657" s="12">
        <f>LOOKUP(410010700,[1]PlanCuentas!$A$2:$A$6092,[1]PlanCuentas!X$2:X$6092)</f>
        <v>0</v>
      </c>
      <c r="J657" s="12">
        <f>LOOKUP(410010800,[1]PlanCuentas!$A$2:$A$6092,[1]PlanCuentas!X$2:X$6092)</f>
        <v>0</v>
      </c>
      <c r="K657" s="12">
        <f>LOOKUP(410010900,[1]PlanCuentas!$A$2:$A$6092,[1]PlanCuentas!X$2:X$6092)</f>
        <v>0</v>
      </c>
      <c r="L657" s="12">
        <f>LOOKUP(410011000,[1]PlanCuentas!$A$2:$A$6092,[1]PlanCuentas!X$2:X$6092)</f>
        <v>0</v>
      </c>
      <c r="M657" s="12">
        <f>LOOKUP(410011100,[1]PlanCuentas!$A$2:$A$6092,[1]PlanCuentas!X$2:X$6092)</f>
        <v>0</v>
      </c>
      <c r="N657" s="12">
        <f>LOOKUP(410011200,[1]PlanCuentas!$A$2:$A$6092,[1]PlanCuentas!X$2:X$6092)</f>
        <v>0</v>
      </c>
      <c r="O657" s="12">
        <f>LOOKUP(410011300,[1]PlanCuentas!$A$2:$A$6092,[1]PlanCuentas!X$2:X$6092)</f>
        <v>0</v>
      </c>
      <c r="P657" s="12">
        <f>LOOKUP(410012000,[1]PlanCuentas!$A$2:$A$6092,[1]PlanCuentas!X$2:X$6092)</f>
        <v>0</v>
      </c>
      <c r="Q657" s="13">
        <f t="shared" si="32"/>
        <v>0</v>
      </c>
    </row>
    <row r="658" spans="1:22" x14ac:dyDescent="0.2">
      <c r="A658" s="10">
        <v>23</v>
      </c>
      <c r="B658" s="11" t="str">
        <f>[1]Aseguradoras!B24</f>
        <v>Alfa S.A de Seguros y Reaseguros</v>
      </c>
      <c r="C658" s="12">
        <f>LOOKUP(410010100,[1]PlanCuentas!$A$2:$A$6092,[1]PlanCuentas!Y$2:Y$6092)</f>
        <v>0</v>
      </c>
      <c r="D658" s="12">
        <f>LOOKUP(410010200,[1]PlanCuentas!$A$2:$A$6092,[1]PlanCuentas!Y$2:Y$6092)</f>
        <v>0</v>
      </c>
      <c r="E658" s="12">
        <f>LOOKUP(410010300,[1]PlanCuentas!$A$2:$A$6092,[1]PlanCuentas!Y$2:Y$6092)</f>
        <v>0</v>
      </c>
      <c r="F658" s="12">
        <f>LOOKUP(410010400,[1]PlanCuentas!$A$2:$A$6092,[1]PlanCuentas!Y$2:Y$6092)</f>
        <v>0</v>
      </c>
      <c r="G658" s="12">
        <f>LOOKUP(410010500,[1]PlanCuentas!$A$2:$A$6092,[1]PlanCuentas!Y$2:Y$6092)</f>
        <v>0</v>
      </c>
      <c r="H658" s="12">
        <f>LOOKUP(410010600,[1]PlanCuentas!$A$2:$A$6092,[1]PlanCuentas!Y$2:Y$6092)</f>
        <v>0</v>
      </c>
      <c r="I658" s="12">
        <f>LOOKUP(410010700,[1]PlanCuentas!$A$2:$A$6092,[1]PlanCuentas!Y$2:Y$6092)</f>
        <v>0</v>
      </c>
      <c r="J658" s="12">
        <f>LOOKUP(410010800,[1]PlanCuentas!$A$2:$A$6092,[1]PlanCuentas!Y$2:Y$6092)</f>
        <v>0</v>
      </c>
      <c r="K658" s="12">
        <f>LOOKUP(410010900,[1]PlanCuentas!$A$2:$A$6092,[1]PlanCuentas!Y$2:Y$6092)</f>
        <v>0</v>
      </c>
      <c r="L658" s="12">
        <f>LOOKUP(410011000,[1]PlanCuentas!$A$2:$A$6092,[1]PlanCuentas!Y$2:Y$6092)</f>
        <v>0</v>
      </c>
      <c r="M658" s="12">
        <f>LOOKUP(410011100,[1]PlanCuentas!$A$2:$A$6092,[1]PlanCuentas!Y$2:Y$6092)</f>
        <v>0</v>
      </c>
      <c r="N658" s="12">
        <f>LOOKUP(410011200,[1]PlanCuentas!$A$2:$A$6092,[1]PlanCuentas!Y$2:Y$6092)</f>
        <v>0</v>
      </c>
      <c r="O658" s="12">
        <f>LOOKUP(410011300,[1]PlanCuentas!$A$2:$A$6092,[1]PlanCuentas!Y$2:Y$6092)</f>
        <v>0</v>
      </c>
      <c r="P658" s="12">
        <f>LOOKUP(410012000,[1]PlanCuentas!$A$2:$A$6092,[1]PlanCuentas!Y$2:Y$6092)</f>
        <v>0</v>
      </c>
      <c r="Q658" s="13">
        <f t="shared" si="32"/>
        <v>0</v>
      </c>
    </row>
    <row r="659" spans="1:22" x14ac:dyDescent="0.2">
      <c r="A659" s="10">
        <v>24</v>
      </c>
      <c r="B659" s="11" t="str">
        <f>[1]Aseguradoras!B25</f>
        <v>Cenit de Seguros S.A.</v>
      </c>
      <c r="C659" s="12">
        <f>LOOKUP(410010100,[1]PlanCuentas!$A$2:$A$6092,[1]PlanCuentas!Z$2:Z$6092)</f>
        <v>0</v>
      </c>
      <c r="D659" s="12">
        <f>LOOKUP(410010200,[1]PlanCuentas!$A$2:$A$6092,[1]PlanCuentas!Z$2:Z$6092)</f>
        <v>0</v>
      </c>
      <c r="E659" s="12">
        <f>LOOKUP(410010300,[1]PlanCuentas!$A$2:$A$6092,[1]PlanCuentas!Z$2:Z$6092)</f>
        <v>0</v>
      </c>
      <c r="F659" s="12">
        <f>LOOKUP(410010400,[1]PlanCuentas!$A$2:$A$6092,[1]PlanCuentas!Z$2:Z$6092)</f>
        <v>0</v>
      </c>
      <c r="G659" s="12">
        <f>LOOKUP(410010500,[1]PlanCuentas!$A$2:$A$6092,[1]PlanCuentas!Z$2:Z$6092)</f>
        <v>0</v>
      </c>
      <c r="H659" s="12">
        <f>LOOKUP(410010600,[1]PlanCuentas!$A$2:$A$6092,[1]PlanCuentas!Z$2:Z$6092)</f>
        <v>0</v>
      </c>
      <c r="I659" s="12">
        <f>LOOKUP(410010700,[1]PlanCuentas!$A$2:$A$6092,[1]PlanCuentas!Z$2:Z$6092)</f>
        <v>0</v>
      </c>
      <c r="J659" s="12">
        <f>LOOKUP(410010800,[1]PlanCuentas!$A$2:$A$6092,[1]PlanCuentas!Z$2:Z$6092)</f>
        <v>0</v>
      </c>
      <c r="K659" s="12">
        <f>LOOKUP(410010900,[1]PlanCuentas!$A$2:$A$6092,[1]PlanCuentas!Z$2:Z$6092)</f>
        <v>0</v>
      </c>
      <c r="L659" s="12">
        <f>LOOKUP(410011000,[1]PlanCuentas!$A$2:$A$6092,[1]PlanCuentas!Z$2:Z$6092)</f>
        <v>0</v>
      </c>
      <c r="M659" s="12">
        <f>LOOKUP(410011100,[1]PlanCuentas!$A$2:$A$6092,[1]PlanCuentas!Z$2:Z$6092)</f>
        <v>0</v>
      </c>
      <c r="N659" s="12">
        <f>LOOKUP(410011200,[1]PlanCuentas!$A$2:$A$6092,[1]PlanCuentas!Z$2:Z$6092)</f>
        <v>0</v>
      </c>
      <c r="O659" s="12">
        <f>LOOKUP(410011300,[1]PlanCuentas!$A$2:$A$6092,[1]PlanCuentas!Z$2:Z$6092)</f>
        <v>0</v>
      </c>
      <c r="P659" s="12">
        <f>LOOKUP(410012000,[1]PlanCuentas!$A$2:$A$6092,[1]PlanCuentas!Z$2:Z$6092)</f>
        <v>0</v>
      </c>
      <c r="Q659" s="13">
        <f t="shared" si="32"/>
        <v>0</v>
      </c>
    </row>
    <row r="660" spans="1:22" x14ac:dyDescent="0.2">
      <c r="A660" s="10">
        <v>25</v>
      </c>
      <c r="B660" s="11" t="str">
        <f>[1]Aseguradoras!B26</f>
        <v>La Meridional Paraguaya S.A de Seguros</v>
      </c>
      <c r="C660" s="12">
        <f>LOOKUP(410010100,[1]PlanCuentas!$A$2:$A$6092,[1]PlanCuentas!AA$2:AA$6092)</f>
        <v>0</v>
      </c>
      <c r="D660" s="12">
        <f>LOOKUP(410010200,[1]PlanCuentas!$A$2:$A$6092,[1]PlanCuentas!AA$2:AA$6092)</f>
        <v>0</v>
      </c>
      <c r="E660" s="12">
        <f>LOOKUP(410010300,[1]PlanCuentas!$A$2:$A$6092,[1]PlanCuentas!AA$2:AA$6092)</f>
        <v>0</v>
      </c>
      <c r="F660" s="12">
        <f>LOOKUP(410010400,[1]PlanCuentas!$A$2:$A$6092,[1]PlanCuentas!AA$2:AA$6092)</f>
        <v>0</v>
      </c>
      <c r="G660" s="12">
        <f>LOOKUP(410010500,[1]PlanCuentas!$A$2:$A$6092,[1]PlanCuentas!AA$2:AA$6092)</f>
        <v>0</v>
      </c>
      <c r="H660" s="12">
        <f>LOOKUP(410010600,[1]PlanCuentas!$A$2:$A$6092,[1]PlanCuentas!AA$2:AA$6092)</f>
        <v>0</v>
      </c>
      <c r="I660" s="12">
        <f>LOOKUP(410010700,[1]PlanCuentas!$A$2:$A$6092,[1]PlanCuentas!AA$2:AA$6092)</f>
        <v>0</v>
      </c>
      <c r="J660" s="12">
        <f>LOOKUP(410010800,[1]PlanCuentas!$A$2:$A$6092,[1]PlanCuentas!AA$2:AA$6092)</f>
        <v>0</v>
      </c>
      <c r="K660" s="12">
        <f>LOOKUP(410010900,[1]PlanCuentas!$A$2:$A$6092,[1]PlanCuentas!AA$2:AA$6092)</f>
        <v>0</v>
      </c>
      <c r="L660" s="12">
        <f>LOOKUP(410011000,[1]PlanCuentas!$A$2:$A$6092,[1]PlanCuentas!AA$2:AA$6092)</f>
        <v>0</v>
      </c>
      <c r="M660" s="12">
        <f>LOOKUP(410011100,[1]PlanCuentas!$A$2:$A$6092,[1]PlanCuentas!AA$2:AA$6092)</f>
        <v>0</v>
      </c>
      <c r="N660" s="12">
        <f>LOOKUP(410011200,[1]PlanCuentas!$A$2:$A$6092,[1]PlanCuentas!AA$2:AA$6092)</f>
        <v>0</v>
      </c>
      <c r="O660" s="12">
        <f>LOOKUP(410011300,[1]PlanCuentas!$A$2:$A$6092,[1]PlanCuentas!AA$2:AA$6092)</f>
        <v>0</v>
      </c>
      <c r="P660" s="12">
        <f>LOOKUP(410012000,[1]PlanCuentas!$A$2:$A$6092,[1]PlanCuentas!AA$2:AA$6092)</f>
        <v>0</v>
      </c>
      <c r="Q660" s="13">
        <f t="shared" si="32"/>
        <v>0</v>
      </c>
    </row>
    <row r="661" spans="1:22" x14ac:dyDescent="0.2">
      <c r="A661" s="10">
        <v>26</v>
      </c>
      <c r="B661" s="11" t="str">
        <f>[1]Aseguradoras!B27</f>
        <v>Aseguradora Del Este S.A de Seguros y Reaseguros</v>
      </c>
      <c r="C661" s="12">
        <f>LOOKUP(410010100,[1]PlanCuentas!$A$2:$A$6092,[1]PlanCuentas!AB$2:AB$6092)</f>
        <v>0</v>
      </c>
      <c r="D661" s="12">
        <f>LOOKUP(410010200,[1]PlanCuentas!$A$2:$A$6092,[1]PlanCuentas!AB$2:AB$6092)</f>
        <v>0</v>
      </c>
      <c r="E661" s="12">
        <f>LOOKUP(410010300,[1]PlanCuentas!$A$2:$A$6092,[1]PlanCuentas!AB$2:AB$6092)</f>
        <v>0</v>
      </c>
      <c r="F661" s="12">
        <f>LOOKUP(410010400,[1]PlanCuentas!$A$2:$A$6092,[1]PlanCuentas!AB$2:AB$6092)</f>
        <v>0</v>
      </c>
      <c r="G661" s="12">
        <f>LOOKUP(410010500,[1]PlanCuentas!$A$2:$A$6092,[1]PlanCuentas!AB$2:AB$6092)</f>
        <v>0</v>
      </c>
      <c r="H661" s="12">
        <f>LOOKUP(410010600,[1]PlanCuentas!$A$2:$A$6092,[1]PlanCuentas!AB$2:AB$6092)</f>
        <v>0</v>
      </c>
      <c r="I661" s="12">
        <f>LOOKUP(410010700,[1]PlanCuentas!$A$2:$A$6092,[1]PlanCuentas!AB$2:AB$6092)</f>
        <v>0</v>
      </c>
      <c r="J661" s="12">
        <f>LOOKUP(410010800,[1]PlanCuentas!$A$2:$A$6092,[1]PlanCuentas!AB$2:AB$6092)</f>
        <v>0</v>
      </c>
      <c r="K661" s="12">
        <f>LOOKUP(410010900,[1]PlanCuentas!$A$2:$A$6092,[1]PlanCuentas!AB$2:AB$6092)</f>
        <v>0</v>
      </c>
      <c r="L661" s="12">
        <f>LOOKUP(410011000,[1]PlanCuentas!$A$2:$A$6092,[1]PlanCuentas!AB$2:AB$6092)</f>
        <v>0</v>
      </c>
      <c r="M661" s="12">
        <f>LOOKUP(410011100,[1]PlanCuentas!$A$2:$A$6092,[1]PlanCuentas!AB$2:AB$6092)</f>
        <v>0</v>
      </c>
      <c r="N661" s="12">
        <f>LOOKUP(410011200,[1]PlanCuentas!$A$2:$A$6092,[1]PlanCuentas!AB$2:AB$6092)</f>
        <v>0</v>
      </c>
      <c r="O661" s="12">
        <f>LOOKUP(410011300,[1]PlanCuentas!$A$2:$A$6092,[1]PlanCuentas!AB$2:AB$6092)</f>
        <v>0</v>
      </c>
      <c r="P661" s="12">
        <f>LOOKUP(410012000,[1]PlanCuentas!$A$2:$A$6092,[1]PlanCuentas!AB$2:AB$6092)</f>
        <v>0</v>
      </c>
      <c r="Q661" s="13">
        <f t="shared" si="32"/>
        <v>0</v>
      </c>
    </row>
    <row r="662" spans="1:22" x14ac:dyDescent="0.2">
      <c r="A662" s="10">
        <v>27</v>
      </c>
      <c r="B662" s="11" t="str">
        <f>[1]Aseguradoras!B28</f>
        <v>Imperio S.A de Seguros y Reaseguros</v>
      </c>
      <c r="C662" s="12">
        <f>LOOKUP(410010100,[1]PlanCuentas!$A$2:$A$6092,[1]PlanCuentas!AC$2:AC$6092)</f>
        <v>0</v>
      </c>
      <c r="D662" s="12">
        <f>LOOKUP(410010200,[1]PlanCuentas!$A$2:$A$6092,[1]PlanCuentas!AC$2:AC$6092)</f>
        <v>0</v>
      </c>
      <c r="E662" s="12">
        <f>LOOKUP(410010300,[1]PlanCuentas!$A$2:$A$6092,[1]PlanCuentas!AC$2:AC$6092)</f>
        <v>0</v>
      </c>
      <c r="F662" s="12">
        <f>LOOKUP(410010400,[1]PlanCuentas!$A$2:$A$6092,[1]PlanCuentas!AC$2:AC$6092)</f>
        <v>0</v>
      </c>
      <c r="G662" s="12">
        <f>LOOKUP(410010500,[1]PlanCuentas!$A$2:$A$6092,[1]PlanCuentas!AC$2:AC$6092)</f>
        <v>0</v>
      </c>
      <c r="H662" s="12">
        <f>LOOKUP(410010600,[1]PlanCuentas!$A$2:$A$6092,[1]PlanCuentas!AC$2:AC$6092)</f>
        <v>0</v>
      </c>
      <c r="I662" s="12">
        <f>LOOKUP(410010700,[1]PlanCuentas!$A$2:$A$6092,[1]PlanCuentas!AC$2:AC$6092)</f>
        <v>0</v>
      </c>
      <c r="J662" s="12">
        <f>LOOKUP(410010800,[1]PlanCuentas!$A$2:$A$6092,[1]PlanCuentas!AC$2:AC$6092)</f>
        <v>0</v>
      </c>
      <c r="K662" s="12">
        <f>LOOKUP(410010900,[1]PlanCuentas!$A$2:$A$6092,[1]PlanCuentas!AC$2:AC$6092)</f>
        <v>0</v>
      </c>
      <c r="L662" s="12">
        <f>LOOKUP(410011000,[1]PlanCuentas!$A$2:$A$6092,[1]PlanCuentas!AC$2:AC$6092)</f>
        <v>0</v>
      </c>
      <c r="M662" s="12">
        <f>LOOKUP(410011100,[1]PlanCuentas!$A$2:$A$6092,[1]PlanCuentas!AC$2:AC$6092)</f>
        <v>0</v>
      </c>
      <c r="N662" s="12">
        <f>LOOKUP(410011200,[1]PlanCuentas!$A$2:$A$6092,[1]PlanCuentas!AC$2:AC$6092)</f>
        <v>0</v>
      </c>
      <c r="O662" s="12">
        <f>LOOKUP(410011300,[1]PlanCuentas!$A$2:$A$6092,[1]PlanCuentas!AC$2:AC$6092)</f>
        <v>0</v>
      </c>
      <c r="P662" s="12">
        <f>LOOKUP(410012000,[1]PlanCuentas!$A$2:$A$6092,[1]PlanCuentas!AC$2:AC$6092)</f>
        <v>0</v>
      </c>
      <c r="Q662" s="13">
        <f t="shared" si="32"/>
        <v>0</v>
      </c>
    </row>
    <row r="663" spans="1:22" x14ac:dyDescent="0.2">
      <c r="A663" s="10">
        <v>28</v>
      </c>
      <c r="B663" s="11" t="str">
        <f>[1]Aseguradoras!B29</f>
        <v>Regional S.A de Seguros y Reaseguros</v>
      </c>
      <c r="C663" s="12">
        <f>LOOKUP(410010100,[1]PlanCuentas!$A$2:$A$6092,[1]PlanCuentas!AD$2:AD$6092)</f>
        <v>0</v>
      </c>
      <c r="D663" s="12">
        <f>LOOKUP(410010200,[1]PlanCuentas!$A$2:$A$6092,[1]PlanCuentas!AD$2:AD$6092)</f>
        <v>0</v>
      </c>
      <c r="E663" s="12">
        <f>LOOKUP(410010300,[1]PlanCuentas!$A$2:$A$6092,[1]PlanCuentas!AD$2:AD$6092)</f>
        <v>0</v>
      </c>
      <c r="F663" s="12">
        <f>LOOKUP(410010400,[1]PlanCuentas!$A$2:$A$6092,[1]PlanCuentas!AD$2:AD$6092)</f>
        <v>0</v>
      </c>
      <c r="G663" s="12">
        <f>LOOKUP(410010500,[1]PlanCuentas!$A$2:$A$6092,[1]PlanCuentas!AD$2:AD$6092)</f>
        <v>0</v>
      </c>
      <c r="H663" s="12">
        <f>LOOKUP(410010600,[1]PlanCuentas!$A$2:$A$6092,[1]PlanCuentas!AD$2:AD$6092)</f>
        <v>0</v>
      </c>
      <c r="I663" s="12">
        <f>LOOKUP(410010700,[1]PlanCuentas!$A$2:$A$6092,[1]PlanCuentas!AD$2:AD$6092)</f>
        <v>0</v>
      </c>
      <c r="J663" s="12">
        <f>LOOKUP(410010800,[1]PlanCuentas!$A$2:$A$6092,[1]PlanCuentas!AD$2:AD$6092)</f>
        <v>0</v>
      </c>
      <c r="K663" s="12">
        <f>LOOKUP(410010900,[1]PlanCuentas!$A$2:$A$6092,[1]PlanCuentas!AD$2:AD$6092)</f>
        <v>0</v>
      </c>
      <c r="L663" s="12">
        <f>LOOKUP(410011000,[1]PlanCuentas!$A$2:$A$6092,[1]PlanCuentas!AD$2:AD$6092)</f>
        <v>0</v>
      </c>
      <c r="M663" s="12">
        <f>LOOKUP(410011100,[1]PlanCuentas!$A$2:$A$6092,[1]PlanCuentas!AD$2:AD$6092)</f>
        <v>0</v>
      </c>
      <c r="N663" s="12">
        <f>LOOKUP(410011200,[1]PlanCuentas!$A$2:$A$6092,[1]PlanCuentas!AD$2:AD$6092)</f>
        <v>0</v>
      </c>
      <c r="O663" s="12">
        <f>LOOKUP(410011300,[1]PlanCuentas!$A$2:$A$6092,[1]PlanCuentas!AD$2:AD$6092)</f>
        <v>0</v>
      </c>
      <c r="P663" s="12">
        <f>LOOKUP(410012000,[1]PlanCuentas!$A$2:$A$6092,[1]PlanCuentas!AD$2:AD$6092)</f>
        <v>0</v>
      </c>
      <c r="Q663" s="13">
        <f t="shared" si="32"/>
        <v>0</v>
      </c>
    </row>
    <row r="664" spans="1:22" s="37" customFormat="1" x14ac:dyDescent="0.2">
      <c r="A664" s="10">
        <v>29</v>
      </c>
      <c r="B664" s="11" t="str">
        <f>[1]Aseguradoras!B30</f>
        <v>Mapfre Paraguay Compañía de Seguros S.A.</v>
      </c>
      <c r="C664" s="12">
        <f>LOOKUP(410010100,[1]PlanCuentas!$A$2:$A$6092,[1]PlanCuentas!AE$2:AE$6092)</f>
        <v>0</v>
      </c>
      <c r="D664" s="12">
        <f>LOOKUP(410010200,[1]PlanCuentas!$A$2:$A$6092,[1]PlanCuentas!AE$2:AE$6092)</f>
        <v>0</v>
      </c>
      <c r="E664" s="12">
        <f>LOOKUP(410010300,[1]PlanCuentas!$A$2:$A$6092,[1]PlanCuentas!AE$2:AE$6092)</f>
        <v>0</v>
      </c>
      <c r="F664" s="12">
        <f>LOOKUP(410010400,[1]PlanCuentas!$A$2:$A$6092,[1]PlanCuentas!AE$2:AE$6092)</f>
        <v>0</v>
      </c>
      <c r="G664" s="12">
        <f>LOOKUP(410010500,[1]PlanCuentas!$A$2:$A$6092,[1]PlanCuentas!AE$2:AE$6092)</f>
        <v>0</v>
      </c>
      <c r="H664" s="12">
        <f>LOOKUP(410010600,[1]PlanCuentas!$A$2:$A$6092,[1]PlanCuentas!AE$2:AE$6092)</f>
        <v>0</v>
      </c>
      <c r="I664" s="12">
        <f>LOOKUP(410010700,[1]PlanCuentas!$A$2:$A$6092,[1]PlanCuentas!AE$2:AE$6092)</f>
        <v>0</v>
      </c>
      <c r="J664" s="12">
        <f>LOOKUP(410010800,[1]PlanCuentas!$A$2:$A$6092,[1]PlanCuentas!AE$2:AE$6092)</f>
        <v>0</v>
      </c>
      <c r="K664" s="12">
        <f>LOOKUP(410010900,[1]PlanCuentas!$A$2:$A$6092,[1]PlanCuentas!AE$2:AE$6092)</f>
        <v>0</v>
      </c>
      <c r="L664" s="12">
        <f>LOOKUP(410011000,[1]PlanCuentas!$A$2:$A$6092,[1]PlanCuentas!AE$2:AE$6092)</f>
        <v>0</v>
      </c>
      <c r="M664" s="12">
        <f>LOOKUP(410011100,[1]PlanCuentas!$A$2:$A$6092,[1]PlanCuentas!AE$2:AE$6092)</f>
        <v>0</v>
      </c>
      <c r="N664" s="12">
        <f>LOOKUP(410011200,[1]PlanCuentas!$A$2:$A$6092,[1]PlanCuentas!AE$2:AE$6092)</f>
        <v>0</v>
      </c>
      <c r="O664" s="12">
        <f>LOOKUP(410011300,[1]PlanCuentas!$A$2:$A$6092,[1]PlanCuentas!AE$2:AE$6092)</f>
        <v>0</v>
      </c>
      <c r="P664" s="12">
        <f>LOOKUP(410012000,[1]PlanCuentas!$A$2:$A$6092,[1]PlanCuentas!AE$2:AE$6092)</f>
        <v>0</v>
      </c>
      <c r="Q664" s="13">
        <f t="shared" si="32"/>
        <v>0</v>
      </c>
    </row>
    <row r="665" spans="1:22" x14ac:dyDescent="0.2">
      <c r="A665" s="10">
        <v>30</v>
      </c>
      <c r="B665" s="11" t="str">
        <f>[1]Aseguradoras!B31</f>
        <v>Aseguradora Tajy Propiedad Cooperativa S.A. de Seguros</v>
      </c>
      <c r="C665" s="12">
        <f>LOOKUP(410010100,[1]PlanCuentas!$A$2:$A$6092,[1]PlanCuentas!AF$2:AF$6092)</f>
        <v>0</v>
      </c>
      <c r="D665" s="12">
        <f>LOOKUP(410010200,[1]PlanCuentas!$A$2:$A$6092,[1]PlanCuentas!AF$2:AF$6092)</f>
        <v>0</v>
      </c>
      <c r="E665" s="12">
        <f>LOOKUP(410010300,[1]PlanCuentas!$A$2:$A$6092,[1]PlanCuentas!AF$2:AF$6092)</f>
        <v>0</v>
      </c>
      <c r="F665" s="12">
        <f>LOOKUP(410010400,[1]PlanCuentas!$A$2:$A$6092,[1]PlanCuentas!AF$2:AF$6092)</f>
        <v>0</v>
      </c>
      <c r="G665" s="12">
        <f>LOOKUP(410010500,[1]PlanCuentas!$A$2:$A$6092,[1]PlanCuentas!AF$2:AF$6092)</f>
        <v>0</v>
      </c>
      <c r="H665" s="12">
        <f>LOOKUP(410010600,[1]PlanCuentas!$A$2:$A$6092,[1]PlanCuentas!AF$2:AF$6092)</f>
        <v>0</v>
      </c>
      <c r="I665" s="12">
        <f>LOOKUP(410010700,[1]PlanCuentas!$A$2:$A$6092,[1]PlanCuentas!AF$2:AF$6092)</f>
        <v>0</v>
      </c>
      <c r="J665" s="12">
        <f>LOOKUP(410010800,[1]PlanCuentas!$A$2:$A$6092,[1]PlanCuentas!AF$2:AF$6092)</f>
        <v>0</v>
      </c>
      <c r="K665" s="12">
        <f>LOOKUP(410010900,[1]PlanCuentas!$A$2:$A$6092,[1]PlanCuentas!AF$2:AF$6092)</f>
        <v>0</v>
      </c>
      <c r="L665" s="12">
        <f>LOOKUP(410011000,[1]PlanCuentas!$A$2:$A$6092,[1]PlanCuentas!AF$2:AF$6092)</f>
        <v>0</v>
      </c>
      <c r="M665" s="12">
        <f>LOOKUP(410011100,[1]PlanCuentas!$A$2:$A$6092,[1]PlanCuentas!AF$2:AF$6092)</f>
        <v>0</v>
      </c>
      <c r="N665" s="12">
        <f>LOOKUP(410011200,[1]PlanCuentas!$A$2:$A$6092,[1]PlanCuentas!AF$2:AF$6092)</f>
        <v>0</v>
      </c>
      <c r="O665" s="12">
        <f>LOOKUP(410011300,[1]PlanCuentas!$A$2:$A$6092,[1]PlanCuentas!AF$2:AF$6092)</f>
        <v>0</v>
      </c>
      <c r="P665" s="12">
        <f>LOOKUP(410012000,[1]PlanCuentas!$A$2:$A$6092,[1]PlanCuentas!AF$2:AF$6092)</f>
        <v>0</v>
      </c>
      <c r="Q665" s="13">
        <f t="shared" si="32"/>
        <v>0</v>
      </c>
    </row>
    <row r="666" spans="1:22" x14ac:dyDescent="0.2">
      <c r="A666" s="10">
        <v>31</v>
      </c>
      <c r="B666" s="11" t="str">
        <f>[1]Aseguradoras!B32</f>
        <v>Aseguradora del Sur S.A. Seguros Generales - ASUR</v>
      </c>
      <c r="C666" s="12">
        <f>LOOKUP(410010100,[1]PlanCuentas!$A$2:$A$6092,[1]PlanCuentas!AG$2:AG$6092)</f>
        <v>0</v>
      </c>
      <c r="D666" s="12">
        <f>LOOKUP(410010200,[1]PlanCuentas!$A$2:$A$6092,[1]PlanCuentas!AG$2:AG$6092)</f>
        <v>0</v>
      </c>
      <c r="E666" s="12">
        <f>LOOKUP(410010300,[1]PlanCuentas!$A$2:$A$6092,[1]PlanCuentas!AG$2:AG$6092)</f>
        <v>0</v>
      </c>
      <c r="F666" s="12">
        <f>LOOKUP(410010400,[1]PlanCuentas!$A$2:$A$6092,[1]PlanCuentas!AG$2:AG$6092)</f>
        <v>0</v>
      </c>
      <c r="G666" s="12">
        <f>LOOKUP(410010500,[1]PlanCuentas!$A$2:$A$6092,[1]PlanCuentas!AG$2:AG$6092)</f>
        <v>0</v>
      </c>
      <c r="H666" s="12">
        <f>LOOKUP(410010600,[1]PlanCuentas!$A$2:$A$6092,[1]PlanCuentas!AG$2:AG$6092)</f>
        <v>0</v>
      </c>
      <c r="I666" s="12">
        <f>LOOKUP(410010700,[1]PlanCuentas!$A$2:$A$6092,[1]PlanCuentas!AG$2:AG$6092)</f>
        <v>0</v>
      </c>
      <c r="J666" s="12">
        <f>LOOKUP(410010800,[1]PlanCuentas!$A$2:$A$6092,[1]PlanCuentas!AG$2:AG$6092)</f>
        <v>0</v>
      </c>
      <c r="K666" s="12">
        <f>LOOKUP(410010900,[1]PlanCuentas!$A$2:$A$6092,[1]PlanCuentas!AG$2:AG$6092)</f>
        <v>0</v>
      </c>
      <c r="L666" s="12">
        <f>LOOKUP(410011000,[1]PlanCuentas!$A$2:$A$6092,[1]PlanCuentas!AG$2:AG$6092)</f>
        <v>0</v>
      </c>
      <c r="M666" s="12">
        <f>LOOKUP(410011100,[1]PlanCuentas!$A$2:$A$6092,[1]PlanCuentas!AG$2:AG$6092)</f>
        <v>0</v>
      </c>
      <c r="N666" s="12">
        <f>LOOKUP(410011200,[1]PlanCuentas!$A$2:$A$6092,[1]PlanCuentas!AG$2:AG$6092)</f>
        <v>0</v>
      </c>
      <c r="O666" s="12">
        <f>LOOKUP(410011300,[1]PlanCuentas!$A$2:$A$6092,[1]PlanCuentas!AG$2:AG$6092)</f>
        <v>0</v>
      </c>
      <c r="P666" s="12">
        <f>LOOKUP(410012000,[1]PlanCuentas!$A$2:$A$6092,[1]PlanCuentas!AG$2:AG$6092)</f>
        <v>0</v>
      </c>
      <c r="Q666" s="13">
        <f t="shared" si="32"/>
        <v>0</v>
      </c>
      <c r="R666" s="5"/>
      <c r="S666" s="5"/>
      <c r="T666" s="5"/>
      <c r="U666" s="5"/>
      <c r="V666" s="5"/>
    </row>
    <row r="667" spans="1:22" x14ac:dyDescent="0.2">
      <c r="A667" s="10">
        <v>32</v>
      </c>
      <c r="B667" s="11" t="str">
        <f>[1]Aseguradoras!B33</f>
        <v>Panal Compañía De Seguros Generales S.A.</v>
      </c>
      <c r="C667" s="12">
        <f>LOOKUP(410010100,[1]PlanCuentas!$A$2:$A$6092,[1]PlanCuentas!AH$2:AH$6092)</f>
        <v>0</v>
      </c>
      <c r="D667" s="12">
        <f>LOOKUP(410010200,[1]PlanCuentas!$A$2:$A$6092,[1]PlanCuentas!AH$2:AH$6092)</f>
        <v>0</v>
      </c>
      <c r="E667" s="12">
        <f>LOOKUP(410010300,[1]PlanCuentas!$A$2:$A$6092,[1]PlanCuentas!AH$2:AH$6092)</f>
        <v>0</v>
      </c>
      <c r="F667" s="12">
        <f>LOOKUP(410010400,[1]PlanCuentas!$A$2:$A$6092,[1]PlanCuentas!AH$2:AH$6092)</f>
        <v>0</v>
      </c>
      <c r="G667" s="12">
        <f>LOOKUP(410010500,[1]PlanCuentas!$A$2:$A$6092,[1]PlanCuentas!AH$2:AH$6092)</f>
        <v>0</v>
      </c>
      <c r="H667" s="12">
        <f>LOOKUP(410010600,[1]PlanCuentas!$A$2:$A$6092,[1]PlanCuentas!AH$2:AH$6092)</f>
        <v>0</v>
      </c>
      <c r="I667" s="12">
        <f>LOOKUP(410010700,[1]PlanCuentas!$A$2:$A$6092,[1]PlanCuentas!AH$2:AH$6092)</f>
        <v>0</v>
      </c>
      <c r="J667" s="12">
        <f>LOOKUP(410010800,[1]PlanCuentas!$A$2:$A$6092,[1]PlanCuentas!AH$2:AH$6092)</f>
        <v>0</v>
      </c>
      <c r="K667" s="12">
        <f>LOOKUP(410010900,[1]PlanCuentas!$A$2:$A$6092,[1]PlanCuentas!AH$2:AH$6092)</f>
        <v>0</v>
      </c>
      <c r="L667" s="12">
        <f>LOOKUP(410011000,[1]PlanCuentas!$A$2:$A$6092,[1]PlanCuentas!AH$2:AH$6092)</f>
        <v>0</v>
      </c>
      <c r="M667" s="12">
        <f>LOOKUP(410011100,[1]PlanCuentas!$A$2:$A$6092,[1]PlanCuentas!AH$2:AH$6092)</f>
        <v>0</v>
      </c>
      <c r="N667" s="12">
        <f>LOOKUP(410011200,[1]PlanCuentas!$A$2:$A$6092,[1]PlanCuentas!AH$2:AH$6092)</f>
        <v>0</v>
      </c>
      <c r="O667" s="12">
        <f>LOOKUP(410011300,[1]PlanCuentas!$A$2:$A$6092,[1]PlanCuentas!AH$2:AH$6092)</f>
        <v>0</v>
      </c>
      <c r="P667" s="12">
        <f>LOOKUP(410012000,[1]PlanCuentas!$A$2:$A$6092,[1]PlanCuentas!AH$2:AH$6092)</f>
        <v>0</v>
      </c>
      <c r="Q667" s="13">
        <f t="shared" si="32"/>
        <v>0</v>
      </c>
    </row>
    <row r="668" spans="1:22" x14ac:dyDescent="0.2">
      <c r="A668" s="14">
        <v>33</v>
      </c>
      <c r="B668" s="19" t="str">
        <f>[1]Aseguradoras!B34</f>
        <v>Sancor Seguros del Paraguay S.A.</v>
      </c>
      <c r="C668" s="12">
        <f>LOOKUP(410010100,[1]PlanCuentas!$A$2:$A$6092,[1]PlanCuentas!AI$2:AI$6092)</f>
        <v>0</v>
      </c>
      <c r="D668" s="12">
        <f>LOOKUP(410010200,[1]PlanCuentas!$A$2:$A$6092,[1]PlanCuentas!AI$2:AI$6092)</f>
        <v>0</v>
      </c>
      <c r="E668" s="12">
        <f>LOOKUP(410010300,[1]PlanCuentas!$A$2:$A$6092,[1]PlanCuentas!AI$2:AI$6092)</f>
        <v>0</v>
      </c>
      <c r="F668" s="12">
        <f>LOOKUP(410010400,[1]PlanCuentas!$A$2:$A$6092,[1]PlanCuentas!AI$2:AI$6092)</f>
        <v>0</v>
      </c>
      <c r="G668" s="12">
        <f>LOOKUP(410010500,[1]PlanCuentas!$A$2:$A$6092,[1]PlanCuentas!AI$2:AI$6092)</f>
        <v>0</v>
      </c>
      <c r="H668" s="12">
        <f>LOOKUP(410010600,[1]PlanCuentas!$A$2:$A$6092,[1]PlanCuentas!AI$2:AI$6092)</f>
        <v>0</v>
      </c>
      <c r="I668" s="12">
        <f>LOOKUP(410010700,[1]PlanCuentas!$A$2:$A$6092,[1]PlanCuentas!AI$2:AI$6092)</f>
        <v>0</v>
      </c>
      <c r="J668" s="12">
        <f>LOOKUP(410010800,[1]PlanCuentas!$A$2:$A$6092,[1]PlanCuentas!AI$2:AI$6092)</f>
        <v>0</v>
      </c>
      <c r="K668" s="12">
        <f>LOOKUP(410010900,[1]PlanCuentas!$A$2:$A$6092,[1]PlanCuentas!AI$2:AI$6092)</f>
        <v>0</v>
      </c>
      <c r="L668" s="12">
        <f>LOOKUP(410011000,[1]PlanCuentas!$A$2:$A$6092,[1]PlanCuentas!AI$2:AI$6092)</f>
        <v>0</v>
      </c>
      <c r="M668" s="12">
        <f>LOOKUP(410011100,[1]PlanCuentas!$A$2:$A$6092,[1]PlanCuentas!AI$2:AI$6092)</f>
        <v>0</v>
      </c>
      <c r="N668" s="12">
        <f>LOOKUP(410011200,[1]PlanCuentas!$A$2:$A$6092,[1]PlanCuentas!AI$2:AI$6092)</f>
        <v>0</v>
      </c>
      <c r="O668" s="12">
        <f>LOOKUP(410011300,[1]PlanCuentas!$A$2:$A$6092,[1]PlanCuentas!AI$2:AI$6092)</f>
        <v>0</v>
      </c>
      <c r="P668" s="12">
        <f>LOOKUP(410012000,[1]PlanCuentas!$A$2:$A$6092,[1]PlanCuentas!AI$2:AI$6092)</f>
        <v>0</v>
      </c>
      <c r="Q668" s="13">
        <f>SUM(C668:P668)</f>
        <v>0</v>
      </c>
    </row>
    <row r="669" spans="1:22" x14ac:dyDescent="0.2">
      <c r="A669" s="14"/>
      <c r="B669" s="15" t="s">
        <v>18</v>
      </c>
      <c r="C669" s="17">
        <f t="shared" ref="C669:Q669" si="33">SUBTOTAL(109,C636:C668)</f>
        <v>252271</v>
      </c>
      <c r="D669" s="17">
        <f t="shared" si="33"/>
        <v>101840</v>
      </c>
      <c r="E669" s="17">
        <f t="shared" si="33"/>
        <v>0</v>
      </c>
      <c r="F669" s="17">
        <f t="shared" si="33"/>
        <v>54282</v>
      </c>
      <c r="G669" s="17">
        <f t="shared" si="33"/>
        <v>0</v>
      </c>
      <c r="H669" s="17">
        <f t="shared" si="33"/>
        <v>1458060</v>
      </c>
      <c r="I669" s="17">
        <f t="shared" si="33"/>
        <v>0</v>
      </c>
      <c r="J669" s="17">
        <f t="shared" si="33"/>
        <v>0</v>
      </c>
      <c r="K669" s="17">
        <f t="shared" si="33"/>
        <v>12473</v>
      </c>
      <c r="L669" s="17">
        <f t="shared" si="33"/>
        <v>0</v>
      </c>
      <c r="M669" s="17">
        <f t="shared" si="33"/>
        <v>0</v>
      </c>
      <c r="N669" s="17">
        <f t="shared" si="33"/>
        <v>0</v>
      </c>
      <c r="O669" s="17">
        <f t="shared" si="33"/>
        <v>5275195</v>
      </c>
      <c r="P669" s="17">
        <f t="shared" si="33"/>
        <v>0</v>
      </c>
      <c r="Q669" s="17">
        <f t="shared" si="33"/>
        <v>7154121</v>
      </c>
    </row>
    <row r="670" spans="1:22" x14ac:dyDescent="0.2"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</row>
    <row r="671" spans="1:22" ht="28.35" customHeight="1" x14ac:dyDescent="0.2">
      <c r="A671" s="1" t="s">
        <v>44</v>
      </c>
      <c r="B671" s="47" t="s">
        <v>46</v>
      </c>
      <c r="C671" s="47"/>
      <c r="D671" s="2"/>
      <c r="E671" s="30"/>
      <c r="F671" s="4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</row>
    <row r="672" spans="1:22" ht="24" x14ac:dyDescent="0.2">
      <c r="A672" s="7" t="s">
        <v>2</v>
      </c>
      <c r="B672" s="8" t="s">
        <v>3</v>
      </c>
      <c r="C672" s="9" t="s">
        <v>4</v>
      </c>
      <c r="D672" s="9" t="s">
        <v>5</v>
      </c>
      <c r="E672" s="9" t="s">
        <v>6</v>
      </c>
      <c r="F672" s="36" t="s">
        <v>7</v>
      </c>
      <c r="G672" s="9" t="s">
        <v>8</v>
      </c>
      <c r="H672" s="9" t="s">
        <v>9</v>
      </c>
      <c r="I672" s="9" t="s">
        <v>10</v>
      </c>
      <c r="J672" s="9" t="s">
        <v>11</v>
      </c>
      <c r="K672" s="9" t="s">
        <v>12</v>
      </c>
      <c r="L672" s="9" t="s">
        <v>13</v>
      </c>
      <c r="M672" s="9" t="s">
        <v>14</v>
      </c>
      <c r="N672" s="9" t="s">
        <v>15</v>
      </c>
      <c r="O672" s="9" t="s">
        <v>16</v>
      </c>
      <c r="P672" s="8" t="s">
        <v>17</v>
      </c>
      <c r="Q672" s="8" t="s">
        <v>18</v>
      </c>
    </row>
    <row r="673" spans="1:17" x14ac:dyDescent="0.2">
      <c r="A673" s="10">
        <v>1</v>
      </c>
      <c r="B673" s="11" t="str">
        <f>[1]Aseguradoras!B2</f>
        <v>El Comercio Paraguayo S.A. de Seguros</v>
      </c>
      <c r="C673" s="12">
        <f>LOOKUP(410040100,[1]PlanCuentas!$A$2:$A$6092,[1]PlanCuentas!C$2:C$6092)</f>
        <v>0</v>
      </c>
      <c r="D673" s="12">
        <f>LOOKUP(410040200,[1]PlanCuentas!$A$2:$A$6092,[1]PlanCuentas!C$2:C$6092)</f>
        <v>0</v>
      </c>
      <c r="E673" s="12">
        <f>LOOKUP(410040300,[1]PlanCuentas!$A$2:$A$6092,[1]PlanCuentas!C$2:C$6092)</f>
        <v>0</v>
      </c>
      <c r="F673" s="12">
        <f>LOOKUP(410040400,[1]PlanCuentas!$A$2:$A$6092,[1]PlanCuentas!C$2:C$6092)</f>
        <v>0</v>
      </c>
      <c r="G673" s="12">
        <f>LOOKUP(410040500,[1]PlanCuentas!$A$2:$A$6092,[1]PlanCuentas!C$2:C$6092)</f>
        <v>0</v>
      </c>
      <c r="H673" s="12">
        <f>LOOKUP(410040600,[1]PlanCuentas!$A$2:$A$6092,[1]PlanCuentas!C$2:C$6092)</f>
        <v>0</v>
      </c>
      <c r="I673" s="12">
        <f>LOOKUP(410040700,[1]PlanCuentas!$A$2:$A$6092,[1]PlanCuentas!C$2:C$6092)</f>
        <v>0</v>
      </c>
      <c r="J673" s="12">
        <f>LOOKUP(410040800,[1]PlanCuentas!$A$2:$A$6092,[1]PlanCuentas!C$2:C$6092)</f>
        <v>0</v>
      </c>
      <c r="K673" s="12">
        <f>LOOKUP(410040900,[1]PlanCuentas!$A$2:$A$6092,[1]PlanCuentas!C$2:C$6092)</f>
        <v>0</v>
      </c>
      <c r="L673" s="12">
        <f>LOOKUP(410041000,[1]PlanCuentas!$A$2:$A$6092,[1]PlanCuentas!C$2:C$6092)</f>
        <v>0</v>
      </c>
      <c r="M673" s="12">
        <f>LOOKUP(410041100,[1]PlanCuentas!$A$2:$A$6092,[1]PlanCuentas!C$2:C$6092)</f>
        <v>0</v>
      </c>
      <c r="N673" s="12">
        <f>LOOKUP(410041200,[1]PlanCuentas!$A$2:$A$6092,[1]PlanCuentas!C$2:C$6092)</f>
        <v>0</v>
      </c>
      <c r="O673" s="12">
        <f>LOOKUP(410041300,[1]PlanCuentas!$A$2:$A$6092,[1]PlanCuentas!C$2:C$6092)</f>
        <v>0</v>
      </c>
      <c r="P673" s="12">
        <f>LOOKUP(410042000,[1]PlanCuentas!$A$2:$A$6092,[1]PlanCuentas!C$2:C$6092)</f>
        <v>0</v>
      </c>
      <c r="Q673" s="13">
        <f t="shared" ref="Q673:Q704" si="34">SUM(C673:P673)</f>
        <v>0</v>
      </c>
    </row>
    <row r="674" spans="1:17" x14ac:dyDescent="0.2">
      <c r="A674" s="10">
        <v>2</v>
      </c>
      <c r="B674" s="11" t="str">
        <f>[1]Aseguradoras!B3</f>
        <v>La Rural S.A de Seguros</v>
      </c>
      <c r="C674" s="12">
        <f>LOOKUP(410040100,[1]PlanCuentas!$A$2:$A$6092,[1]PlanCuentas!D$2:D$6092)</f>
        <v>0</v>
      </c>
      <c r="D674" s="12">
        <f>LOOKUP(410040200,[1]PlanCuentas!$A$2:$A$6092,[1]PlanCuentas!D$2:D$6092)</f>
        <v>0</v>
      </c>
      <c r="E674" s="12">
        <f>LOOKUP(410040300,[1]PlanCuentas!$A$2:$A$6092,[1]PlanCuentas!D$2:D$6092)</f>
        <v>0</v>
      </c>
      <c r="F674" s="12">
        <f>LOOKUP(410040400,[1]PlanCuentas!$A$2:$A$6092,[1]PlanCuentas!D$2:D$6092)</f>
        <v>0</v>
      </c>
      <c r="G674" s="12">
        <f>LOOKUP(410040500,[1]PlanCuentas!$A$2:$A$6092,[1]PlanCuentas!D$2:D$6092)</f>
        <v>0</v>
      </c>
      <c r="H674" s="12">
        <f>LOOKUP(410040600,[1]PlanCuentas!$A$2:$A$6092,[1]PlanCuentas!D$2:D$6092)</f>
        <v>0</v>
      </c>
      <c r="I674" s="12">
        <f>LOOKUP(410040700,[1]PlanCuentas!$A$2:$A$6092,[1]PlanCuentas!D$2:D$6092)</f>
        <v>0</v>
      </c>
      <c r="J674" s="12">
        <f>LOOKUP(410040800,[1]PlanCuentas!$A$2:$A$6092,[1]PlanCuentas!D$2:D$6092)</f>
        <v>0</v>
      </c>
      <c r="K674" s="12">
        <f>LOOKUP(410040900,[1]PlanCuentas!$A$2:$A$6092,[1]PlanCuentas!D$2:D$6092)</f>
        <v>0</v>
      </c>
      <c r="L674" s="12">
        <f>LOOKUP(410041000,[1]PlanCuentas!$A$2:$A$6092,[1]PlanCuentas!D$2:D$6092)</f>
        <v>0</v>
      </c>
      <c r="M674" s="12">
        <f>LOOKUP(410041100,[1]PlanCuentas!$A$2:$A$6092,[1]PlanCuentas!D$2:D$6092)</f>
        <v>0</v>
      </c>
      <c r="N674" s="12">
        <f>LOOKUP(410041200,[1]PlanCuentas!$A$2:$A$6092,[1]PlanCuentas!D$2:D$6092)</f>
        <v>0</v>
      </c>
      <c r="O674" s="12">
        <f>LOOKUP(410041300,[1]PlanCuentas!$A$2:$A$6092,[1]PlanCuentas!D$2:D$6092)</f>
        <v>0</v>
      </c>
      <c r="P674" s="12">
        <f>LOOKUP(410042000,[1]PlanCuentas!$A$2:$A$6092,[1]PlanCuentas!D$2:D$6092)</f>
        <v>0</v>
      </c>
      <c r="Q674" s="13">
        <f t="shared" si="34"/>
        <v>0</v>
      </c>
    </row>
    <row r="675" spans="1:17" x14ac:dyDescent="0.2">
      <c r="A675" s="10">
        <v>3</v>
      </c>
      <c r="B675" s="11" t="str">
        <f>[1]Aseguradoras!B4</f>
        <v>La Paraguaya S.A de Seguros</v>
      </c>
      <c r="C675" s="12">
        <f>LOOKUP(410040100,[1]PlanCuentas!$A$2:$A$6092,[1]PlanCuentas!E$2:E$6092)</f>
        <v>0</v>
      </c>
      <c r="D675" s="12">
        <f>LOOKUP(410040200,[1]PlanCuentas!$A$2:$A$6092,[1]PlanCuentas!E$2:E$6092)</f>
        <v>0</v>
      </c>
      <c r="E675" s="12">
        <f>LOOKUP(410040300,[1]PlanCuentas!$A$2:$A$6092,[1]PlanCuentas!E$2:E$6092)</f>
        <v>0</v>
      </c>
      <c r="F675" s="12">
        <f>LOOKUP(410040400,[1]PlanCuentas!$A$2:$A$6092,[1]PlanCuentas!E$2:E$6092)</f>
        <v>0</v>
      </c>
      <c r="G675" s="12">
        <f>LOOKUP(410040500,[1]PlanCuentas!$A$2:$A$6092,[1]PlanCuentas!E$2:E$6092)</f>
        <v>0</v>
      </c>
      <c r="H675" s="12">
        <f>LOOKUP(410040600,[1]PlanCuentas!$A$2:$A$6092,[1]PlanCuentas!E$2:E$6092)</f>
        <v>0</v>
      </c>
      <c r="I675" s="12">
        <f>LOOKUP(410040700,[1]PlanCuentas!$A$2:$A$6092,[1]PlanCuentas!E$2:E$6092)</f>
        <v>0</v>
      </c>
      <c r="J675" s="12">
        <f>LOOKUP(410040800,[1]PlanCuentas!$A$2:$A$6092,[1]PlanCuentas!E$2:E$6092)</f>
        <v>0</v>
      </c>
      <c r="K675" s="12">
        <f>LOOKUP(410040900,[1]PlanCuentas!$A$2:$A$6092,[1]PlanCuentas!E$2:E$6092)</f>
        <v>0</v>
      </c>
      <c r="L675" s="12">
        <f>LOOKUP(410041000,[1]PlanCuentas!$A$2:$A$6092,[1]PlanCuentas!E$2:E$6092)</f>
        <v>0</v>
      </c>
      <c r="M675" s="12">
        <f>LOOKUP(410041100,[1]PlanCuentas!$A$2:$A$6092,[1]PlanCuentas!E$2:E$6092)</f>
        <v>0</v>
      </c>
      <c r="N675" s="12">
        <f>LOOKUP(410041200,[1]PlanCuentas!$A$2:$A$6092,[1]PlanCuentas!E$2:E$6092)</f>
        <v>0</v>
      </c>
      <c r="O675" s="12">
        <f>LOOKUP(410041300,[1]PlanCuentas!$A$2:$A$6092,[1]PlanCuentas!E$2:E$6092)</f>
        <v>0</v>
      </c>
      <c r="P675" s="12">
        <f>LOOKUP(410042000,[1]PlanCuentas!$A$2:$A$6092,[1]PlanCuentas!E$2:E$6092)</f>
        <v>0</v>
      </c>
      <c r="Q675" s="13">
        <f t="shared" si="34"/>
        <v>0</v>
      </c>
    </row>
    <row r="676" spans="1:17" x14ac:dyDescent="0.2">
      <c r="A676" s="10">
        <v>4</v>
      </c>
      <c r="B676" s="11" t="str">
        <f>[1]Aseguradoras!B5</f>
        <v>Seguros Generales S. A (SEGESA)</v>
      </c>
      <c r="C676" s="12">
        <f>LOOKUP(410040100,[1]PlanCuentas!$A$2:$A$6092,[1]PlanCuentas!F$2:F$6092)</f>
        <v>0</v>
      </c>
      <c r="D676" s="12">
        <f>LOOKUP(410040200,[1]PlanCuentas!$A$2:$A$6092,[1]PlanCuentas!F$2:F$6092)</f>
        <v>0</v>
      </c>
      <c r="E676" s="12">
        <f>LOOKUP(410040300,[1]PlanCuentas!$A$2:$A$6092,[1]PlanCuentas!F$2:F$6092)</f>
        <v>0</v>
      </c>
      <c r="F676" s="12">
        <f>LOOKUP(410040400,[1]PlanCuentas!$A$2:$A$6092,[1]PlanCuentas!F$2:F$6092)</f>
        <v>0</v>
      </c>
      <c r="G676" s="12">
        <f>LOOKUP(410040500,[1]PlanCuentas!$A$2:$A$6092,[1]PlanCuentas!F$2:F$6092)</f>
        <v>0</v>
      </c>
      <c r="H676" s="12">
        <f>LOOKUP(410040600,[1]PlanCuentas!$A$2:$A$6092,[1]PlanCuentas!F$2:F$6092)</f>
        <v>0</v>
      </c>
      <c r="I676" s="12">
        <f>LOOKUP(410040700,[1]PlanCuentas!$A$2:$A$6092,[1]PlanCuentas!F$2:F$6092)</f>
        <v>0</v>
      </c>
      <c r="J676" s="12">
        <f>LOOKUP(410040800,[1]PlanCuentas!$A$2:$A$6092,[1]PlanCuentas!F$2:F$6092)</f>
        <v>0</v>
      </c>
      <c r="K676" s="12">
        <f>LOOKUP(410040900,[1]PlanCuentas!$A$2:$A$6092,[1]PlanCuentas!F$2:F$6092)</f>
        <v>0</v>
      </c>
      <c r="L676" s="12">
        <f>LOOKUP(410041000,[1]PlanCuentas!$A$2:$A$6092,[1]PlanCuentas!F$2:F$6092)</f>
        <v>0</v>
      </c>
      <c r="M676" s="12">
        <f>LOOKUP(410041100,[1]PlanCuentas!$A$2:$A$6092,[1]PlanCuentas!F$2:F$6092)</f>
        <v>0</v>
      </c>
      <c r="N676" s="12">
        <f>LOOKUP(410041200,[1]PlanCuentas!$A$2:$A$6092,[1]PlanCuentas!F$2:F$6092)</f>
        <v>0</v>
      </c>
      <c r="O676" s="12">
        <f>LOOKUP(410041300,[1]PlanCuentas!$A$2:$A$6092,[1]PlanCuentas!F$2:F$6092)</f>
        <v>0</v>
      </c>
      <c r="P676" s="12">
        <f>LOOKUP(410042000,[1]PlanCuentas!$A$2:$A$6092,[1]PlanCuentas!F$2:F$6092)</f>
        <v>0</v>
      </c>
      <c r="Q676" s="13">
        <f t="shared" si="34"/>
        <v>0</v>
      </c>
    </row>
    <row r="677" spans="1:17" x14ac:dyDescent="0.2">
      <c r="A677" s="10">
        <v>5</v>
      </c>
      <c r="B677" s="11" t="str">
        <f>[1]Aseguradoras!B6</f>
        <v>Rumbos S.A de Seguros</v>
      </c>
      <c r="C677" s="12">
        <f>LOOKUP(410040100,[1]PlanCuentas!$A$2:$A$6092,[1]PlanCuentas!G$2:G$6092)</f>
        <v>0</v>
      </c>
      <c r="D677" s="12">
        <f>LOOKUP(410040200,[1]PlanCuentas!$A$2:$A$6092,[1]PlanCuentas!G$2:G$6092)</f>
        <v>0</v>
      </c>
      <c r="E677" s="12">
        <f>LOOKUP(410040300,[1]PlanCuentas!$A$2:$A$6092,[1]PlanCuentas!G$2:G$6092)</f>
        <v>0</v>
      </c>
      <c r="F677" s="12">
        <f>LOOKUP(410040400,[1]PlanCuentas!$A$2:$A$6092,[1]PlanCuentas!G$2:G$6092)</f>
        <v>0</v>
      </c>
      <c r="G677" s="12">
        <f>LOOKUP(410040500,[1]PlanCuentas!$A$2:$A$6092,[1]PlanCuentas!G$2:G$6092)</f>
        <v>0</v>
      </c>
      <c r="H677" s="12">
        <f>LOOKUP(410040600,[1]PlanCuentas!$A$2:$A$6092,[1]PlanCuentas!G$2:G$6092)</f>
        <v>0</v>
      </c>
      <c r="I677" s="12">
        <f>LOOKUP(410040700,[1]PlanCuentas!$A$2:$A$6092,[1]PlanCuentas!G$2:G$6092)</f>
        <v>0</v>
      </c>
      <c r="J677" s="12">
        <f>LOOKUP(410040800,[1]PlanCuentas!$A$2:$A$6092,[1]PlanCuentas!G$2:G$6092)</f>
        <v>0</v>
      </c>
      <c r="K677" s="12">
        <f>LOOKUP(410040900,[1]PlanCuentas!$A$2:$A$6092,[1]PlanCuentas!G$2:G$6092)</f>
        <v>0</v>
      </c>
      <c r="L677" s="12">
        <f>LOOKUP(410041000,[1]PlanCuentas!$A$2:$A$6092,[1]PlanCuentas!G$2:G$6092)</f>
        <v>0</v>
      </c>
      <c r="M677" s="12">
        <f>LOOKUP(410041100,[1]PlanCuentas!$A$2:$A$6092,[1]PlanCuentas!G$2:G$6092)</f>
        <v>0</v>
      </c>
      <c r="N677" s="12">
        <f>LOOKUP(410041200,[1]PlanCuentas!$A$2:$A$6092,[1]PlanCuentas!G$2:G$6092)</f>
        <v>0</v>
      </c>
      <c r="O677" s="12">
        <f>LOOKUP(410041300,[1]PlanCuentas!$A$2:$A$6092,[1]PlanCuentas!G$2:G$6092)</f>
        <v>0</v>
      </c>
      <c r="P677" s="12">
        <f>LOOKUP(410042000,[1]PlanCuentas!$A$2:$A$6092,[1]PlanCuentas!G$2:G$6092)</f>
        <v>0</v>
      </c>
      <c r="Q677" s="13">
        <f t="shared" si="34"/>
        <v>0</v>
      </c>
    </row>
    <row r="678" spans="1:17" x14ac:dyDescent="0.2">
      <c r="A678" s="10">
        <v>6</v>
      </c>
      <c r="B678" s="11" t="str">
        <f>[1]Aseguradoras!B7</f>
        <v>La Consolidada S.A de Seguros</v>
      </c>
      <c r="C678" s="12">
        <f>LOOKUP(410040100,[1]PlanCuentas!$A$2:$A$6092,[1]PlanCuentas!H$2:H$6092)</f>
        <v>0</v>
      </c>
      <c r="D678" s="12">
        <f>LOOKUP(410040200,[1]PlanCuentas!$A$2:$A$6092,[1]PlanCuentas!H$2:H$6092)</f>
        <v>0</v>
      </c>
      <c r="E678" s="12">
        <f>LOOKUP(410040300,[1]PlanCuentas!$A$2:$A$6092,[1]PlanCuentas!H$2:H$6092)</f>
        <v>0</v>
      </c>
      <c r="F678" s="12">
        <f>LOOKUP(410040400,[1]PlanCuentas!$A$2:$A$6092,[1]PlanCuentas!H$2:H$6092)</f>
        <v>0</v>
      </c>
      <c r="G678" s="12">
        <f>LOOKUP(410040500,[1]PlanCuentas!$A$2:$A$6092,[1]PlanCuentas!H$2:H$6092)</f>
        <v>0</v>
      </c>
      <c r="H678" s="12">
        <f>LOOKUP(410040600,[1]PlanCuentas!$A$2:$A$6092,[1]PlanCuentas!H$2:H$6092)</f>
        <v>0</v>
      </c>
      <c r="I678" s="12">
        <f>LOOKUP(410040700,[1]PlanCuentas!$A$2:$A$6092,[1]PlanCuentas!H$2:H$6092)</f>
        <v>0</v>
      </c>
      <c r="J678" s="12">
        <f>LOOKUP(410040800,[1]PlanCuentas!$A$2:$A$6092,[1]PlanCuentas!H$2:H$6092)</f>
        <v>0</v>
      </c>
      <c r="K678" s="12">
        <f>LOOKUP(410040900,[1]PlanCuentas!$A$2:$A$6092,[1]PlanCuentas!H$2:H$6092)</f>
        <v>0</v>
      </c>
      <c r="L678" s="12">
        <f>LOOKUP(410041000,[1]PlanCuentas!$A$2:$A$6092,[1]PlanCuentas!H$2:H$6092)</f>
        <v>0</v>
      </c>
      <c r="M678" s="12">
        <f>LOOKUP(410041100,[1]PlanCuentas!$A$2:$A$6092,[1]PlanCuentas!H$2:H$6092)</f>
        <v>0</v>
      </c>
      <c r="N678" s="12">
        <f>LOOKUP(410041200,[1]PlanCuentas!$A$2:$A$6092,[1]PlanCuentas!H$2:H$6092)</f>
        <v>0</v>
      </c>
      <c r="O678" s="12">
        <f>LOOKUP(410041300,[1]PlanCuentas!$A$2:$A$6092,[1]PlanCuentas!H$2:H$6092)</f>
        <v>0</v>
      </c>
      <c r="P678" s="12">
        <f>LOOKUP(410042000,[1]PlanCuentas!$A$2:$A$6092,[1]PlanCuentas!H$2:H$6092)</f>
        <v>0</v>
      </c>
      <c r="Q678" s="13">
        <f t="shared" si="34"/>
        <v>0</v>
      </c>
    </row>
    <row r="679" spans="1:17" x14ac:dyDescent="0.2">
      <c r="A679" s="10">
        <v>7</v>
      </c>
      <c r="B679" s="11" t="str">
        <f>[1]Aseguradoras!B8</f>
        <v>El Productor S.A de Seguros y Reaseguros</v>
      </c>
      <c r="C679" s="12">
        <f>LOOKUP(410040100,[1]PlanCuentas!$A$2:$A$6092,[1]PlanCuentas!I$2:I$6092)</f>
        <v>0</v>
      </c>
      <c r="D679" s="12">
        <f>LOOKUP(410040200,[1]PlanCuentas!$A$2:$A$6092,[1]PlanCuentas!I$2:I$6092)</f>
        <v>0</v>
      </c>
      <c r="E679" s="12">
        <f>LOOKUP(410040300,[1]PlanCuentas!$A$2:$A$6092,[1]PlanCuentas!I$2:I$6092)</f>
        <v>0</v>
      </c>
      <c r="F679" s="12">
        <f>LOOKUP(410040400,[1]PlanCuentas!$A$2:$A$6092,[1]PlanCuentas!I$2:I$6092)</f>
        <v>0</v>
      </c>
      <c r="G679" s="12">
        <f>LOOKUP(410040500,[1]PlanCuentas!$A$2:$A$6092,[1]PlanCuentas!I$2:I$6092)</f>
        <v>0</v>
      </c>
      <c r="H679" s="12">
        <f>LOOKUP(410040600,[1]PlanCuentas!$A$2:$A$6092,[1]PlanCuentas!I$2:I$6092)</f>
        <v>0</v>
      </c>
      <c r="I679" s="12">
        <f>LOOKUP(410040700,[1]PlanCuentas!$A$2:$A$6092,[1]PlanCuentas!I$2:I$6092)</f>
        <v>0</v>
      </c>
      <c r="J679" s="12">
        <f>LOOKUP(410040800,[1]PlanCuentas!$A$2:$A$6092,[1]PlanCuentas!I$2:I$6092)</f>
        <v>0</v>
      </c>
      <c r="K679" s="12">
        <f>LOOKUP(410040900,[1]PlanCuentas!$A$2:$A$6092,[1]PlanCuentas!I$2:I$6092)</f>
        <v>0</v>
      </c>
      <c r="L679" s="12">
        <f>LOOKUP(410041000,[1]PlanCuentas!$A$2:$A$6092,[1]PlanCuentas!I$2:I$6092)</f>
        <v>0</v>
      </c>
      <c r="M679" s="12">
        <f>LOOKUP(410041100,[1]PlanCuentas!$A$2:$A$6092,[1]PlanCuentas!I$2:I$6092)</f>
        <v>0</v>
      </c>
      <c r="N679" s="12">
        <f>LOOKUP(410041200,[1]PlanCuentas!$A$2:$A$6092,[1]PlanCuentas!I$2:I$6092)</f>
        <v>0</v>
      </c>
      <c r="O679" s="12">
        <f>LOOKUP(410041300,[1]PlanCuentas!$A$2:$A$6092,[1]PlanCuentas!I$2:I$6092)</f>
        <v>0</v>
      </c>
      <c r="P679" s="12">
        <f>LOOKUP(410042000,[1]PlanCuentas!$A$2:$A$6092,[1]PlanCuentas!I$2:I$6092)</f>
        <v>0</v>
      </c>
      <c r="Q679" s="13">
        <f t="shared" si="34"/>
        <v>0</v>
      </c>
    </row>
    <row r="680" spans="1:17" x14ac:dyDescent="0.2">
      <c r="A680" s="10">
        <v>8</v>
      </c>
      <c r="B680" s="11" t="str">
        <f>[1]Aseguradoras!B9</f>
        <v>Atalaya S.A de Seguros Generales</v>
      </c>
      <c r="C680" s="12">
        <f>LOOKUP(410040100,[1]PlanCuentas!$A$2:$A$6092,[1]PlanCuentas!J$2:J$6092)</f>
        <v>0</v>
      </c>
      <c r="D680" s="12">
        <f>LOOKUP(410040200,[1]PlanCuentas!$A$2:$A$6092,[1]PlanCuentas!J$2:J$6092)</f>
        <v>0</v>
      </c>
      <c r="E680" s="12">
        <f>LOOKUP(410040300,[1]PlanCuentas!$A$2:$A$6092,[1]PlanCuentas!J$2:J$6092)</f>
        <v>0</v>
      </c>
      <c r="F680" s="12">
        <f>LOOKUP(410040400,[1]PlanCuentas!$A$2:$A$6092,[1]PlanCuentas!J$2:J$6092)</f>
        <v>0</v>
      </c>
      <c r="G680" s="12">
        <f>LOOKUP(410040500,[1]PlanCuentas!$A$2:$A$6092,[1]PlanCuentas!J$2:J$6092)</f>
        <v>0</v>
      </c>
      <c r="H680" s="12">
        <f>LOOKUP(410040600,[1]PlanCuentas!$A$2:$A$6092,[1]PlanCuentas!J$2:J$6092)</f>
        <v>0</v>
      </c>
      <c r="I680" s="12">
        <f>LOOKUP(410040700,[1]PlanCuentas!$A$2:$A$6092,[1]PlanCuentas!J$2:J$6092)</f>
        <v>0</v>
      </c>
      <c r="J680" s="12">
        <f>LOOKUP(410040800,[1]PlanCuentas!$A$2:$A$6092,[1]PlanCuentas!J$2:J$6092)</f>
        <v>0</v>
      </c>
      <c r="K680" s="12">
        <f>LOOKUP(410040900,[1]PlanCuentas!$A$2:$A$6092,[1]PlanCuentas!J$2:J$6092)</f>
        <v>0</v>
      </c>
      <c r="L680" s="12">
        <f>LOOKUP(410041000,[1]PlanCuentas!$A$2:$A$6092,[1]PlanCuentas!J$2:J$6092)</f>
        <v>0</v>
      </c>
      <c r="M680" s="12">
        <f>LOOKUP(410041100,[1]PlanCuentas!$A$2:$A$6092,[1]PlanCuentas!J$2:J$6092)</f>
        <v>0</v>
      </c>
      <c r="N680" s="12">
        <f>LOOKUP(410041200,[1]PlanCuentas!$A$2:$A$6092,[1]PlanCuentas!J$2:J$6092)</f>
        <v>0</v>
      </c>
      <c r="O680" s="12">
        <f>LOOKUP(410041300,[1]PlanCuentas!$A$2:$A$6092,[1]PlanCuentas!J$2:J$6092)</f>
        <v>0</v>
      </c>
      <c r="P680" s="12">
        <f>LOOKUP(410042000,[1]PlanCuentas!$A$2:$A$6092,[1]PlanCuentas!J$2:J$6092)</f>
        <v>0</v>
      </c>
      <c r="Q680" s="13">
        <f t="shared" si="34"/>
        <v>0</v>
      </c>
    </row>
    <row r="681" spans="1:17" x14ac:dyDescent="0.2">
      <c r="A681" s="10">
        <v>9</v>
      </c>
      <c r="B681" s="11" t="str">
        <f>[1]Aseguradoras!B10</f>
        <v>La Independencia de Seguros S.A.</v>
      </c>
      <c r="C681" s="12">
        <f>LOOKUP(410040100,[1]PlanCuentas!$A$2:$A$6092,[1]PlanCuentas!K$2:K$6092)</f>
        <v>0</v>
      </c>
      <c r="D681" s="12">
        <f>LOOKUP(410040200,[1]PlanCuentas!$A$2:$A$6092,[1]PlanCuentas!K$2:K$6092)</f>
        <v>0</v>
      </c>
      <c r="E681" s="12">
        <f>LOOKUP(410040300,[1]PlanCuentas!$A$2:$A$6092,[1]PlanCuentas!K$2:K$6092)</f>
        <v>0</v>
      </c>
      <c r="F681" s="12">
        <f>LOOKUP(410040400,[1]PlanCuentas!$A$2:$A$6092,[1]PlanCuentas!K$2:K$6092)</f>
        <v>0</v>
      </c>
      <c r="G681" s="12">
        <f>LOOKUP(410040500,[1]PlanCuentas!$A$2:$A$6092,[1]PlanCuentas!K$2:K$6092)</f>
        <v>0</v>
      </c>
      <c r="H681" s="12">
        <f>LOOKUP(410040600,[1]PlanCuentas!$A$2:$A$6092,[1]PlanCuentas!K$2:K$6092)</f>
        <v>0</v>
      </c>
      <c r="I681" s="12">
        <f>LOOKUP(410040700,[1]PlanCuentas!$A$2:$A$6092,[1]PlanCuentas!K$2:K$6092)</f>
        <v>0</v>
      </c>
      <c r="J681" s="12">
        <f>LOOKUP(410040800,[1]PlanCuentas!$A$2:$A$6092,[1]PlanCuentas!K$2:K$6092)</f>
        <v>0</v>
      </c>
      <c r="K681" s="12">
        <f>LOOKUP(410040900,[1]PlanCuentas!$A$2:$A$6092,[1]PlanCuentas!K$2:K$6092)</f>
        <v>0</v>
      </c>
      <c r="L681" s="12">
        <f>LOOKUP(410041000,[1]PlanCuentas!$A$2:$A$6092,[1]PlanCuentas!K$2:K$6092)</f>
        <v>0</v>
      </c>
      <c r="M681" s="12">
        <f>LOOKUP(410041100,[1]PlanCuentas!$A$2:$A$6092,[1]PlanCuentas!K$2:K$6092)</f>
        <v>0</v>
      </c>
      <c r="N681" s="12">
        <f>LOOKUP(410041200,[1]PlanCuentas!$A$2:$A$6092,[1]PlanCuentas!K$2:K$6092)</f>
        <v>0</v>
      </c>
      <c r="O681" s="12">
        <f>LOOKUP(410041300,[1]PlanCuentas!$A$2:$A$6092,[1]PlanCuentas!K$2:K$6092)</f>
        <v>0</v>
      </c>
      <c r="P681" s="12">
        <f>LOOKUP(410042000,[1]PlanCuentas!$A$2:$A$6092,[1]PlanCuentas!K$2:K$6092)</f>
        <v>0</v>
      </c>
      <c r="Q681" s="13">
        <f t="shared" si="34"/>
        <v>0</v>
      </c>
    </row>
    <row r="682" spans="1:17" x14ac:dyDescent="0.2">
      <c r="A682" s="10">
        <v>10</v>
      </c>
      <c r="B682" s="11" t="str">
        <f>[1]Aseguradoras!B11</f>
        <v>Patria S.A de Seguros y Reaseguros</v>
      </c>
      <c r="C682" s="12">
        <f>LOOKUP(410040100,[1]PlanCuentas!$A$2:$A$6092,[1]PlanCuentas!L$2:L$6092)</f>
        <v>11792786</v>
      </c>
      <c r="D682" s="12">
        <f>LOOKUP(410040200,[1]PlanCuentas!$A$2:$A$6092,[1]PlanCuentas!L$2:L$6092)</f>
        <v>0</v>
      </c>
      <c r="E682" s="12">
        <f>LOOKUP(410040300,[1]PlanCuentas!$A$2:$A$6092,[1]PlanCuentas!L$2:L$6092)</f>
        <v>802990</v>
      </c>
      <c r="F682" s="12">
        <f>LOOKUP(410040400,[1]PlanCuentas!$A$2:$A$6092,[1]PlanCuentas!L$2:L$6092)</f>
        <v>0</v>
      </c>
      <c r="G682" s="12">
        <f>LOOKUP(410040500,[1]PlanCuentas!$A$2:$A$6092,[1]PlanCuentas!L$2:L$6092)</f>
        <v>0</v>
      </c>
      <c r="H682" s="12">
        <f>LOOKUP(410040600,[1]PlanCuentas!$A$2:$A$6092,[1]PlanCuentas!L$2:L$6092)</f>
        <v>0</v>
      </c>
      <c r="I682" s="12">
        <f>LOOKUP(410040700,[1]PlanCuentas!$A$2:$A$6092,[1]PlanCuentas!L$2:L$6092)</f>
        <v>0</v>
      </c>
      <c r="J682" s="12">
        <f>LOOKUP(410040800,[1]PlanCuentas!$A$2:$A$6092,[1]PlanCuentas!L$2:L$6092)</f>
        <v>0</v>
      </c>
      <c r="K682" s="12">
        <f>LOOKUP(410040900,[1]PlanCuentas!$A$2:$A$6092,[1]PlanCuentas!L$2:L$6092)</f>
        <v>0</v>
      </c>
      <c r="L682" s="12">
        <f>LOOKUP(410041000,[1]PlanCuentas!$A$2:$A$6092,[1]PlanCuentas!L$2:L$6092)</f>
        <v>0</v>
      </c>
      <c r="M682" s="12">
        <f>LOOKUP(410041100,[1]PlanCuentas!$A$2:$A$6092,[1]PlanCuentas!L$2:L$6092)</f>
        <v>0</v>
      </c>
      <c r="N682" s="12">
        <f>LOOKUP(410041200,[1]PlanCuentas!$A$2:$A$6092,[1]PlanCuentas!L$2:L$6092)</f>
        <v>0</v>
      </c>
      <c r="O682" s="12">
        <f>LOOKUP(410041300,[1]PlanCuentas!$A$2:$A$6092,[1]PlanCuentas!L$2:L$6092)</f>
        <v>11667345</v>
      </c>
      <c r="P682" s="12">
        <f>LOOKUP(410042000,[1]PlanCuentas!$A$2:$A$6092,[1]PlanCuentas!L$2:L$6092)</f>
        <v>0</v>
      </c>
      <c r="Q682" s="13">
        <f t="shared" si="34"/>
        <v>24263121</v>
      </c>
    </row>
    <row r="683" spans="1:17" x14ac:dyDescent="0.2">
      <c r="A683" s="10">
        <v>11</v>
      </c>
      <c r="B683" s="11" t="str">
        <f>[1]Aseguradoras!B12</f>
        <v>Garantía S.A de Seguros y Reaseguros</v>
      </c>
      <c r="C683" s="12">
        <f>LOOKUP(410040100,[1]PlanCuentas!$A$2:$A$6092,[1]PlanCuentas!M$2:M$6092)</f>
        <v>0</v>
      </c>
      <c r="D683" s="12">
        <f>LOOKUP(410040200,[1]PlanCuentas!$A$2:$A$6092,[1]PlanCuentas!M$2:M$6092)</f>
        <v>0</v>
      </c>
      <c r="E683" s="12">
        <f>LOOKUP(410040300,[1]PlanCuentas!$A$2:$A$6092,[1]PlanCuentas!M$2:M$6092)</f>
        <v>0</v>
      </c>
      <c r="F683" s="12">
        <f>LOOKUP(410040400,[1]PlanCuentas!$A$2:$A$6092,[1]PlanCuentas!M$2:M$6092)</f>
        <v>0</v>
      </c>
      <c r="G683" s="12">
        <f>LOOKUP(410040500,[1]PlanCuentas!$A$2:$A$6092,[1]PlanCuentas!M$2:M$6092)</f>
        <v>0</v>
      </c>
      <c r="H683" s="12">
        <f>LOOKUP(410040600,[1]PlanCuentas!$A$2:$A$6092,[1]PlanCuentas!M$2:M$6092)</f>
        <v>0</v>
      </c>
      <c r="I683" s="12">
        <f>LOOKUP(410040700,[1]PlanCuentas!$A$2:$A$6092,[1]PlanCuentas!M$2:M$6092)</f>
        <v>0</v>
      </c>
      <c r="J683" s="12">
        <f>LOOKUP(410040800,[1]PlanCuentas!$A$2:$A$6092,[1]PlanCuentas!M$2:M$6092)</f>
        <v>0</v>
      </c>
      <c r="K683" s="12">
        <f>LOOKUP(410040900,[1]PlanCuentas!$A$2:$A$6092,[1]PlanCuentas!M$2:M$6092)</f>
        <v>0</v>
      </c>
      <c r="L683" s="12">
        <f>LOOKUP(410041000,[1]PlanCuentas!$A$2:$A$6092,[1]PlanCuentas!M$2:M$6092)</f>
        <v>0</v>
      </c>
      <c r="M683" s="12">
        <f>LOOKUP(410041100,[1]PlanCuentas!$A$2:$A$6092,[1]PlanCuentas!M$2:M$6092)</f>
        <v>0</v>
      </c>
      <c r="N683" s="12">
        <f>LOOKUP(410041200,[1]PlanCuentas!$A$2:$A$6092,[1]PlanCuentas!M$2:M$6092)</f>
        <v>0</v>
      </c>
      <c r="O683" s="12">
        <f>LOOKUP(410041300,[1]PlanCuentas!$A$2:$A$6092,[1]PlanCuentas!M$2:M$6092)</f>
        <v>0</v>
      </c>
      <c r="P683" s="12">
        <f>LOOKUP(410042000,[1]PlanCuentas!$A$2:$A$6092,[1]PlanCuentas!M$2:M$6092)</f>
        <v>0</v>
      </c>
      <c r="Q683" s="13">
        <f t="shared" si="34"/>
        <v>0</v>
      </c>
    </row>
    <row r="684" spans="1:17" x14ac:dyDescent="0.2">
      <c r="A684" s="10">
        <v>12</v>
      </c>
      <c r="B684" s="11" t="str">
        <f>[1]Aseguradoras!B13</f>
        <v>Aseguradora Paraguaya S.A.</v>
      </c>
      <c r="C684" s="12">
        <f>LOOKUP(410040100,[1]PlanCuentas!$A$2:$A$6092,[1]PlanCuentas!N$2:N$6092)</f>
        <v>0</v>
      </c>
      <c r="D684" s="12">
        <f>LOOKUP(410040200,[1]PlanCuentas!$A$2:$A$6092,[1]PlanCuentas!N$2:N$6092)</f>
        <v>0</v>
      </c>
      <c r="E684" s="12">
        <f>LOOKUP(410040300,[1]PlanCuentas!$A$2:$A$6092,[1]PlanCuentas!N$2:N$6092)</f>
        <v>0</v>
      </c>
      <c r="F684" s="12">
        <f>LOOKUP(410040400,[1]PlanCuentas!$A$2:$A$6092,[1]PlanCuentas!N$2:N$6092)</f>
        <v>0</v>
      </c>
      <c r="G684" s="12">
        <f>LOOKUP(410040500,[1]PlanCuentas!$A$2:$A$6092,[1]PlanCuentas!N$2:N$6092)</f>
        <v>0</v>
      </c>
      <c r="H684" s="12">
        <f>LOOKUP(410040600,[1]PlanCuentas!$A$2:$A$6092,[1]PlanCuentas!N$2:N$6092)</f>
        <v>0</v>
      </c>
      <c r="I684" s="12">
        <f>LOOKUP(410040700,[1]PlanCuentas!$A$2:$A$6092,[1]PlanCuentas!N$2:N$6092)</f>
        <v>0</v>
      </c>
      <c r="J684" s="12">
        <f>LOOKUP(410040800,[1]PlanCuentas!$A$2:$A$6092,[1]PlanCuentas!N$2:N$6092)</f>
        <v>0</v>
      </c>
      <c r="K684" s="12">
        <f>LOOKUP(410040900,[1]PlanCuentas!$A$2:$A$6092,[1]PlanCuentas!N$2:N$6092)</f>
        <v>0</v>
      </c>
      <c r="L684" s="12">
        <f>LOOKUP(410041000,[1]PlanCuentas!$A$2:$A$6092,[1]PlanCuentas!N$2:N$6092)</f>
        <v>0</v>
      </c>
      <c r="M684" s="12">
        <f>LOOKUP(410041100,[1]PlanCuentas!$A$2:$A$6092,[1]PlanCuentas!N$2:N$6092)</f>
        <v>0</v>
      </c>
      <c r="N684" s="12">
        <f>LOOKUP(410041200,[1]PlanCuentas!$A$2:$A$6092,[1]PlanCuentas!N$2:N$6092)</f>
        <v>0</v>
      </c>
      <c r="O684" s="12">
        <f>LOOKUP(410041300,[1]PlanCuentas!$A$2:$A$6092,[1]PlanCuentas!N$2:N$6092)</f>
        <v>0</v>
      </c>
      <c r="P684" s="12">
        <f>LOOKUP(410042000,[1]PlanCuentas!$A$2:$A$6092,[1]PlanCuentas!N$2:N$6092)</f>
        <v>0</v>
      </c>
      <c r="Q684" s="13">
        <f t="shared" si="34"/>
        <v>0</v>
      </c>
    </row>
    <row r="685" spans="1:17" x14ac:dyDescent="0.2">
      <c r="A685" s="10">
        <v>13</v>
      </c>
      <c r="B685" s="11" t="str">
        <f>[1]Aseguradoras!B14</f>
        <v>Fénix S.A de Seguros y Reaseguros</v>
      </c>
      <c r="C685" s="12">
        <f>LOOKUP(410040100,[1]PlanCuentas!$A$2:$A$6092,[1]PlanCuentas!O$2:O$6092)</f>
        <v>0</v>
      </c>
      <c r="D685" s="12">
        <f>LOOKUP(410040200,[1]PlanCuentas!$A$2:$A$6092,[1]PlanCuentas!O$2:O$6092)</f>
        <v>0</v>
      </c>
      <c r="E685" s="12">
        <f>LOOKUP(410040300,[1]PlanCuentas!$A$2:$A$6092,[1]PlanCuentas!O$2:O$6092)</f>
        <v>0</v>
      </c>
      <c r="F685" s="12">
        <f>LOOKUP(410040400,[1]PlanCuentas!$A$2:$A$6092,[1]PlanCuentas!O$2:O$6092)</f>
        <v>0</v>
      </c>
      <c r="G685" s="12">
        <f>LOOKUP(410040500,[1]PlanCuentas!$A$2:$A$6092,[1]PlanCuentas!O$2:O$6092)</f>
        <v>0</v>
      </c>
      <c r="H685" s="12">
        <f>LOOKUP(410040600,[1]PlanCuentas!$A$2:$A$6092,[1]PlanCuentas!O$2:O$6092)</f>
        <v>0</v>
      </c>
      <c r="I685" s="12">
        <f>LOOKUP(410040700,[1]PlanCuentas!$A$2:$A$6092,[1]PlanCuentas!O$2:O$6092)</f>
        <v>0</v>
      </c>
      <c r="J685" s="12">
        <f>LOOKUP(410040800,[1]PlanCuentas!$A$2:$A$6092,[1]PlanCuentas!O$2:O$6092)</f>
        <v>0</v>
      </c>
      <c r="K685" s="12">
        <f>LOOKUP(410040900,[1]PlanCuentas!$A$2:$A$6092,[1]PlanCuentas!O$2:O$6092)</f>
        <v>0</v>
      </c>
      <c r="L685" s="12">
        <f>LOOKUP(410041000,[1]PlanCuentas!$A$2:$A$6092,[1]PlanCuentas!O$2:O$6092)</f>
        <v>0</v>
      </c>
      <c r="M685" s="12">
        <f>LOOKUP(410041100,[1]PlanCuentas!$A$2:$A$6092,[1]PlanCuentas!O$2:O$6092)</f>
        <v>0</v>
      </c>
      <c r="N685" s="12">
        <f>LOOKUP(410041200,[1]PlanCuentas!$A$2:$A$6092,[1]PlanCuentas!O$2:O$6092)</f>
        <v>0</v>
      </c>
      <c r="O685" s="12">
        <f>LOOKUP(410041300,[1]PlanCuentas!$A$2:$A$6092,[1]PlanCuentas!O$2:O$6092)</f>
        <v>0</v>
      </c>
      <c r="P685" s="12">
        <f>LOOKUP(410042000,[1]PlanCuentas!$A$2:$A$6092,[1]PlanCuentas!O$2:O$6092)</f>
        <v>0</v>
      </c>
      <c r="Q685" s="13">
        <f t="shared" si="34"/>
        <v>0</v>
      </c>
    </row>
    <row r="686" spans="1:17" x14ac:dyDescent="0.2">
      <c r="A686" s="10">
        <v>14</v>
      </c>
      <c r="B686" s="11" t="str">
        <f>[1]Aseguradoras!B15</f>
        <v>Central S.A de Seguros</v>
      </c>
      <c r="C686" s="12">
        <f>LOOKUP(410040100,[1]PlanCuentas!$A$2:$A$6092,[1]PlanCuentas!P$2:P$6092)</f>
        <v>0</v>
      </c>
      <c r="D686" s="12">
        <f>LOOKUP(410040200,[1]PlanCuentas!$A$2:$A$6092,[1]PlanCuentas!P$2:P$6092)</f>
        <v>0</v>
      </c>
      <c r="E686" s="12">
        <f>LOOKUP(410040300,[1]PlanCuentas!$A$2:$A$6092,[1]PlanCuentas!P$2:P$6092)</f>
        <v>0</v>
      </c>
      <c r="F686" s="12">
        <f>LOOKUP(410040400,[1]PlanCuentas!$A$2:$A$6092,[1]PlanCuentas!P$2:P$6092)</f>
        <v>0</v>
      </c>
      <c r="G686" s="12">
        <f>LOOKUP(410040500,[1]PlanCuentas!$A$2:$A$6092,[1]PlanCuentas!P$2:P$6092)</f>
        <v>0</v>
      </c>
      <c r="H686" s="12">
        <f>LOOKUP(410040600,[1]PlanCuentas!$A$2:$A$6092,[1]PlanCuentas!P$2:P$6092)</f>
        <v>0</v>
      </c>
      <c r="I686" s="12">
        <f>LOOKUP(410040700,[1]PlanCuentas!$A$2:$A$6092,[1]PlanCuentas!P$2:P$6092)</f>
        <v>0</v>
      </c>
      <c r="J686" s="12">
        <f>LOOKUP(410040800,[1]PlanCuentas!$A$2:$A$6092,[1]PlanCuentas!P$2:P$6092)</f>
        <v>0</v>
      </c>
      <c r="K686" s="12">
        <f>LOOKUP(410040900,[1]PlanCuentas!$A$2:$A$6092,[1]PlanCuentas!P$2:P$6092)</f>
        <v>0</v>
      </c>
      <c r="L686" s="12">
        <f>LOOKUP(410041000,[1]PlanCuentas!$A$2:$A$6092,[1]PlanCuentas!P$2:P$6092)</f>
        <v>0</v>
      </c>
      <c r="M686" s="12">
        <f>LOOKUP(410041100,[1]PlanCuentas!$A$2:$A$6092,[1]PlanCuentas!P$2:P$6092)</f>
        <v>0</v>
      </c>
      <c r="N686" s="12">
        <f>LOOKUP(410041200,[1]PlanCuentas!$A$2:$A$6092,[1]PlanCuentas!P$2:P$6092)</f>
        <v>0</v>
      </c>
      <c r="O686" s="12">
        <f>LOOKUP(410041300,[1]PlanCuentas!$A$2:$A$6092,[1]PlanCuentas!P$2:P$6092)</f>
        <v>0</v>
      </c>
      <c r="P686" s="12">
        <f>LOOKUP(410042000,[1]PlanCuentas!$A$2:$A$6092,[1]PlanCuentas!P$2:P$6092)</f>
        <v>0</v>
      </c>
      <c r="Q686" s="13">
        <f t="shared" si="34"/>
        <v>0</v>
      </c>
    </row>
    <row r="687" spans="1:17" x14ac:dyDescent="0.2">
      <c r="A687" s="10">
        <v>15</v>
      </c>
      <c r="B687" s="11" t="str">
        <f>[1]Aseguradoras!B16</f>
        <v>Seguros Chaco S.A de Seguros y Reaseguros</v>
      </c>
      <c r="C687" s="12">
        <f>LOOKUP(410040100,[1]PlanCuentas!$A$2:$A$6092,[1]PlanCuentas!Q$2:Q$6092)</f>
        <v>0</v>
      </c>
      <c r="D687" s="12">
        <f>LOOKUP(410040200,[1]PlanCuentas!$A$2:$A$6092,[1]PlanCuentas!Q$2:Q$6092)</f>
        <v>0</v>
      </c>
      <c r="E687" s="12">
        <f>LOOKUP(410040300,[1]PlanCuentas!$A$2:$A$6092,[1]PlanCuentas!Q$2:Q$6092)</f>
        <v>0</v>
      </c>
      <c r="F687" s="12">
        <f>LOOKUP(410040400,[1]PlanCuentas!$A$2:$A$6092,[1]PlanCuentas!Q$2:Q$6092)</f>
        <v>0</v>
      </c>
      <c r="G687" s="12">
        <f>LOOKUP(410040500,[1]PlanCuentas!$A$2:$A$6092,[1]PlanCuentas!Q$2:Q$6092)</f>
        <v>0</v>
      </c>
      <c r="H687" s="12">
        <f>LOOKUP(410040600,[1]PlanCuentas!$A$2:$A$6092,[1]PlanCuentas!Q$2:Q$6092)</f>
        <v>0</v>
      </c>
      <c r="I687" s="12">
        <f>LOOKUP(410040700,[1]PlanCuentas!$A$2:$A$6092,[1]PlanCuentas!Q$2:Q$6092)</f>
        <v>0</v>
      </c>
      <c r="J687" s="12">
        <f>LOOKUP(410040800,[1]PlanCuentas!$A$2:$A$6092,[1]PlanCuentas!Q$2:Q$6092)</f>
        <v>0</v>
      </c>
      <c r="K687" s="12">
        <f>LOOKUP(410040900,[1]PlanCuentas!$A$2:$A$6092,[1]PlanCuentas!Q$2:Q$6092)</f>
        <v>0</v>
      </c>
      <c r="L687" s="12">
        <f>LOOKUP(410041000,[1]PlanCuentas!$A$2:$A$6092,[1]PlanCuentas!Q$2:Q$6092)</f>
        <v>0</v>
      </c>
      <c r="M687" s="12">
        <f>LOOKUP(410041100,[1]PlanCuentas!$A$2:$A$6092,[1]PlanCuentas!Q$2:Q$6092)</f>
        <v>0</v>
      </c>
      <c r="N687" s="12">
        <f>LOOKUP(410041200,[1]PlanCuentas!$A$2:$A$6092,[1]PlanCuentas!Q$2:Q$6092)</f>
        <v>0</v>
      </c>
      <c r="O687" s="12">
        <f>LOOKUP(410041300,[1]PlanCuentas!$A$2:$A$6092,[1]PlanCuentas!Q$2:Q$6092)</f>
        <v>0</v>
      </c>
      <c r="P687" s="12">
        <f>LOOKUP(410042000,[1]PlanCuentas!$A$2:$A$6092,[1]PlanCuentas!Q$2:Q$6092)</f>
        <v>0</v>
      </c>
      <c r="Q687" s="13">
        <f t="shared" si="34"/>
        <v>0</v>
      </c>
    </row>
    <row r="688" spans="1:17" x14ac:dyDescent="0.2">
      <c r="A688" s="10">
        <v>16</v>
      </c>
      <c r="B688" s="11" t="str">
        <f>[1]Aseguradoras!B17</f>
        <v>El Sol Del Paraguay Compañía de Seguros y Reaseguros S.A.</v>
      </c>
      <c r="C688" s="12">
        <f>LOOKUP(410040100,[1]PlanCuentas!$A$2:$A$6092,[1]PlanCuentas!R$2:R$6092)</f>
        <v>0</v>
      </c>
      <c r="D688" s="12">
        <f>LOOKUP(410040200,[1]PlanCuentas!$A$2:$A$6092,[1]PlanCuentas!R$2:R$6092)</f>
        <v>0</v>
      </c>
      <c r="E688" s="12">
        <f>LOOKUP(410040300,[1]PlanCuentas!$A$2:$A$6092,[1]PlanCuentas!R$2:R$6092)</f>
        <v>0</v>
      </c>
      <c r="F688" s="12">
        <f>LOOKUP(410040400,[1]PlanCuentas!$A$2:$A$6092,[1]PlanCuentas!R$2:R$6092)</f>
        <v>0</v>
      </c>
      <c r="G688" s="12">
        <f>LOOKUP(410040500,[1]PlanCuentas!$A$2:$A$6092,[1]PlanCuentas!R$2:R$6092)</f>
        <v>0</v>
      </c>
      <c r="H688" s="12">
        <f>LOOKUP(410040600,[1]PlanCuentas!$A$2:$A$6092,[1]PlanCuentas!R$2:R$6092)</f>
        <v>0</v>
      </c>
      <c r="I688" s="12">
        <f>LOOKUP(410040700,[1]PlanCuentas!$A$2:$A$6092,[1]PlanCuentas!R$2:R$6092)</f>
        <v>0</v>
      </c>
      <c r="J688" s="12">
        <f>LOOKUP(410040800,[1]PlanCuentas!$A$2:$A$6092,[1]PlanCuentas!R$2:R$6092)</f>
        <v>0</v>
      </c>
      <c r="K688" s="12">
        <f>LOOKUP(410040900,[1]PlanCuentas!$A$2:$A$6092,[1]PlanCuentas!R$2:R$6092)</f>
        <v>0</v>
      </c>
      <c r="L688" s="12">
        <f>LOOKUP(410041000,[1]PlanCuentas!$A$2:$A$6092,[1]PlanCuentas!R$2:R$6092)</f>
        <v>0</v>
      </c>
      <c r="M688" s="12">
        <f>LOOKUP(410041100,[1]PlanCuentas!$A$2:$A$6092,[1]PlanCuentas!R$2:R$6092)</f>
        <v>0</v>
      </c>
      <c r="N688" s="12">
        <f>LOOKUP(410041200,[1]PlanCuentas!$A$2:$A$6092,[1]PlanCuentas!R$2:R$6092)</f>
        <v>0</v>
      </c>
      <c r="O688" s="12">
        <f>LOOKUP(410041300,[1]PlanCuentas!$A$2:$A$6092,[1]PlanCuentas!R$2:R$6092)</f>
        <v>0</v>
      </c>
      <c r="P688" s="12">
        <f>LOOKUP(410042000,[1]PlanCuentas!$A$2:$A$6092,[1]PlanCuentas!R$2:R$6092)</f>
        <v>0</v>
      </c>
      <c r="Q688" s="13">
        <f t="shared" si="34"/>
        <v>0</v>
      </c>
    </row>
    <row r="689" spans="1:23" x14ac:dyDescent="0.2">
      <c r="A689" s="10">
        <v>17</v>
      </c>
      <c r="B689" s="11" t="str">
        <f>[1]Aseguradoras!B18</f>
        <v>Intercontinental de Seguros y Reaseguros S.A.</v>
      </c>
      <c r="C689" s="12">
        <f>LOOKUP(410040100,[1]PlanCuentas!$A$2:$A$6092,[1]PlanCuentas!S$2:S$6092)</f>
        <v>0</v>
      </c>
      <c r="D689" s="12">
        <f>LOOKUP(410040200,[1]PlanCuentas!$A$2:$A$6092,[1]PlanCuentas!S$2:S$6092)</f>
        <v>0</v>
      </c>
      <c r="E689" s="12">
        <f>LOOKUP(410040300,[1]PlanCuentas!$A$2:$A$6092,[1]PlanCuentas!S$2:S$6092)</f>
        <v>0</v>
      </c>
      <c r="F689" s="12">
        <f>LOOKUP(410040400,[1]PlanCuentas!$A$2:$A$6092,[1]PlanCuentas!S$2:S$6092)</f>
        <v>0</v>
      </c>
      <c r="G689" s="12">
        <f>LOOKUP(410040500,[1]PlanCuentas!$A$2:$A$6092,[1]PlanCuentas!S$2:S$6092)</f>
        <v>0</v>
      </c>
      <c r="H689" s="12">
        <f>LOOKUP(410040600,[1]PlanCuentas!$A$2:$A$6092,[1]PlanCuentas!S$2:S$6092)</f>
        <v>0</v>
      </c>
      <c r="I689" s="12">
        <f>LOOKUP(410040700,[1]PlanCuentas!$A$2:$A$6092,[1]PlanCuentas!S$2:S$6092)</f>
        <v>0</v>
      </c>
      <c r="J689" s="12">
        <f>LOOKUP(410040800,[1]PlanCuentas!$A$2:$A$6092,[1]PlanCuentas!S$2:S$6092)</f>
        <v>0</v>
      </c>
      <c r="K689" s="12">
        <f>LOOKUP(410040900,[1]PlanCuentas!$A$2:$A$6092,[1]PlanCuentas!S$2:S$6092)</f>
        <v>0</v>
      </c>
      <c r="L689" s="12">
        <f>LOOKUP(410041000,[1]PlanCuentas!$A$2:$A$6092,[1]PlanCuentas!S$2:S$6092)</f>
        <v>0</v>
      </c>
      <c r="M689" s="12">
        <f>LOOKUP(410041100,[1]PlanCuentas!$A$2:$A$6092,[1]PlanCuentas!S$2:S$6092)</f>
        <v>0</v>
      </c>
      <c r="N689" s="12">
        <f>LOOKUP(410041200,[1]PlanCuentas!$A$2:$A$6092,[1]PlanCuentas!S$2:S$6092)</f>
        <v>0</v>
      </c>
      <c r="O689" s="12">
        <f>LOOKUP(410041300,[1]PlanCuentas!$A$2:$A$6092,[1]PlanCuentas!S$2:S$6092)</f>
        <v>0</v>
      </c>
      <c r="P689" s="12">
        <f>LOOKUP(410042000,[1]PlanCuentas!$A$2:$A$6092,[1]PlanCuentas!S$2:S$6092)</f>
        <v>0</v>
      </c>
      <c r="Q689" s="13">
        <f t="shared" si="34"/>
        <v>0</v>
      </c>
    </row>
    <row r="690" spans="1:23" x14ac:dyDescent="0.2">
      <c r="A690" s="10">
        <v>18</v>
      </c>
      <c r="B690" s="11" t="str">
        <f>[1]Aseguradoras!B19</f>
        <v>Seguridad S.A Compañía de Seguros</v>
      </c>
      <c r="C690" s="12">
        <f>LOOKUP(410040100,[1]PlanCuentas!$A$2:$A$6092,[1]PlanCuentas!T$2:T$6092)</f>
        <v>0</v>
      </c>
      <c r="D690" s="12">
        <f>LOOKUP(410040200,[1]PlanCuentas!$A$2:$A$6092,[1]PlanCuentas!T$2:T$6092)</f>
        <v>0</v>
      </c>
      <c r="E690" s="12">
        <f>LOOKUP(410040300,[1]PlanCuentas!$A$2:$A$6092,[1]PlanCuentas!T$2:T$6092)</f>
        <v>0</v>
      </c>
      <c r="F690" s="12">
        <f>LOOKUP(410040400,[1]PlanCuentas!$A$2:$A$6092,[1]PlanCuentas!T$2:T$6092)</f>
        <v>0</v>
      </c>
      <c r="G690" s="12">
        <f>LOOKUP(410040500,[1]PlanCuentas!$A$2:$A$6092,[1]PlanCuentas!T$2:T$6092)</f>
        <v>0</v>
      </c>
      <c r="H690" s="12">
        <f>LOOKUP(410040600,[1]PlanCuentas!$A$2:$A$6092,[1]PlanCuentas!T$2:T$6092)</f>
        <v>0</v>
      </c>
      <c r="I690" s="12">
        <f>LOOKUP(410040700,[1]PlanCuentas!$A$2:$A$6092,[1]PlanCuentas!T$2:T$6092)</f>
        <v>0</v>
      </c>
      <c r="J690" s="12">
        <f>LOOKUP(410040800,[1]PlanCuentas!$A$2:$A$6092,[1]PlanCuentas!T$2:T$6092)</f>
        <v>0</v>
      </c>
      <c r="K690" s="12">
        <f>LOOKUP(410040900,[1]PlanCuentas!$A$2:$A$6092,[1]PlanCuentas!T$2:T$6092)</f>
        <v>0</v>
      </c>
      <c r="L690" s="12">
        <f>LOOKUP(410041000,[1]PlanCuentas!$A$2:$A$6092,[1]PlanCuentas!T$2:T$6092)</f>
        <v>0</v>
      </c>
      <c r="M690" s="12">
        <f>LOOKUP(410041100,[1]PlanCuentas!$A$2:$A$6092,[1]PlanCuentas!T$2:T$6092)</f>
        <v>0</v>
      </c>
      <c r="N690" s="12">
        <f>LOOKUP(410041200,[1]PlanCuentas!$A$2:$A$6092,[1]PlanCuentas!T$2:T$6092)</f>
        <v>0</v>
      </c>
      <c r="O690" s="12">
        <f>LOOKUP(410041300,[1]PlanCuentas!$A$2:$A$6092,[1]PlanCuentas!T$2:T$6092)</f>
        <v>0</v>
      </c>
      <c r="P690" s="12">
        <f>LOOKUP(410042000,[1]PlanCuentas!$A$2:$A$6092,[1]PlanCuentas!T$2:T$6092)</f>
        <v>0</v>
      </c>
      <c r="Q690" s="13">
        <f t="shared" si="34"/>
        <v>0</v>
      </c>
    </row>
    <row r="691" spans="1:23" x14ac:dyDescent="0.2">
      <c r="A691" s="10">
        <v>19</v>
      </c>
      <c r="B691" s="11" t="str">
        <f>[1]Aseguradoras!B20</f>
        <v>Universo de Seguros y Reaseguros S.A.</v>
      </c>
      <c r="C691" s="12">
        <f>LOOKUP(410040100,[1]PlanCuentas!$A$2:$A$6092,[1]PlanCuentas!U$2:U$6092)</f>
        <v>0</v>
      </c>
      <c r="D691" s="12">
        <f>LOOKUP(410040200,[1]PlanCuentas!$A$2:$A$6092,[1]PlanCuentas!U$2:U$6092)</f>
        <v>0</v>
      </c>
      <c r="E691" s="12">
        <f>LOOKUP(410040300,[1]PlanCuentas!$A$2:$A$6092,[1]PlanCuentas!U$2:U$6092)</f>
        <v>0</v>
      </c>
      <c r="F691" s="12">
        <f>LOOKUP(410040400,[1]PlanCuentas!$A$2:$A$6092,[1]PlanCuentas!U$2:U$6092)</f>
        <v>0</v>
      </c>
      <c r="G691" s="12">
        <f>LOOKUP(410040500,[1]PlanCuentas!$A$2:$A$6092,[1]PlanCuentas!U$2:U$6092)</f>
        <v>0</v>
      </c>
      <c r="H691" s="12">
        <f>LOOKUP(410040600,[1]PlanCuentas!$A$2:$A$6092,[1]PlanCuentas!U$2:U$6092)</f>
        <v>0</v>
      </c>
      <c r="I691" s="12">
        <f>LOOKUP(410040700,[1]PlanCuentas!$A$2:$A$6092,[1]PlanCuentas!U$2:U$6092)</f>
        <v>0</v>
      </c>
      <c r="J691" s="12">
        <f>LOOKUP(410040800,[1]PlanCuentas!$A$2:$A$6092,[1]PlanCuentas!U$2:U$6092)</f>
        <v>0</v>
      </c>
      <c r="K691" s="12">
        <f>LOOKUP(410040900,[1]PlanCuentas!$A$2:$A$6092,[1]PlanCuentas!U$2:U$6092)</f>
        <v>0</v>
      </c>
      <c r="L691" s="12">
        <f>LOOKUP(410041000,[1]PlanCuentas!$A$2:$A$6092,[1]PlanCuentas!U$2:U$6092)</f>
        <v>0</v>
      </c>
      <c r="M691" s="12">
        <f>LOOKUP(410041100,[1]PlanCuentas!$A$2:$A$6092,[1]PlanCuentas!U$2:U$6092)</f>
        <v>0</v>
      </c>
      <c r="N691" s="12">
        <f>LOOKUP(410041200,[1]PlanCuentas!$A$2:$A$6092,[1]PlanCuentas!U$2:U$6092)</f>
        <v>0</v>
      </c>
      <c r="O691" s="12">
        <f>LOOKUP(410041300,[1]PlanCuentas!$A$2:$A$6092,[1]PlanCuentas!U$2:U$6092)</f>
        <v>0</v>
      </c>
      <c r="P691" s="12">
        <f>LOOKUP(410042000,[1]PlanCuentas!$A$2:$A$6092,[1]PlanCuentas!U$2:U$6092)</f>
        <v>0</v>
      </c>
      <c r="Q691" s="13">
        <f t="shared" si="34"/>
        <v>0</v>
      </c>
    </row>
    <row r="692" spans="1:23" x14ac:dyDescent="0.2">
      <c r="A692" s="10">
        <v>20</v>
      </c>
      <c r="B692" s="11" t="str">
        <f>[1]Aseguradoras!B21</f>
        <v>Aseguradora Yacyreta S.A de Seguros y Reaseguros</v>
      </c>
      <c r="C692" s="12">
        <f>LOOKUP(410040100,[1]PlanCuentas!$A$2:$A$6092,[1]PlanCuentas!V$2:V$6092)</f>
        <v>0</v>
      </c>
      <c r="D692" s="12">
        <f>LOOKUP(410040200,[1]PlanCuentas!$A$2:$A$6092,[1]PlanCuentas!V$2:V$6092)</f>
        <v>0</v>
      </c>
      <c r="E692" s="12">
        <f>LOOKUP(410040300,[1]PlanCuentas!$A$2:$A$6092,[1]PlanCuentas!V$2:V$6092)</f>
        <v>0</v>
      </c>
      <c r="F692" s="12">
        <f>LOOKUP(410040400,[1]PlanCuentas!$A$2:$A$6092,[1]PlanCuentas!V$2:V$6092)</f>
        <v>0</v>
      </c>
      <c r="G692" s="12">
        <f>LOOKUP(410040500,[1]PlanCuentas!$A$2:$A$6092,[1]PlanCuentas!V$2:V$6092)</f>
        <v>0</v>
      </c>
      <c r="H692" s="12">
        <f>LOOKUP(410040600,[1]PlanCuentas!$A$2:$A$6092,[1]PlanCuentas!V$2:V$6092)</f>
        <v>0</v>
      </c>
      <c r="I692" s="12">
        <f>LOOKUP(410040700,[1]PlanCuentas!$A$2:$A$6092,[1]PlanCuentas!V$2:V$6092)</f>
        <v>0</v>
      </c>
      <c r="J692" s="12">
        <f>LOOKUP(410040800,[1]PlanCuentas!$A$2:$A$6092,[1]PlanCuentas!V$2:V$6092)</f>
        <v>0</v>
      </c>
      <c r="K692" s="12">
        <f>LOOKUP(410040900,[1]PlanCuentas!$A$2:$A$6092,[1]PlanCuentas!V$2:V$6092)</f>
        <v>0</v>
      </c>
      <c r="L692" s="12">
        <f>LOOKUP(410041000,[1]PlanCuentas!$A$2:$A$6092,[1]PlanCuentas!V$2:V$6092)</f>
        <v>0</v>
      </c>
      <c r="M692" s="12">
        <f>LOOKUP(410041100,[1]PlanCuentas!$A$2:$A$6092,[1]PlanCuentas!V$2:V$6092)</f>
        <v>0</v>
      </c>
      <c r="N692" s="12">
        <f>LOOKUP(410041200,[1]PlanCuentas!$A$2:$A$6092,[1]PlanCuentas!V$2:V$6092)</f>
        <v>0</v>
      </c>
      <c r="O692" s="12">
        <f>LOOKUP(410041300,[1]PlanCuentas!$A$2:$A$6092,[1]PlanCuentas!V$2:V$6092)</f>
        <v>0</v>
      </c>
      <c r="P692" s="12">
        <f>LOOKUP(410042000,[1]PlanCuentas!$A$2:$A$6092,[1]PlanCuentas!V$2:V$6092)</f>
        <v>0</v>
      </c>
      <c r="Q692" s="13">
        <f t="shared" si="34"/>
        <v>0</v>
      </c>
    </row>
    <row r="693" spans="1:23" x14ac:dyDescent="0.2">
      <c r="A693" s="10">
        <v>21</v>
      </c>
      <c r="B693" s="11" t="str">
        <f>[1]Aseguradoras!B22</f>
        <v>La Agricola S.A de Seguros y Reaseguros</v>
      </c>
      <c r="C693" s="12">
        <f>LOOKUP(410040100,[1]PlanCuentas!$A$2:$A$6092,[1]PlanCuentas!W$2:W$6092)</f>
        <v>0</v>
      </c>
      <c r="D693" s="12">
        <f>LOOKUP(410040200,[1]PlanCuentas!$A$2:$A$6092,[1]PlanCuentas!W$2:W$6092)</f>
        <v>0</v>
      </c>
      <c r="E693" s="12">
        <f>LOOKUP(410040300,[1]PlanCuentas!$A$2:$A$6092,[1]PlanCuentas!W$2:W$6092)</f>
        <v>0</v>
      </c>
      <c r="F693" s="12">
        <f>LOOKUP(410040400,[1]PlanCuentas!$A$2:$A$6092,[1]PlanCuentas!W$2:W$6092)</f>
        <v>0</v>
      </c>
      <c r="G693" s="12">
        <f>LOOKUP(410040500,[1]PlanCuentas!$A$2:$A$6092,[1]PlanCuentas!W$2:W$6092)</f>
        <v>0</v>
      </c>
      <c r="H693" s="12">
        <f>LOOKUP(410040600,[1]PlanCuentas!$A$2:$A$6092,[1]PlanCuentas!W$2:W$6092)</f>
        <v>0</v>
      </c>
      <c r="I693" s="12">
        <f>LOOKUP(410040700,[1]PlanCuentas!$A$2:$A$6092,[1]PlanCuentas!W$2:W$6092)</f>
        <v>0</v>
      </c>
      <c r="J693" s="12">
        <f>LOOKUP(410040800,[1]PlanCuentas!$A$2:$A$6092,[1]PlanCuentas!W$2:W$6092)</f>
        <v>0</v>
      </c>
      <c r="K693" s="12">
        <f>LOOKUP(410040900,[1]PlanCuentas!$A$2:$A$6092,[1]PlanCuentas!W$2:W$6092)</f>
        <v>0</v>
      </c>
      <c r="L693" s="12">
        <f>LOOKUP(410041000,[1]PlanCuentas!$A$2:$A$6092,[1]PlanCuentas!W$2:W$6092)</f>
        <v>0</v>
      </c>
      <c r="M693" s="12">
        <f>LOOKUP(410041100,[1]PlanCuentas!$A$2:$A$6092,[1]PlanCuentas!W$2:W$6092)</f>
        <v>0</v>
      </c>
      <c r="N693" s="12">
        <f>LOOKUP(410041200,[1]PlanCuentas!$A$2:$A$6092,[1]PlanCuentas!W$2:W$6092)</f>
        <v>0</v>
      </c>
      <c r="O693" s="12">
        <f>LOOKUP(410041300,[1]PlanCuentas!$A$2:$A$6092,[1]PlanCuentas!W$2:W$6092)</f>
        <v>0</v>
      </c>
      <c r="P693" s="12">
        <f>LOOKUP(410042000,[1]PlanCuentas!$A$2:$A$6092,[1]PlanCuentas!W$2:W$6092)</f>
        <v>0</v>
      </c>
      <c r="Q693" s="13">
        <f t="shared" si="34"/>
        <v>0</v>
      </c>
    </row>
    <row r="694" spans="1:23" x14ac:dyDescent="0.2">
      <c r="A694" s="10">
        <v>22</v>
      </c>
      <c r="B694" s="11" t="str">
        <f>[1]Aseguradoras!B23</f>
        <v>Grupo General de Seguros y Reaseguros S.A.</v>
      </c>
      <c r="C694" s="12">
        <f>LOOKUP(410040100,[1]PlanCuentas!$A$2:$A$6092,[1]PlanCuentas!X$2:X$6092)</f>
        <v>0</v>
      </c>
      <c r="D694" s="12">
        <f>LOOKUP(410040200,[1]PlanCuentas!$A$2:$A$6092,[1]PlanCuentas!X$2:X$6092)</f>
        <v>0</v>
      </c>
      <c r="E694" s="12">
        <f>LOOKUP(410040300,[1]PlanCuentas!$A$2:$A$6092,[1]PlanCuentas!X$2:X$6092)</f>
        <v>0</v>
      </c>
      <c r="F694" s="12">
        <f>LOOKUP(410040400,[1]PlanCuentas!$A$2:$A$6092,[1]PlanCuentas!X$2:X$6092)</f>
        <v>0</v>
      </c>
      <c r="G694" s="12">
        <f>LOOKUP(410040500,[1]PlanCuentas!$A$2:$A$6092,[1]PlanCuentas!X$2:X$6092)</f>
        <v>0</v>
      </c>
      <c r="H694" s="12">
        <f>LOOKUP(410040600,[1]PlanCuentas!$A$2:$A$6092,[1]PlanCuentas!X$2:X$6092)</f>
        <v>0</v>
      </c>
      <c r="I694" s="12">
        <f>LOOKUP(410040700,[1]PlanCuentas!$A$2:$A$6092,[1]PlanCuentas!X$2:X$6092)</f>
        <v>0</v>
      </c>
      <c r="J694" s="12">
        <f>LOOKUP(410040800,[1]PlanCuentas!$A$2:$A$6092,[1]PlanCuentas!X$2:X$6092)</f>
        <v>0</v>
      </c>
      <c r="K694" s="12">
        <f>LOOKUP(410040900,[1]PlanCuentas!$A$2:$A$6092,[1]PlanCuentas!X$2:X$6092)</f>
        <v>0</v>
      </c>
      <c r="L694" s="12">
        <f>LOOKUP(410041000,[1]PlanCuentas!$A$2:$A$6092,[1]PlanCuentas!X$2:X$6092)</f>
        <v>0</v>
      </c>
      <c r="M694" s="12">
        <f>LOOKUP(410041100,[1]PlanCuentas!$A$2:$A$6092,[1]PlanCuentas!X$2:X$6092)</f>
        <v>0</v>
      </c>
      <c r="N694" s="12">
        <f>LOOKUP(410041200,[1]PlanCuentas!$A$2:$A$6092,[1]PlanCuentas!X$2:X$6092)</f>
        <v>0</v>
      </c>
      <c r="O694" s="12">
        <f>LOOKUP(410041300,[1]PlanCuentas!$A$2:$A$6092,[1]PlanCuentas!X$2:X$6092)</f>
        <v>0</v>
      </c>
      <c r="P694" s="12">
        <f>LOOKUP(410042000,[1]PlanCuentas!$A$2:$A$6092,[1]PlanCuentas!X$2:X$6092)</f>
        <v>0</v>
      </c>
      <c r="Q694" s="13">
        <f t="shared" si="34"/>
        <v>0</v>
      </c>
    </row>
    <row r="695" spans="1:23" x14ac:dyDescent="0.2">
      <c r="A695" s="10">
        <v>23</v>
      </c>
      <c r="B695" s="11" t="str">
        <f>[1]Aseguradoras!B24</f>
        <v>Alfa S.A de Seguros y Reaseguros</v>
      </c>
      <c r="C695" s="12">
        <f>LOOKUP(410040100,[1]PlanCuentas!$A$2:$A$6092,[1]PlanCuentas!Y$2:Y$6092)</f>
        <v>0</v>
      </c>
      <c r="D695" s="12">
        <f>LOOKUP(410040200,[1]PlanCuentas!$A$2:$A$6092,[1]PlanCuentas!Y$2:Y$6092)</f>
        <v>0</v>
      </c>
      <c r="E695" s="12">
        <f>LOOKUP(410040300,[1]PlanCuentas!$A$2:$A$6092,[1]PlanCuentas!Y$2:Y$6092)</f>
        <v>0</v>
      </c>
      <c r="F695" s="12">
        <f>LOOKUP(410040400,[1]PlanCuentas!$A$2:$A$6092,[1]PlanCuentas!Y$2:Y$6092)</f>
        <v>0</v>
      </c>
      <c r="G695" s="12">
        <f>LOOKUP(410040500,[1]PlanCuentas!$A$2:$A$6092,[1]PlanCuentas!Y$2:Y$6092)</f>
        <v>0</v>
      </c>
      <c r="H695" s="12">
        <f>LOOKUP(410040600,[1]PlanCuentas!$A$2:$A$6092,[1]PlanCuentas!Y$2:Y$6092)</f>
        <v>0</v>
      </c>
      <c r="I695" s="12">
        <f>LOOKUP(410040700,[1]PlanCuentas!$A$2:$A$6092,[1]PlanCuentas!Y$2:Y$6092)</f>
        <v>0</v>
      </c>
      <c r="J695" s="12">
        <f>LOOKUP(410040800,[1]PlanCuentas!$A$2:$A$6092,[1]PlanCuentas!Y$2:Y$6092)</f>
        <v>0</v>
      </c>
      <c r="K695" s="12">
        <f>LOOKUP(410040900,[1]PlanCuentas!$A$2:$A$6092,[1]PlanCuentas!Y$2:Y$6092)</f>
        <v>0</v>
      </c>
      <c r="L695" s="12">
        <f>LOOKUP(410041000,[1]PlanCuentas!$A$2:$A$6092,[1]PlanCuentas!Y$2:Y$6092)</f>
        <v>0</v>
      </c>
      <c r="M695" s="12">
        <f>LOOKUP(410041100,[1]PlanCuentas!$A$2:$A$6092,[1]PlanCuentas!Y$2:Y$6092)</f>
        <v>0</v>
      </c>
      <c r="N695" s="12">
        <f>LOOKUP(410041200,[1]PlanCuentas!$A$2:$A$6092,[1]PlanCuentas!Y$2:Y$6092)</f>
        <v>0</v>
      </c>
      <c r="O695" s="12">
        <f>LOOKUP(410041300,[1]PlanCuentas!$A$2:$A$6092,[1]PlanCuentas!Y$2:Y$6092)</f>
        <v>0</v>
      </c>
      <c r="P695" s="12">
        <f>LOOKUP(410042000,[1]PlanCuentas!$A$2:$A$6092,[1]PlanCuentas!Y$2:Y$6092)</f>
        <v>0</v>
      </c>
      <c r="Q695" s="13">
        <f t="shared" si="34"/>
        <v>0</v>
      </c>
    </row>
    <row r="696" spans="1:23" x14ac:dyDescent="0.2">
      <c r="A696" s="10">
        <v>24</v>
      </c>
      <c r="B696" s="11" t="str">
        <f>[1]Aseguradoras!B25</f>
        <v>Cenit de Seguros S.A.</v>
      </c>
      <c r="C696" s="12">
        <f>LOOKUP(410040100,[1]PlanCuentas!$A$2:$A$6092,[1]PlanCuentas!Z$2:Z$6092)</f>
        <v>0</v>
      </c>
      <c r="D696" s="12">
        <f>LOOKUP(410040200,[1]PlanCuentas!$A$2:$A$6092,[1]PlanCuentas!Z$2:Z$6092)</f>
        <v>0</v>
      </c>
      <c r="E696" s="12">
        <f>LOOKUP(410040300,[1]PlanCuentas!$A$2:$A$6092,[1]PlanCuentas!Z$2:Z$6092)</f>
        <v>0</v>
      </c>
      <c r="F696" s="12">
        <f>LOOKUP(410040400,[1]PlanCuentas!$A$2:$A$6092,[1]PlanCuentas!Z$2:Z$6092)</f>
        <v>0</v>
      </c>
      <c r="G696" s="12">
        <f>LOOKUP(410040500,[1]PlanCuentas!$A$2:$A$6092,[1]PlanCuentas!Z$2:Z$6092)</f>
        <v>0</v>
      </c>
      <c r="H696" s="12">
        <f>LOOKUP(410040600,[1]PlanCuentas!$A$2:$A$6092,[1]PlanCuentas!Z$2:Z$6092)</f>
        <v>0</v>
      </c>
      <c r="I696" s="12">
        <f>LOOKUP(410040700,[1]PlanCuentas!$A$2:$A$6092,[1]PlanCuentas!Z$2:Z$6092)</f>
        <v>0</v>
      </c>
      <c r="J696" s="12">
        <f>LOOKUP(410040800,[1]PlanCuentas!$A$2:$A$6092,[1]PlanCuentas!Z$2:Z$6092)</f>
        <v>0</v>
      </c>
      <c r="K696" s="12">
        <f>LOOKUP(410040900,[1]PlanCuentas!$A$2:$A$6092,[1]PlanCuentas!Z$2:Z$6092)</f>
        <v>0</v>
      </c>
      <c r="L696" s="12">
        <f>LOOKUP(410041000,[1]PlanCuentas!$A$2:$A$6092,[1]PlanCuentas!Z$2:Z$6092)</f>
        <v>0</v>
      </c>
      <c r="M696" s="12">
        <f>LOOKUP(410041100,[1]PlanCuentas!$A$2:$A$6092,[1]PlanCuentas!Z$2:Z$6092)</f>
        <v>0</v>
      </c>
      <c r="N696" s="12">
        <f>LOOKUP(410041200,[1]PlanCuentas!$A$2:$A$6092,[1]PlanCuentas!Z$2:Z$6092)</f>
        <v>0</v>
      </c>
      <c r="O696" s="12">
        <f>LOOKUP(410041300,[1]PlanCuentas!$A$2:$A$6092,[1]PlanCuentas!Z$2:Z$6092)</f>
        <v>0</v>
      </c>
      <c r="P696" s="12">
        <f>LOOKUP(410042000,[1]PlanCuentas!$A$2:$A$6092,[1]PlanCuentas!Z$2:Z$6092)</f>
        <v>0</v>
      </c>
      <c r="Q696" s="13">
        <f t="shared" si="34"/>
        <v>0</v>
      </c>
    </row>
    <row r="697" spans="1:23" x14ac:dyDescent="0.2">
      <c r="A697" s="10">
        <v>25</v>
      </c>
      <c r="B697" s="11" t="str">
        <f>[1]Aseguradoras!B26</f>
        <v>La Meridional Paraguaya S.A de Seguros</v>
      </c>
      <c r="C697" s="12">
        <f>LOOKUP(410040100,[1]PlanCuentas!$A$2:$A$6092,[1]PlanCuentas!AA$2:AA$6092)</f>
        <v>0</v>
      </c>
      <c r="D697" s="12">
        <f>LOOKUP(410040200,[1]PlanCuentas!$A$2:$A$6092,[1]PlanCuentas!AA$2:AA$6092)</f>
        <v>33448</v>
      </c>
      <c r="E697" s="12">
        <f>LOOKUP(410040300,[1]PlanCuentas!$A$2:$A$6092,[1]PlanCuentas!AA$2:AA$6092)</f>
        <v>0</v>
      </c>
      <c r="F697" s="12">
        <f>LOOKUP(410040400,[1]PlanCuentas!$A$2:$A$6092,[1]PlanCuentas!AA$2:AA$6092)</f>
        <v>0</v>
      </c>
      <c r="G697" s="12">
        <f>LOOKUP(410040500,[1]PlanCuentas!$A$2:$A$6092,[1]PlanCuentas!AA$2:AA$6092)</f>
        <v>0</v>
      </c>
      <c r="H697" s="12">
        <f>LOOKUP(410040600,[1]PlanCuentas!$A$2:$A$6092,[1]PlanCuentas!AA$2:AA$6092)</f>
        <v>0</v>
      </c>
      <c r="I697" s="12">
        <f>LOOKUP(410040700,[1]PlanCuentas!$A$2:$A$6092,[1]PlanCuentas!AA$2:AA$6092)</f>
        <v>0</v>
      </c>
      <c r="J697" s="12">
        <f>LOOKUP(410040800,[1]PlanCuentas!$A$2:$A$6092,[1]PlanCuentas!AA$2:AA$6092)</f>
        <v>0</v>
      </c>
      <c r="K697" s="12">
        <f>LOOKUP(410040900,[1]PlanCuentas!$A$2:$A$6092,[1]PlanCuentas!AA$2:AA$6092)</f>
        <v>0</v>
      </c>
      <c r="L697" s="12">
        <f>LOOKUP(410041000,[1]PlanCuentas!$A$2:$A$6092,[1]PlanCuentas!AA$2:AA$6092)</f>
        <v>0</v>
      </c>
      <c r="M697" s="12">
        <f>LOOKUP(410041100,[1]PlanCuentas!$A$2:$A$6092,[1]PlanCuentas!AA$2:AA$6092)</f>
        <v>0</v>
      </c>
      <c r="N697" s="12">
        <f>LOOKUP(410041200,[1]PlanCuentas!$A$2:$A$6092,[1]PlanCuentas!AA$2:AA$6092)</f>
        <v>0</v>
      </c>
      <c r="O697" s="12">
        <f>LOOKUP(410041300,[1]PlanCuentas!$A$2:$A$6092,[1]PlanCuentas!AA$2:AA$6092)</f>
        <v>0</v>
      </c>
      <c r="P697" s="12">
        <f>LOOKUP(410042000,[1]PlanCuentas!$A$2:$A$6092,[1]PlanCuentas!AA$2:AA$6092)</f>
        <v>0</v>
      </c>
      <c r="Q697" s="13">
        <f t="shared" si="34"/>
        <v>33448</v>
      </c>
    </row>
    <row r="698" spans="1:23" x14ac:dyDescent="0.2">
      <c r="A698" s="10">
        <v>26</v>
      </c>
      <c r="B698" s="11" t="str">
        <f>[1]Aseguradoras!B27</f>
        <v>Aseguradora Del Este S.A de Seguros y Reaseguros</v>
      </c>
      <c r="C698" s="12">
        <f>LOOKUP(410040100,[1]PlanCuentas!$A$2:$A$6092,[1]PlanCuentas!AB$2:AB$6092)</f>
        <v>0</v>
      </c>
      <c r="D698" s="12">
        <f>LOOKUP(410040200,[1]PlanCuentas!$A$2:$A$6092,[1]PlanCuentas!AB$2:AB$6092)</f>
        <v>0</v>
      </c>
      <c r="E698" s="12">
        <f>LOOKUP(410040300,[1]PlanCuentas!$A$2:$A$6092,[1]PlanCuentas!AB$2:AB$6092)</f>
        <v>0</v>
      </c>
      <c r="F698" s="12">
        <f>LOOKUP(410040400,[1]PlanCuentas!$A$2:$A$6092,[1]PlanCuentas!AB$2:AB$6092)</f>
        <v>0</v>
      </c>
      <c r="G698" s="12">
        <f>LOOKUP(410040500,[1]PlanCuentas!$A$2:$A$6092,[1]PlanCuentas!AB$2:AB$6092)</f>
        <v>0</v>
      </c>
      <c r="H698" s="12">
        <f>LOOKUP(410040600,[1]PlanCuentas!$A$2:$A$6092,[1]PlanCuentas!AB$2:AB$6092)</f>
        <v>0</v>
      </c>
      <c r="I698" s="12">
        <f>LOOKUP(410040700,[1]PlanCuentas!$A$2:$A$6092,[1]PlanCuentas!AB$2:AB$6092)</f>
        <v>0</v>
      </c>
      <c r="J698" s="12">
        <f>LOOKUP(410040800,[1]PlanCuentas!$A$2:$A$6092,[1]PlanCuentas!AB$2:AB$6092)</f>
        <v>0</v>
      </c>
      <c r="K698" s="12">
        <f>LOOKUP(410040900,[1]PlanCuentas!$A$2:$A$6092,[1]PlanCuentas!AB$2:AB$6092)</f>
        <v>0</v>
      </c>
      <c r="L698" s="12">
        <f>LOOKUP(410041000,[1]PlanCuentas!$A$2:$A$6092,[1]PlanCuentas!AB$2:AB$6092)</f>
        <v>0</v>
      </c>
      <c r="M698" s="12">
        <f>LOOKUP(410041100,[1]PlanCuentas!$A$2:$A$6092,[1]PlanCuentas!AB$2:AB$6092)</f>
        <v>0</v>
      </c>
      <c r="N698" s="12">
        <f>LOOKUP(410041200,[1]PlanCuentas!$A$2:$A$6092,[1]PlanCuentas!AB$2:AB$6092)</f>
        <v>0</v>
      </c>
      <c r="O698" s="12">
        <f>LOOKUP(410041300,[1]PlanCuentas!$A$2:$A$6092,[1]PlanCuentas!AB$2:AB$6092)</f>
        <v>0</v>
      </c>
      <c r="P698" s="12">
        <f>LOOKUP(410042000,[1]PlanCuentas!$A$2:$A$6092,[1]PlanCuentas!AB$2:AB$6092)</f>
        <v>0</v>
      </c>
      <c r="Q698" s="13">
        <f t="shared" si="34"/>
        <v>0</v>
      </c>
    </row>
    <row r="699" spans="1:23" x14ac:dyDescent="0.2">
      <c r="A699" s="10">
        <v>27</v>
      </c>
      <c r="B699" s="11" t="str">
        <f>[1]Aseguradoras!B28</f>
        <v>Imperio S.A de Seguros y Reaseguros</v>
      </c>
      <c r="C699" s="12">
        <f>LOOKUP(410040100,[1]PlanCuentas!$A$2:$A$6092,[1]PlanCuentas!AC$2:AC$6092)</f>
        <v>0</v>
      </c>
      <c r="D699" s="12">
        <f>LOOKUP(410040200,[1]PlanCuentas!$A$2:$A$6092,[1]PlanCuentas!AC$2:AC$6092)</f>
        <v>0</v>
      </c>
      <c r="E699" s="12">
        <f>LOOKUP(410040300,[1]PlanCuentas!$A$2:$A$6092,[1]PlanCuentas!AC$2:AC$6092)</f>
        <v>0</v>
      </c>
      <c r="F699" s="12">
        <f>LOOKUP(410040400,[1]PlanCuentas!$A$2:$A$6092,[1]PlanCuentas!AC$2:AC$6092)</f>
        <v>0</v>
      </c>
      <c r="G699" s="12">
        <f>LOOKUP(410040500,[1]PlanCuentas!$A$2:$A$6092,[1]PlanCuentas!AC$2:AC$6092)</f>
        <v>0</v>
      </c>
      <c r="H699" s="12">
        <f>LOOKUP(410040600,[1]PlanCuentas!$A$2:$A$6092,[1]PlanCuentas!AC$2:AC$6092)</f>
        <v>0</v>
      </c>
      <c r="I699" s="12">
        <f>LOOKUP(410040700,[1]PlanCuentas!$A$2:$A$6092,[1]PlanCuentas!AC$2:AC$6092)</f>
        <v>0</v>
      </c>
      <c r="J699" s="12">
        <f>LOOKUP(410040800,[1]PlanCuentas!$A$2:$A$6092,[1]PlanCuentas!AC$2:AC$6092)</f>
        <v>0</v>
      </c>
      <c r="K699" s="12">
        <f>LOOKUP(410040900,[1]PlanCuentas!$A$2:$A$6092,[1]PlanCuentas!AC$2:AC$6092)</f>
        <v>0</v>
      </c>
      <c r="L699" s="12">
        <f>LOOKUP(410041000,[1]PlanCuentas!$A$2:$A$6092,[1]PlanCuentas!AC$2:AC$6092)</f>
        <v>0</v>
      </c>
      <c r="M699" s="12">
        <f>LOOKUP(410041100,[1]PlanCuentas!$A$2:$A$6092,[1]PlanCuentas!AC$2:AC$6092)</f>
        <v>0</v>
      </c>
      <c r="N699" s="12">
        <f>LOOKUP(410041200,[1]PlanCuentas!$A$2:$A$6092,[1]PlanCuentas!AC$2:AC$6092)</f>
        <v>0</v>
      </c>
      <c r="O699" s="12">
        <f>LOOKUP(410041300,[1]PlanCuentas!$A$2:$A$6092,[1]PlanCuentas!AC$2:AC$6092)</f>
        <v>0</v>
      </c>
      <c r="P699" s="12">
        <f>LOOKUP(410042000,[1]PlanCuentas!$A$2:$A$6092,[1]PlanCuentas!AC$2:AC$6092)</f>
        <v>0</v>
      </c>
      <c r="Q699" s="13">
        <f t="shared" si="34"/>
        <v>0</v>
      </c>
    </row>
    <row r="700" spans="1:23" x14ac:dyDescent="0.2">
      <c r="A700" s="10">
        <v>28</v>
      </c>
      <c r="B700" s="11" t="str">
        <f>[1]Aseguradoras!B29</f>
        <v>Regional S.A de Seguros y Reaseguros</v>
      </c>
      <c r="C700" s="12">
        <f>LOOKUP(410040100,[1]PlanCuentas!$A$2:$A$6092,[1]PlanCuentas!AD$2:AD$6092)</f>
        <v>0</v>
      </c>
      <c r="D700" s="12">
        <f>LOOKUP(410040200,[1]PlanCuentas!$A$2:$A$6092,[1]PlanCuentas!AD$2:AD$6092)</f>
        <v>0</v>
      </c>
      <c r="E700" s="12">
        <f>LOOKUP(410040300,[1]PlanCuentas!$A$2:$A$6092,[1]PlanCuentas!AD$2:AD$6092)</f>
        <v>0</v>
      </c>
      <c r="F700" s="12">
        <f>LOOKUP(410040400,[1]PlanCuentas!$A$2:$A$6092,[1]PlanCuentas!AD$2:AD$6092)</f>
        <v>0</v>
      </c>
      <c r="G700" s="12">
        <f>LOOKUP(410040500,[1]PlanCuentas!$A$2:$A$6092,[1]PlanCuentas!AD$2:AD$6092)</f>
        <v>0</v>
      </c>
      <c r="H700" s="12">
        <f>LOOKUP(410040600,[1]PlanCuentas!$A$2:$A$6092,[1]PlanCuentas!AD$2:AD$6092)</f>
        <v>0</v>
      </c>
      <c r="I700" s="12">
        <f>LOOKUP(410040700,[1]PlanCuentas!$A$2:$A$6092,[1]PlanCuentas!AD$2:AD$6092)</f>
        <v>0</v>
      </c>
      <c r="J700" s="12">
        <f>LOOKUP(410040800,[1]PlanCuentas!$A$2:$A$6092,[1]PlanCuentas!AD$2:AD$6092)</f>
        <v>0</v>
      </c>
      <c r="K700" s="12">
        <f>LOOKUP(410040900,[1]PlanCuentas!$A$2:$A$6092,[1]PlanCuentas!AD$2:AD$6092)</f>
        <v>0</v>
      </c>
      <c r="L700" s="12">
        <f>LOOKUP(410041000,[1]PlanCuentas!$A$2:$A$6092,[1]PlanCuentas!AD$2:AD$6092)</f>
        <v>0</v>
      </c>
      <c r="M700" s="12">
        <f>LOOKUP(410041100,[1]PlanCuentas!$A$2:$A$6092,[1]PlanCuentas!AD$2:AD$6092)</f>
        <v>0</v>
      </c>
      <c r="N700" s="12">
        <f>LOOKUP(410041200,[1]PlanCuentas!$A$2:$A$6092,[1]PlanCuentas!AD$2:AD$6092)</f>
        <v>0</v>
      </c>
      <c r="O700" s="12">
        <f>LOOKUP(410041300,[1]PlanCuentas!$A$2:$A$6092,[1]PlanCuentas!AD$2:AD$6092)</f>
        <v>0</v>
      </c>
      <c r="P700" s="12">
        <f>LOOKUP(410042000,[1]PlanCuentas!$A$2:$A$6092,[1]PlanCuentas!AD$2:AD$6092)</f>
        <v>0</v>
      </c>
      <c r="Q700" s="13">
        <f t="shared" si="34"/>
        <v>0</v>
      </c>
    </row>
    <row r="701" spans="1:23" s="37" customFormat="1" x14ac:dyDescent="0.2">
      <c r="A701" s="10">
        <v>29</v>
      </c>
      <c r="B701" s="11" t="str">
        <f>[1]Aseguradoras!B30</f>
        <v>Mapfre Paraguay Compañía de Seguros S.A.</v>
      </c>
      <c r="C701" s="12">
        <f>LOOKUP(410040100,[1]PlanCuentas!$A$2:$A$6092,[1]PlanCuentas!AE$2:AE$6092)</f>
        <v>0</v>
      </c>
      <c r="D701" s="12">
        <f>LOOKUP(410040200,[1]PlanCuentas!$A$2:$A$6092,[1]PlanCuentas!AE$2:AE$6092)</f>
        <v>0</v>
      </c>
      <c r="E701" s="12">
        <f>LOOKUP(410040300,[1]PlanCuentas!$A$2:$A$6092,[1]PlanCuentas!AE$2:AE$6092)</f>
        <v>0</v>
      </c>
      <c r="F701" s="12">
        <f>LOOKUP(410040400,[1]PlanCuentas!$A$2:$A$6092,[1]PlanCuentas!AE$2:AE$6092)</f>
        <v>0</v>
      </c>
      <c r="G701" s="12">
        <f>LOOKUP(410040500,[1]PlanCuentas!$A$2:$A$6092,[1]PlanCuentas!AE$2:AE$6092)</f>
        <v>0</v>
      </c>
      <c r="H701" s="12">
        <f>LOOKUP(410040600,[1]PlanCuentas!$A$2:$A$6092,[1]PlanCuentas!AE$2:AE$6092)</f>
        <v>0</v>
      </c>
      <c r="I701" s="12">
        <f>LOOKUP(410040700,[1]PlanCuentas!$A$2:$A$6092,[1]PlanCuentas!AE$2:AE$6092)</f>
        <v>0</v>
      </c>
      <c r="J701" s="12">
        <f>LOOKUP(410040800,[1]PlanCuentas!$A$2:$A$6092,[1]PlanCuentas!AE$2:AE$6092)</f>
        <v>0</v>
      </c>
      <c r="K701" s="12">
        <f>LOOKUP(410040900,[1]PlanCuentas!$A$2:$A$6092,[1]PlanCuentas!AE$2:AE$6092)</f>
        <v>0</v>
      </c>
      <c r="L701" s="12">
        <f>LOOKUP(410041000,[1]PlanCuentas!$A$2:$A$6092,[1]PlanCuentas!AE$2:AE$6092)</f>
        <v>0</v>
      </c>
      <c r="M701" s="12">
        <f>LOOKUP(410041100,[1]PlanCuentas!$A$2:$A$6092,[1]PlanCuentas!AE$2:AE$6092)</f>
        <v>0</v>
      </c>
      <c r="N701" s="12">
        <f>LOOKUP(410041200,[1]PlanCuentas!$A$2:$A$6092,[1]PlanCuentas!AE$2:AE$6092)</f>
        <v>0</v>
      </c>
      <c r="O701" s="12">
        <f>LOOKUP(410041300,[1]PlanCuentas!$A$2:$A$6092,[1]PlanCuentas!AE$2:AE$6092)</f>
        <v>0</v>
      </c>
      <c r="P701" s="12">
        <f>LOOKUP(410042000,[1]PlanCuentas!$A$2:$A$6092,[1]PlanCuentas!AE$2:AE$6092)</f>
        <v>0</v>
      </c>
      <c r="Q701" s="13">
        <f t="shared" si="34"/>
        <v>0</v>
      </c>
    </row>
    <row r="702" spans="1:23" x14ac:dyDescent="0.2">
      <c r="A702" s="10">
        <v>30</v>
      </c>
      <c r="B702" s="11" t="str">
        <f>[1]Aseguradoras!B31</f>
        <v>Aseguradora Tajy Propiedad Cooperativa S.A. de Seguros</v>
      </c>
      <c r="C702" s="12">
        <f>LOOKUP(410040100,[1]PlanCuentas!$A$2:$A$6092,[1]PlanCuentas!AF$2:AF$6092)</f>
        <v>0</v>
      </c>
      <c r="D702" s="12">
        <f>LOOKUP(410040200,[1]PlanCuentas!$A$2:$A$6092,[1]PlanCuentas!AF$2:AF$6092)</f>
        <v>0</v>
      </c>
      <c r="E702" s="12">
        <f>LOOKUP(410040300,[1]PlanCuentas!$A$2:$A$6092,[1]PlanCuentas!AF$2:AF$6092)</f>
        <v>0</v>
      </c>
      <c r="F702" s="12">
        <f>LOOKUP(410040400,[1]PlanCuentas!$A$2:$A$6092,[1]PlanCuentas!AF$2:AF$6092)</f>
        <v>0</v>
      </c>
      <c r="G702" s="12">
        <f>LOOKUP(410040500,[1]PlanCuentas!$A$2:$A$6092,[1]PlanCuentas!AF$2:AF$6092)</f>
        <v>0</v>
      </c>
      <c r="H702" s="12">
        <f>LOOKUP(410040600,[1]PlanCuentas!$A$2:$A$6092,[1]PlanCuentas!AF$2:AF$6092)</f>
        <v>0</v>
      </c>
      <c r="I702" s="12">
        <f>LOOKUP(410040700,[1]PlanCuentas!$A$2:$A$6092,[1]PlanCuentas!AF$2:AF$6092)</f>
        <v>0</v>
      </c>
      <c r="J702" s="12">
        <f>LOOKUP(410040800,[1]PlanCuentas!$A$2:$A$6092,[1]PlanCuentas!AF$2:AF$6092)</f>
        <v>0</v>
      </c>
      <c r="K702" s="12">
        <f>LOOKUP(410040900,[1]PlanCuentas!$A$2:$A$6092,[1]PlanCuentas!AF$2:AF$6092)</f>
        <v>0</v>
      </c>
      <c r="L702" s="12">
        <f>LOOKUP(410041000,[1]PlanCuentas!$A$2:$A$6092,[1]PlanCuentas!AF$2:AF$6092)</f>
        <v>0</v>
      </c>
      <c r="M702" s="12">
        <f>LOOKUP(410041100,[1]PlanCuentas!$A$2:$A$6092,[1]PlanCuentas!AF$2:AF$6092)</f>
        <v>0</v>
      </c>
      <c r="N702" s="12">
        <f>LOOKUP(410041200,[1]PlanCuentas!$A$2:$A$6092,[1]PlanCuentas!AF$2:AF$6092)</f>
        <v>0</v>
      </c>
      <c r="O702" s="12">
        <f>LOOKUP(410041300,[1]PlanCuentas!$A$2:$A$6092,[1]PlanCuentas!AF$2:AF$6092)</f>
        <v>0</v>
      </c>
      <c r="P702" s="12">
        <f>LOOKUP(410042000,[1]PlanCuentas!$A$2:$A$6092,[1]PlanCuentas!AF$2:AF$6092)</f>
        <v>0</v>
      </c>
      <c r="Q702" s="13">
        <f t="shared" si="34"/>
        <v>0</v>
      </c>
    </row>
    <row r="703" spans="1:23" x14ac:dyDescent="0.2">
      <c r="A703" s="10">
        <v>31</v>
      </c>
      <c r="B703" s="11" t="str">
        <f>[1]Aseguradoras!B32</f>
        <v>Aseguradora del Sur S.A. Seguros Generales - ASUR</v>
      </c>
      <c r="C703" s="12">
        <f>LOOKUP(410040100,[1]PlanCuentas!$A$2:$A$6092,[1]PlanCuentas!AG$2:AG$6092)</f>
        <v>0</v>
      </c>
      <c r="D703" s="12">
        <f>LOOKUP(410040200,[1]PlanCuentas!$A$2:$A$6092,[1]PlanCuentas!AG$2:AG$6092)</f>
        <v>0</v>
      </c>
      <c r="E703" s="12">
        <f>LOOKUP(410040300,[1]PlanCuentas!$A$2:$A$6092,[1]PlanCuentas!AG$2:AG$6092)</f>
        <v>0</v>
      </c>
      <c r="F703" s="12">
        <f>LOOKUP(410040400,[1]PlanCuentas!$A$2:$A$6092,[1]PlanCuentas!AG$2:AG$6092)</f>
        <v>0</v>
      </c>
      <c r="G703" s="12">
        <f>LOOKUP(410040500,[1]PlanCuentas!$A$2:$A$6092,[1]PlanCuentas!AG$2:AG$6092)</f>
        <v>0</v>
      </c>
      <c r="H703" s="12">
        <f>LOOKUP(410040600,[1]PlanCuentas!$A$2:$A$6092,[1]PlanCuentas!AG$2:AG$6092)</f>
        <v>0</v>
      </c>
      <c r="I703" s="12">
        <f>LOOKUP(410040700,[1]PlanCuentas!$A$2:$A$6092,[1]PlanCuentas!AG$2:AG$6092)</f>
        <v>0</v>
      </c>
      <c r="J703" s="12">
        <f>LOOKUP(410040800,[1]PlanCuentas!$A$2:$A$6092,[1]PlanCuentas!AG$2:AG$6092)</f>
        <v>0</v>
      </c>
      <c r="K703" s="12">
        <f>LOOKUP(410040900,[1]PlanCuentas!$A$2:$A$6092,[1]PlanCuentas!AG$2:AG$6092)</f>
        <v>0</v>
      </c>
      <c r="L703" s="12">
        <f>LOOKUP(410041000,[1]PlanCuentas!$A$2:$A$6092,[1]PlanCuentas!AG$2:AG$6092)</f>
        <v>0</v>
      </c>
      <c r="M703" s="12">
        <f>LOOKUP(410041100,[1]PlanCuentas!$A$2:$A$6092,[1]PlanCuentas!AG$2:AG$6092)</f>
        <v>0</v>
      </c>
      <c r="N703" s="12">
        <f>LOOKUP(410041200,[1]PlanCuentas!$A$2:$A$6092,[1]PlanCuentas!AG$2:AG$6092)</f>
        <v>0</v>
      </c>
      <c r="O703" s="12">
        <f>LOOKUP(410041300,[1]PlanCuentas!$A$2:$A$6092,[1]PlanCuentas!AG$2:AG$6092)</f>
        <v>0</v>
      </c>
      <c r="P703" s="12">
        <f>LOOKUP(410042000,[1]PlanCuentas!$A$2:$A$6092,[1]PlanCuentas!AG$2:AG$6092)</f>
        <v>0</v>
      </c>
      <c r="Q703" s="13">
        <f t="shared" si="34"/>
        <v>0</v>
      </c>
      <c r="R703" s="5"/>
      <c r="S703" s="5"/>
      <c r="T703" s="5"/>
      <c r="U703" s="5"/>
      <c r="V703" s="5"/>
      <c r="W703" s="5"/>
    </row>
    <row r="704" spans="1:23" x14ac:dyDescent="0.2">
      <c r="A704" s="10">
        <v>32</v>
      </c>
      <c r="B704" s="11" t="str">
        <f>[1]Aseguradoras!B33</f>
        <v>Panal Compañía De Seguros Generales S.A.</v>
      </c>
      <c r="C704" s="12">
        <f>LOOKUP(410040100,[1]PlanCuentas!$A$2:$A$6092,[1]PlanCuentas!AH$2:AH$6092)</f>
        <v>0</v>
      </c>
      <c r="D704" s="12">
        <f>LOOKUP(410040200,[1]PlanCuentas!$A$2:$A$6092,[1]PlanCuentas!AH$2:AH$6092)</f>
        <v>0</v>
      </c>
      <c r="E704" s="12">
        <f>LOOKUP(410040300,[1]PlanCuentas!$A$2:$A$6092,[1]PlanCuentas!AH$2:AH$6092)</f>
        <v>0</v>
      </c>
      <c r="F704" s="12">
        <f>LOOKUP(410040400,[1]PlanCuentas!$A$2:$A$6092,[1]PlanCuentas!AH$2:AH$6092)</f>
        <v>0</v>
      </c>
      <c r="G704" s="12">
        <f>LOOKUP(410040500,[1]PlanCuentas!$A$2:$A$6092,[1]PlanCuentas!AH$2:AH$6092)</f>
        <v>0</v>
      </c>
      <c r="H704" s="12">
        <f>LOOKUP(410040600,[1]PlanCuentas!$A$2:$A$6092,[1]PlanCuentas!AH$2:AH$6092)</f>
        <v>0</v>
      </c>
      <c r="I704" s="12">
        <f>LOOKUP(410040700,[1]PlanCuentas!$A$2:$A$6092,[1]PlanCuentas!AH$2:AH$6092)</f>
        <v>0</v>
      </c>
      <c r="J704" s="12">
        <f>LOOKUP(410040800,[1]PlanCuentas!$A$2:$A$6092,[1]PlanCuentas!AH$2:AH$6092)</f>
        <v>0</v>
      </c>
      <c r="K704" s="12">
        <f>LOOKUP(410040900,[1]PlanCuentas!$A$2:$A$6092,[1]PlanCuentas!AH$2:AH$6092)</f>
        <v>0</v>
      </c>
      <c r="L704" s="12">
        <f>LOOKUP(410041000,[1]PlanCuentas!$A$2:$A$6092,[1]PlanCuentas!AH$2:AH$6092)</f>
        <v>0</v>
      </c>
      <c r="M704" s="12">
        <f>LOOKUP(410041100,[1]PlanCuentas!$A$2:$A$6092,[1]PlanCuentas!AH$2:AH$6092)</f>
        <v>0</v>
      </c>
      <c r="N704" s="12">
        <f>LOOKUP(410041200,[1]PlanCuentas!$A$2:$A$6092,[1]PlanCuentas!AH$2:AH$6092)</f>
        <v>0</v>
      </c>
      <c r="O704" s="12">
        <f>LOOKUP(410041300,[1]PlanCuentas!$A$2:$A$6092,[1]PlanCuentas!AH$2:AH$6092)</f>
        <v>0</v>
      </c>
      <c r="P704" s="12">
        <f>LOOKUP(410042000,[1]PlanCuentas!$A$2:$A$6092,[1]PlanCuentas!AH$2:AH$6092)</f>
        <v>0</v>
      </c>
      <c r="Q704" s="13">
        <f t="shared" si="34"/>
        <v>0</v>
      </c>
    </row>
    <row r="705" spans="1:17" x14ac:dyDescent="0.2">
      <c r="A705" s="14">
        <v>33</v>
      </c>
      <c r="B705" s="19" t="str">
        <f>[1]Aseguradoras!B34</f>
        <v>Sancor Seguros del Paraguay S.A.</v>
      </c>
      <c r="C705" s="12">
        <f>LOOKUP(410040100,[1]PlanCuentas!$A$2:$A$6092,[1]PlanCuentas!AI$2:AI$6092)</f>
        <v>0</v>
      </c>
      <c r="D705" s="12">
        <f>LOOKUP(410040200,[1]PlanCuentas!$A$2:$A$6092,[1]PlanCuentas!AI$2:AI$6092)</f>
        <v>0</v>
      </c>
      <c r="E705" s="12">
        <f>LOOKUP(410040300,[1]PlanCuentas!$A$2:$A$6092,[1]PlanCuentas!AI$2:AI$6092)</f>
        <v>0</v>
      </c>
      <c r="F705" s="12">
        <f>LOOKUP(410040400,[1]PlanCuentas!$A$2:$A$6092,[1]PlanCuentas!AI$2:AI$6092)</f>
        <v>0</v>
      </c>
      <c r="G705" s="12">
        <f>LOOKUP(410040500,[1]PlanCuentas!$A$2:$A$6092,[1]PlanCuentas!AI$2:AI$6092)</f>
        <v>0</v>
      </c>
      <c r="H705" s="12">
        <f>LOOKUP(410040600,[1]PlanCuentas!$A$2:$A$6092,[1]PlanCuentas!AI$2:AI$6092)</f>
        <v>0</v>
      </c>
      <c r="I705" s="12">
        <f>LOOKUP(410040700,[1]PlanCuentas!$A$2:$A$6092,[1]PlanCuentas!AI$2:AI$6092)</f>
        <v>0</v>
      </c>
      <c r="J705" s="12">
        <f>LOOKUP(410040800,[1]PlanCuentas!$A$2:$A$6092,[1]PlanCuentas!AI$2:AI$6092)</f>
        <v>0</v>
      </c>
      <c r="K705" s="12">
        <f>LOOKUP(410040900,[1]PlanCuentas!$A$2:$A$6092,[1]PlanCuentas!AI$2:AI$6092)</f>
        <v>0</v>
      </c>
      <c r="L705" s="12">
        <f>LOOKUP(410041000,[1]PlanCuentas!$A$2:$A$6092,[1]PlanCuentas!AI$2:AI$6092)</f>
        <v>0</v>
      </c>
      <c r="M705" s="12">
        <f>LOOKUP(410041100,[1]PlanCuentas!$A$2:$A$6092,[1]PlanCuentas!AI$2:AI$6092)</f>
        <v>0</v>
      </c>
      <c r="N705" s="12">
        <f>LOOKUP(410041200,[1]PlanCuentas!$A$2:$A$6092,[1]PlanCuentas!AI$2:AI$6092)</f>
        <v>0</v>
      </c>
      <c r="O705" s="12">
        <f>LOOKUP(410041300,[1]PlanCuentas!$A$2:$A$6092,[1]PlanCuentas!AI$2:AI$6092)</f>
        <v>0</v>
      </c>
      <c r="P705" s="12">
        <f>LOOKUP(410042000,[1]PlanCuentas!$A$2:$A$6092,[1]PlanCuentas!AI$2:AI$6092)</f>
        <v>0</v>
      </c>
      <c r="Q705" s="13">
        <f>SUM(C705:P705)</f>
        <v>0</v>
      </c>
    </row>
    <row r="706" spans="1:17" x14ac:dyDescent="0.2">
      <c r="A706" s="14"/>
      <c r="B706" s="15" t="s">
        <v>18</v>
      </c>
      <c r="C706" s="17">
        <f t="shared" ref="C706:Q706" si="35">SUBTOTAL(109,C673:C705)</f>
        <v>11792786</v>
      </c>
      <c r="D706" s="17">
        <f t="shared" si="35"/>
        <v>33448</v>
      </c>
      <c r="E706" s="17">
        <f t="shared" si="35"/>
        <v>802990</v>
      </c>
      <c r="F706" s="17">
        <f t="shared" si="35"/>
        <v>0</v>
      </c>
      <c r="G706" s="17">
        <f t="shared" si="35"/>
        <v>0</v>
      </c>
      <c r="H706" s="17">
        <f t="shared" si="35"/>
        <v>0</v>
      </c>
      <c r="I706" s="17">
        <f t="shared" si="35"/>
        <v>0</v>
      </c>
      <c r="J706" s="17">
        <f t="shared" si="35"/>
        <v>0</v>
      </c>
      <c r="K706" s="17">
        <f t="shared" si="35"/>
        <v>0</v>
      </c>
      <c r="L706" s="17">
        <f t="shared" si="35"/>
        <v>0</v>
      </c>
      <c r="M706" s="17">
        <f t="shared" si="35"/>
        <v>0</v>
      </c>
      <c r="N706" s="17">
        <f t="shared" si="35"/>
        <v>0</v>
      </c>
      <c r="O706" s="17">
        <f t="shared" si="35"/>
        <v>11667345</v>
      </c>
      <c r="P706" s="17">
        <f t="shared" si="35"/>
        <v>0</v>
      </c>
      <c r="Q706" s="17">
        <f t="shared" si="35"/>
        <v>24296569</v>
      </c>
    </row>
    <row r="707" spans="1:17" x14ac:dyDescent="0.2"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</row>
    <row r="708" spans="1:17" ht="28.35" customHeight="1" x14ac:dyDescent="0.2">
      <c r="A708" s="1" t="s">
        <v>44</v>
      </c>
      <c r="B708" s="47" t="s">
        <v>47</v>
      </c>
      <c r="C708" s="47"/>
      <c r="D708" s="2"/>
      <c r="E708" s="30"/>
      <c r="F708" s="4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</row>
    <row r="709" spans="1:17" ht="24" x14ac:dyDescent="0.2">
      <c r="A709" s="7" t="s">
        <v>2</v>
      </c>
      <c r="B709" s="8" t="s">
        <v>3</v>
      </c>
      <c r="C709" s="9" t="s">
        <v>4</v>
      </c>
      <c r="D709" s="9" t="s">
        <v>5</v>
      </c>
      <c r="E709" s="9" t="s">
        <v>6</v>
      </c>
      <c r="F709" s="36" t="s">
        <v>7</v>
      </c>
      <c r="G709" s="9" t="s">
        <v>8</v>
      </c>
      <c r="H709" s="9" t="s">
        <v>9</v>
      </c>
      <c r="I709" s="9" t="s">
        <v>10</v>
      </c>
      <c r="J709" s="9" t="s">
        <v>11</v>
      </c>
      <c r="K709" s="9" t="s">
        <v>12</v>
      </c>
      <c r="L709" s="9" t="s">
        <v>13</v>
      </c>
      <c r="M709" s="9" t="s">
        <v>14</v>
      </c>
      <c r="N709" s="9" t="s">
        <v>15</v>
      </c>
      <c r="O709" s="9" t="s">
        <v>16</v>
      </c>
      <c r="P709" s="8" t="s">
        <v>17</v>
      </c>
      <c r="Q709" s="8" t="s">
        <v>18</v>
      </c>
    </row>
    <row r="710" spans="1:17" x14ac:dyDescent="0.2">
      <c r="A710" s="10">
        <v>1</v>
      </c>
      <c r="B710" s="11" t="str">
        <f>[1]Aseguradoras!B2</f>
        <v>El Comercio Paraguayo S.A. de Seguros</v>
      </c>
      <c r="C710" s="12">
        <f>LOOKUP(410050100,[1]PlanCuentas!$A$2:$A$6092,[1]PlanCuentas!C$2:C$6092)</f>
        <v>0</v>
      </c>
      <c r="D710" s="12">
        <f>LOOKUP(410050200,[1]PlanCuentas!$A$2:$A$6092,[1]PlanCuentas!C$2:C$6092)</f>
        <v>0</v>
      </c>
      <c r="E710" s="12">
        <f>LOOKUP(410050300,[1]PlanCuentas!$A$2:$A$6092,[1]PlanCuentas!C$2:C$6092)</f>
        <v>0</v>
      </c>
      <c r="F710" s="12">
        <f>LOOKUP(410050400,[1]PlanCuentas!$A$2:$A$6092,[1]PlanCuentas!C$2:C$6092)</f>
        <v>0</v>
      </c>
      <c r="G710" s="12">
        <f>LOOKUP(410050500,[1]PlanCuentas!$A$2:$A$6092,[1]PlanCuentas!C$2:C$6092)</f>
        <v>0</v>
      </c>
      <c r="H710" s="12">
        <f>LOOKUP(410050600,[1]PlanCuentas!$A$2:$A$6092,[1]PlanCuentas!C$2:C$6092)</f>
        <v>0</v>
      </c>
      <c r="I710" s="12">
        <f>LOOKUP(410050700,[1]PlanCuentas!$A$2:$A$6092,[1]PlanCuentas!C$2:C$6092)</f>
        <v>0</v>
      </c>
      <c r="J710" s="12">
        <f>LOOKUP(410050800,[1]PlanCuentas!$A$2:$A$6092,[1]PlanCuentas!C$2:C$6092)</f>
        <v>0</v>
      </c>
      <c r="K710" s="12">
        <f>LOOKUP(410050900,[1]PlanCuentas!$A$2:$A$6092,[1]PlanCuentas!C$2:C$6092)</f>
        <v>0</v>
      </c>
      <c r="L710" s="12">
        <f>LOOKUP(410051000,[1]PlanCuentas!$A$2:$A$6092,[1]PlanCuentas!C$2:C$6092)</f>
        <v>0</v>
      </c>
      <c r="M710" s="12">
        <f>LOOKUP(410051100,[1]PlanCuentas!$A$2:$A$6092,[1]PlanCuentas!C$2:C$6092)</f>
        <v>0</v>
      </c>
      <c r="N710" s="12">
        <f>LOOKUP(410051200,[1]PlanCuentas!$A$2:$A$6092,[1]PlanCuentas!C$2:C$6092)</f>
        <v>0</v>
      </c>
      <c r="O710" s="12">
        <f>LOOKUP(410051300,[1]PlanCuentas!$A$2:$A$6092,[1]PlanCuentas!C$2:C$6092)</f>
        <v>0</v>
      </c>
      <c r="P710" s="12">
        <f>LOOKUP(410052000,[1]PlanCuentas!$A$2:$A$6092,[1]PlanCuentas!C$2:C$6092)</f>
        <v>0</v>
      </c>
      <c r="Q710" s="13">
        <f t="shared" ref="Q710:Q741" si="36">SUM(C710:P710)</f>
        <v>0</v>
      </c>
    </row>
    <row r="711" spans="1:17" x14ac:dyDescent="0.2">
      <c r="A711" s="10">
        <v>2</v>
      </c>
      <c r="B711" s="11" t="str">
        <f>[1]Aseguradoras!B3</f>
        <v>La Rural S.A de Seguros</v>
      </c>
      <c r="C711" s="12">
        <f>LOOKUP(410050100,[1]PlanCuentas!$A$2:$A$6092,[1]PlanCuentas!D$2:D$6092)</f>
        <v>0</v>
      </c>
      <c r="D711" s="12">
        <f>LOOKUP(410050200,[1]PlanCuentas!$A$2:$A$6092,[1]PlanCuentas!D$2:D$6092)</f>
        <v>0</v>
      </c>
      <c r="E711" s="12">
        <f>LOOKUP(410050300,[1]PlanCuentas!$A$2:$A$6092,[1]PlanCuentas!D$2:D$6092)</f>
        <v>0</v>
      </c>
      <c r="F711" s="12">
        <f>LOOKUP(410050400,[1]PlanCuentas!$A$2:$A$6092,[1]PlanCuentas!D$2:D$6092)</f>
        <v>0</v>
      </c>
      <c r="G711" s="12">
        <f>LOOKUP(410050500,[1]PlanCuentas!$A$2:$A$6092,[1]PlanCuentas!D$2:D$6092)</f>
        <v>0</v>
      </c>
      <c r="H711" s="12">
        <f>LOOKUP(410050600,[1]PlanCuentas!$A$2:$A$6092,[1]PlanCuentas!D$2:D$6092)</f>
        <v>0</v>
      </c>
      <c r="I711" s="12">
        <f>LOOKUP(410050700,[1]PlanCuentas!$A$2:$A$6092,[1]PlanCuentas!D$2:D$6092)</f>
        <v>0</v>
      </c>
      <c r="J711" s="12">
        <f>LOOKUP(410050800,[1]PlanCuentas!$A$2:$A$6092,[1]PlanCuentas!D$2:D$6092)</f>
        <v>0</v>
      </c>
      <c r="K711" s="12">
        <f>LOOKUP(410050900,[1]PlanCuentas!$A$2:$A$6092,[1]PlanCuentas!D$2:D$6092)</f>
        <v>0</v>
      </c>
      <c r="L711" s="12">
        <f>LOOKUP(410051000,[1]PlanCuentas!$A$2:$A$6092,[1]PlanCuentas!D$2:D$6092)</f>
        <v>0</v>
      </c>
      <c r="M711" s="12">
        <f>LOOKUP(410051100,[1]PlanCuentas!$A$2:$A$6092,[1]PlanCuentas!D$2:D$6092)</f>
        <v>0</v>
      </c>
      <c r="N711" s="12">
        <f>LOOKUP(410051200,[1]PlanCuentas!$A$2:$A$6092,[1]PlanCuentas!D$2:D$6092)</f>
        <v>0</v>
      </c>
      <c r="O711" s="12">
        <f>LOOKUP(410051300,[1]PlanCuentas!$A$2:$A$6092,[1]PlanCuentas!D$2:D$6092)</f>
        <v>0</v>
      </c>
      <c r="P711" s="12">
        <f>LOOKUP(410052000,[1]PlanCuentas!$A$2:$A$6092,[1]PlanCuentas!D$2:D$6092)</f>
        <v>0</v>
      </c>
      <c r="Q711" s="13">
        <f t="shared" si="36"/>
        <v>0</v>
      </c>
    </row>
    <row r="712" spans="1:17" x14ac:dyDescent="0.2">
      <c r="A712" s="10">
        <v>3</v>
      </c>
      <c r="B712" s="11" t="str">
        <f>[1]Aseguradoras!B4</f>
        <v>La Paraguaya S.A de Seguros</v>
      </c>
      <c r="C712" s="12">
        <f>LOOKUP(410050100,[1]PlanCuentas!$A$2:$A$6092,[1]PlanCuentas!E$2:E$6092)</f>
        <v>0</v>
      </c>
      <c r="D712" s="12">
        <f>LOOKUP(410050200,[1]PlanCuentas!$A$2:$A$6092,[1]PlanCuentas!E$2:E$6092)</f>
        <v>0</v>
      </c>
      <c r="E712" s="12">
        <f>LOOKUP(410050300,[1]PlanCuentas!$A$2:$A$6092,[1]PlanCuentas!E$2:E$6092)</f>
        <v>0</v>
      </c>
      <c r="F712" s="12">
        <f>LOOKUP(410050400,[1]PlanCuentas!$A$2:$A$6092,[1]PlanCuentas!E$2:E$6092)</f>
        <v>0</v>
      </c>
      <c r="G712" s="12">
        <f>LOOKUP(410050500,[1]PlanCuentas!$A$2:$A$6092,[1]PlanCuentas!E$2:E$6092)</f>
        <v>0</v>
      </c>
      <c r="H712" s="12">
        <f>LOOKUP(410050600,[1]PlanCuentas!$A$2:$A$6092,[1]PlanCuentas!E$2:E$6092)</f>
        <v>0</v>
      </c>
      <c r="I712" s="12">
        <f>LOOKUP(410050700,[1]PlanCuentas!$A$2:$A$6092,[1]PlanCuentas!E$2:E$6092)</f>
        <v>0</v>
      </c>
      <c r="J712" s="12">
        <f>LOOKUP(410050800,[1]PlanCuentas!$A$2:$A$6092,[1]PlanCuentas!E$2:E$6092)</f>
        <v>0</v>
      </c>
      <c r="K712" s="12">
        <f>LOOKUP(410050900,[1]PlanCuentas!$A$2:$A$6092,[1]PlanCuentas!E$2:E$6092)</f>
        <v>0</v>
      </c>
      <c r="L712" s="12">
        <f>LOOKUP(410051000,[1]PlanCuentas!$A$2:$A$6092,[1]PlanCuentas!E$2:E$6092)</f>
        <v>0</v>
      </c>
      <c r="M712" s="12">
        <f>LOOKUP(410051100,[1]PlanCuentas!$A$2:$A$6092,[1]PlanCuentas!E$2:E$6092)</f>
        <v>0</v>
      </c>
      <c r="N712" s="12">
        <f>LOOKUP(410051200,[1]PlanCuentas!$A$2:$A$6092,[1]PlanCuentas!E$2:E$6092)</f>
        <v>0</v>
      </c>
      <c r="O712" s="12">
        <f>LOOKUP(410051300,[1]PlanCuentas!$A$2:$A$6092,[1]PlanCuentas!E$2:E$6092)</f>
        <v>0</v>
      </c>
      <c r="P712" s="12">
        <f>LOOKUP(410052000,[1]PlanCuentas!$A$2:$A$6092,[1]PlanCuentas!E$2:E$6092)</f>
        <v>0</v>
      </c>
      <c r="Q712" s="13">
        <f t="shared" si="36"/>
        <v>0</v>
      </c>
    </row>
    <row r="713" spans="1:17" x14ac:dyDescent="0.2">
      <c r="A713" s="10">
        <v>4</v>
      </c>
      <c r="B713" s="11" t="str">
        <f>[1]Aseguradoras!B5</f>
        <v>Seguros Generales S. A (SEGESA)</v>
      </c>
      <c r="C713" s="12">
        <f>LOOKUP(410050100,[1]PlanCuentas!$A$2:$A$6092,[1]PlanCuentas!F$2:F$6092)</f>
        <v>0</v>
      </c>
      <c r="D713" s="12">
        <f>LOOKUP(410050200,[1]PlanCuentas!$A$2:$A$6092,[1]PlanCuentas!F$2:F$6092)</f>
        <v>0</v>
      </c>
      <c r="E713" s="12">
        <f>LOOKUP(410050300,[1]PlanCuentas!$A$2:$A$6092,[1]PlanCuentas!F$2:F$6092)</f>
        <v>0</v>
      </c>
      <c r="F713" s="12">
        <f>LOOKUP(410050400,[1]PlanCuentas!$A$2:$A$6092,[1]PlanCuentas!F$2:F$6092)</f>
        <v>0</v>
      </c>
      <c r="G713" s="12">
        <f>LOOKUP(410050500,[1]PlanCuentas!$A$2:$A$6092,[1]PlanCuentas!F$2:F$6092)</f>
        <v>0</v>
      </c>
      <c r="H713" s="12">
        <f>LOOKUP(410050600,[1]PlanCuentas!$A$2:$A$6092,[1]PlanCuentas!F$2:F$6092)</f>
        <v>0</v>
      </c>
      <c r="I713" s="12">
        <f>LOOKUP(410050700,[1]PlanCuentas!$A$2:$A$6092,[1]PlanCuentas!F$2:F$6092)</f>
        <v>0</v>
      </c>
      <c r="J713" s="12">
        <f>LOOKUP(410050800,[1]PlanCuentas!$A$2:$A$6092,[1]PlanCuentas!F$2:F$6092)</f>
        <v>0</v>
      </c>
      <c r="K713" s="12">
        <f>LOOKUP(410050900,[1]PlanCuentas!$A$2:$A$6092,[1]PlanCuentas!F$2:F$6092)</f>
        <v>0</v>
      </c>
      <c r="L713" s="12">
        <f>LOOKUP(410051000,[1]PlanCuentas!$A$2:$A$6092,[1]PlanCuentas!F$2:F$6092)</f>
        <v>0</v>
      </c>
      <c r="M713" s="12">
        <f>LOOKUP(410051100,[1]PlanCuentas!$A$2:$A$6092,[1]PlanCuentas!F$2:F$6092)</f>
        <v>0</v>
      </c>
      <c r="N713" s="12">
        <f>LOOKUP(410051200,[1]PlanCuentas!$A$2:$A$6092,[1]PlanCuentas!F$2:F$6092)</f>
        <v>0</v>
      </c>
      <c r="O713" s="12">
        <f>LOOKUP(410051300,[1]PlanCuentas!$A$2:$A$6092,[1]PlanCuentas!F$2:F$6092)</f>
        <v>0</v>
      </c>
      <c r="P713" s="12">
        <f>LOOKUP(410052000,[1]PlanCuentas!$A$2:$A$6092,[1]PlanCuentas!F$2:F$6092)</f>
        <v>0</v>
      </c>
      <c r="Q713" s="13">
        <f t="shared" si="36"/>
        <v>0</v>
      </c>
    </row>
    <row r="714" spans="1:17" x14ac:dyDescent="0.2">
      <c r="A714" s="10">
        <v>5</v>
      </c>
      <c r="B714" s="11" t="str">
        <f>[1]Aseguradoras!B6</f>
        <v>Rumbos S.A de Seguros</v>
      </c>
      <c r="C714" s="12">
        <f>LOOKUP(410050100,[1]PlanCuentas!$A$2:$A$6092,[1]PlanCuentas!G$2:G$6092)</f>
        <v>0</v>
      </c>
      <c r="D714" s="12">
        <f>LOOKUP(410050200,[1]PlanCuentas!$A$2:$A$6092,[1]PlanCuentas!G$2:G$6092)</f>
        <v>0</v>
      </c>
      <c r="E714" s="12">
        <f>LOOKUP(410050300,[1]PlanCuentas!$A$2:$A$6092,[1]PlanCuentas!G$2:G$6092)</f>
        <v>0</v>
      </c>
      <c r="F714" s="12">
        <f>LOOKUP(410050400,[1]PlanCuentas!$A$2:$A$6092,[1]PlanCuentas!G$2:G$6092)</f>
        <v>0</v>
      </c>
      <c r="G714" s="12">
        <f>LOOKUP(410050500,[1]PlanCuentas!$A$2:$A$6092,[1]PlanCuentas!G$2:G$6092)</f>
        <v>0</v>
      </c>
      <c r="H714" s="12">
        <f>LOOKUP(410050600,[1]PlanCuentas!$A$2:$A$6092,[1]PlanCuentas!G$2:G$6092)</f>
        <v>0</v>
      </c>
      <c r="I714" s="12">
        <f>LOOKUP(410050700,[1]PlanCuentas!$A$2:$A$6092,[1]PlanCuentas!G$2:G$6092)</f>
        <v>0</v>
      </c>
      <c r="J714" s="12">
        <f>LOOKUP(410050800,[1]PlanCuentas!$A$2:$A$6092,[1]PlanCuentas!G$2:G$6092)</f>
        <v>0</v>
      </c>
      <c r="K714" s="12">
        <f>LOOKUP(410050900,[1]PlanCuentas!$A$2:$A$6092,[1]PlanCuentas!G$2:G$6092)</f>
        <v>0</v>
      </c>
      <c r="L714" s="12">
        <f>LOOKUP(410051000,[1]PlanCuentas!$A$2:$A$6092,[1]PlanCuentas!G$2:G$6092)</f>
        <v>0</v>
      </c>
      <c r="M714" s="12">
        <f>LOOKUP(410051100,[1]PlanCuentas!$A$2:$A$6092,[1]PlanCuentas!G$2:G$6092)</f>
        <v>0</v>
      </c>
      <c r="N714" s="12">
        <f>LOOKUP(410051200,[1]PlanCuentas!$A$2:$A$6092,[1]PlanCuentas!G$2:G$6092)</f>
        <v>0</v>
      </c>
      <c r="O714" s="12">
        <f>LOOKUP(410051300,[1]PlanCuentas!$A$2:$A$6092,[1]PlanCuentas!G$2:G$6092)</f>
        <v>0</v>
      </c>
      <c r="P714" s="12">
        <f>LOOKUP(410052000,[1]PlanCuentas!$A$2:$A$6092,[1]PlanCuentas!G$2:G$6092)</f>
        <v>0</v>
      </c>
      <c r="Q714" s="13">
        <f t="shared" si="36"/>
        <v>0</v>
      </c>
    </row>
    <row r="715" spans="1:17" x14ac:dyDescent="0.2">
      <c r="A715" s="10">
        <v>6</v>
      </c>
      <c r="B715" s="11" t="str">
        <f>[1]Aseguradoras!B7</f>
        <v>La Consolidada S.A de Seguros</v>
      </c>
      <c r="C715" s="12">
        <f>LOOKUP(410050100,[1]PlanCuentas!$A$2:$A$6092,[1]PlanCuentas!H$2:H$6092)</f>
        <v>0</v>
      </c>
      <c r="D715" s="12">
        <f>LOOKUP(410050200,[1]PlanCuentas!$A$2:$A$6092,[1]PlanCuentas!H$2:H$6092)</f>
        <v>0</v>
      </c>
      <c r="E715" s="12">
        <f>LOOKUP(410050300,[1]PlanCuentas!$A$2:$A$6092,[1]PlanCuentas!H$2:H$6092)</f>
        <v>0</v>
      </c>
      <c r="F715" s="12">
        <f>LOOKUP(410050400,[1]PlanCuentas!$A$2:$A$6092,[1]PlanCuentas!H$2:H$6092)</f>
        <v>0</v>
      </c>
      <c r="G715" s="12">
        <f>LOOKUP(410050500,[1]PlanCuentas!$A$2:$A$6092,[1]PlanCuentas!H$2:H$6092)</f>
        <v>0</v>
      </c>
      <c r="H715" s="12">
        <f>LOOKUP(410050600,[1]PlanCuentas!$A$2:$A$6092,[1]PlanCuentas!H$2:H$6092)</f>
        <v>0</v>
      </c>
      <c r="I715" s="12">
        <f>LOOKUP(410050700,[1]PlanCuentas!$A$2:$A$6092,[1]PlanCuentas!H$2:H$6092)</f>
        <v>0</v>
      </c>
      <c r="J715" s="12">
        <f>LOOKUP(410050800,[1]PlanCuentas!$A$2:$A$6092,[1]PlanCuentas!H$2:H$6092)</f>
        <v>0</v>
      </c>
      <c r="K715" s="12">
        <f>LOOKUP(410050900,[1]PlanCuentas!$A$2:$A$6092,[1]PlanCuentas!H$2:H$6092)</f>
        <v>0</v>
      </c>
      <c r="L715" s="12">
        <f>LOOKUP(410051000,[1]PlanCuentas!$A$2:$A$6092,[1]PlanCuentas!H$2:H$6092)</f>
        <v>0</v>
      </c>
      <c r="M715" s="12">
        <f>LOOKUP(410051100,[1]PlanCuentas!$A$2:$A$6092,[1]PlanCuentas!H$2:H$6092)</f>
        <v>0</v>
      </c>
      <c r="N715" s="12">
        <f>LOOKUP(410051200,[1]PlanCuentas!$A$2:$A$6092,[1]PlanCuentas!H$2:H$6092)</f>
        <v>0</v>
      </c>
      <c r="O715" s="12">
        <f>LOOKUP(410051300,[1]PlanCuentas!$A$2:$A$6092,[1]PlanCuentas!H$2:H$6092)</f>
        <v>0</v>
      </c>
      <c r="P715" s="12">
        <f>LOOKUP(410052000,[1]PlanCuentas!$A$2:$A$6092,[1]PlanCuentas!H$2:H$6092)</f>
        <v>0</v>
      </c>
      <c r="Q715" s="13">
        <f t="shared" si="36"/>
        <v>0</v>
      </c>
    </row>
    <row r="716" spans="1:17" x14ac:dyDescent="0.2">
      <c r="A716" s="10">
        <v>7</v>
      </c>
      <c r="B716" s="11" t="str">
        <f>[1]Aseguradoras!B8</f>
        <v>El Productor S.A de Seguros y Reaseguros</v>
      </c>
      <c r="C716" s="12">
        <f>LOOKUP(410050100,[1]PlanCuentas!$A$2:$A$6092,[1]PlanCuentas!I$2:I$6092)</f>
        <v>0</v>
      </c>
      <c r="D716" s="12">
        <f>LOOKUP(410050200,[1]PlanCuentas!$A$2:$A$6092,[1]PlanCuentas!I$2:I$6092)</f>
        <v>0</v>
      </c>
      <c r="E716" s="12">
        <f>LOOKUP(410050300,[1]PlanCuentas!$A$2:$A$6092,[1]PlanCuentas!I$2:I$6092)</f>
        <v>0</v>
      </c>
      <c r="F716" s="12">
        <f>LOOKUP(410050400,[1]PlanCuentas!$A$2:$A$6092,[1]PlanCuentas!I$2:I$6092)</f>
        <v>0</v>
      </c>
      <c r="G716" s="12">
        <f>LOOKUP(410050500,[1]PlanCuentas!$A$2:$A$6092,[1]PlanCuentas!I$2:I$6092)</f>
        <v>0</v>
      </c>
      <c r="H716" s="12">
        <f>LOOKUP(410050600,[1]PlanCuentas!$A$2:$A$6092,[1]PlanCuentas!I$2:I$6092)</f>
        <v>0</v>
      </c>
      <c r="I716" s="12">
        <f>LOOKUP(410050700,[1]PlanCuentas!$A$2:$A$6092,[1]PlanCuentas!I$2:I$6092)</f>
        <v>0</v>
      </c>
      <c r="J716" s="12">
        <f>LOOKUP(410050800,[1]PlanCuentas!$A$2:$A$6092,[1]PlanCuentas!I$2:I$6092)</f>
        <v>0</v>
      </c>
      <c r="K716" s="12">
        <f>LOOKUP(410050900,[1]PlanCuentas!$A$2:$A$6092,[1]PlanCuentas!I$2:I$6092)</f>
        <v>0</v>
      </c>
      <c r="L716" s="12">
        <f>LOOKUP(410051000,[1]PlanCuentas!$A$2:$A$6092,[1]PlanCuentas!I$2:I$6092)</f>
        <v>0</v>
      </c>
      <c r="M716" s="12">
        <f>LOOKUP(410051100,[1]PlanCuentas!$A$2:$A$6092,[1]PlanCuentas!I$2:I$6092)</f>
        <v>0</v>
      </c>
      <c r="N716" s="12">
        <f>LOOKUP(410051200,[1]PlanCuentas!$A$2:$A$6092,[1]PlanCuentas!I$2:I$6092)</f>
        <v>0</v>
      </c>
      <c r="O716" s="12">
        <f>LOOKUP(410051300,[1]PlanCuentas!$A$2:$A$6092,[1]PlanCuentas!I$2:I$6092)</f>
        <v>0</v>
      </c>
      <c r="P716" s="12">
        <f>LOOKUP(410052000,[1]PlanCuentas!$A$2:$A$6092,[1]PlanCuentas!I$2:I$6092)</f>
        <v>0</v>
      </c>
      <c r="Q716" s="13">
        <f t="shared" si="36"/>
        <v>0</v>
      </c>
    </row>
    <row r="717" spans="1:17" x14ac:dyDescent="0.2">
      <c r="A717" s="10">
        <v>8</v>
      </c>
      <c r="B717" s="11" t="str">
        <f>[1]Aseguradoras!B9</f>
        <v>Atalaya S.A de Seguros Generales</v>
      </c>
      <c r="C717" s="12">
        <f>LOOKUP(410050100,[1]PlanCuentas!$A$2:$A$6092,[1]PlanCuentas!J$2:J$6092)</f>
        <v>0</v>
      </c>
      <c r="D717" s="12">
        <f>LOOKUP(410050200,[1]PlanCuentas!$A$2:$A$6092,[1]PlanCuentas!J$2:J$6092)</f>
        <v>0</v>
      </c>
      <c r="E717" s="12">
        <f>LOOKUP(410050300,[1]PlanCuentas!$A$2:$A$6092,[1]PlanCuentas!J$2:J$6092)</f>
        <v>0</v>
      </c>
      <c r="F717" s="12">
        <f>LOOKUP(410050400,[1]PlanCuentas!$A$2:$A$6092,[1]PlanCuentas!J$2:J$6092)</f>
        <v>0</v>
      </c>
      <c r="G717" s="12">
        <f>LOOKUP(410050500,[1]PlanCuentas!$A$2:$A$6092,[1]PlanCuentas!J$2:J$6092)</f>
        <v>0</v>
      </c>
      <c r="H717" s="12">
        <f>LOOKUP(410050600,[1]PlanCuentas!$A$2:$A$6092,[1]PlanCuentas!J$2:J$6092)</f>
        <v>0</v>
      </c>
      <c r="I717" s="12">
        <f>LOOKUP(410050700,[1]PlanCuentas!$A$2:$A$6092,[1]PlanCuentas!J$2:J$6092)</f>
        <v>0</v>
      </c>
      <c r="J717" s="12">
        <f>LOOKUP(410050800,[1]PlanCuentas!$A$2:$A$6092,[1]PlanCuentas!J$2:J$6092)</f>
        <v>0</v>
      </c>
      <c r="K717" s="12">
        <f>LOOKUP(410050900,[1]PlanCuentas!$A$2:$A$6092,[1]PlanCuentas!J$2:J$6092)</f>
        <v>0</v>
      </c>
      <c r="L717" s="12">
        <f>LOOKUP(410051000,[1]PlanCuentas!$A$2:$A$6092,[1]PlanCuentas!J$2:J$6092)</f>
        <v>0</v>
      </c>
      <c r="M717" s="12">
        <f>LOOKUP(410051100,[1]PlanCuentas!$A$2:$A$6092,[1]PlanCuentas!J$2:J$6092)</f>
        <v>0</v>
      </c>
      <c r="N717" s="12">
        <f>LOOKUP(410051200,[1]PlanCuentas!$A$2:$A$6092,[1]PlanCuentas!J$2:J$6092)</f>
        <v>0</v>
      </c>
      <c r="O717" s="12">
        <f>LOOKUP(410051300,[1]PlanCuentas!$A$2:$A$6092,[1]PlanCuentas!J$2:J$6092)</f>
        <v>0</v>
      </c>
      <c r="P717" s="12">
        <f>LOOKUP(410052000,[1]PlanCuentas!$A$2:$A$6092,[1]PlanCuentas!J$2:J$6092)</f>
        <v>0</v>
      </c>
      <c r="Q717" s="13">
        <f t="shared" si="36"/>
        <v>0</v>
      </c>
    </row>
    <row r="718" spans="1:17" x14ac:dyDescent="0.2">
      <c r="A718" s="10">
        <v>9</v>
      </c>
      <c r="B718" s="11" t="str">
        <f>[1]Aseguradoras!B10</f>
        <v>La Independencia de Seguros S.A.</v>
      </c>
      <c r="C718" s="12">
        <f>LOOKUP(410050100,[1]PlanCuentas!$A$2:$A$6092,[1]PlanCuentas!K$2:K$6092)</f>
        <v>0</v>
      </c>
      <c r="D718" s="12">
        <f>LOOKUP(410050200,[1]PlanCuentas!$A$2:$A$6092,[1]PlanCuentas!K$2:K$6092)</f>
        <v>0</v>
      </c>
      <c r="E718" s="12">
        <f>LOOKUP(410050300,[1]PlanCuentas!$A$2:$A$6092,[1]PlanCuentas!K$2:K$6092)</f>
        <v>0</v>
      </c>
      <c r="F718" s="12">
        <f>LOOKUP(410050400,[1]PlanCuentas!$A$2:$A$6092,[1]PlanCuentas!K$2:K$6092)</f>
        <v>0</v>
      </c>
      <c r="G718" s="12">
        <f>LOOKUP(410050500,[1]PlanCuentas!$A$2:$A$6092,[1]PlanCuentas!K$2:K$6092)</f>
        <v>0</v>
      </c>
      <c r="H718" s="12">
        <f>LOOKUP(410050600,[1]PlanCuentas!$A$2:$A$6092,[1]PlanCuentas!K$2:K$6092)</f>
        <v>0</v>
      </c>
      <c r="I718" s="12">
        <f>LOOKUP(410050700,[1]PlanCuentas!$A$2:$A$6092,[1]PlanCuentas!K$2:K$6092)</f>
        <v>0</v>
      </c>
      <c r="J718" s="12">
        <f>LOOKUP(410050800,[1]PlanCuentas!$A$2:$A$6092,[1]PlanCuentas!K$2:K$6092)</f>
        <v>0</v>
      </c>
      <c r="K718" s="12">
        <f>LOOKUP(410050900,[1]PlanCuentas!$A$2:$A$6092,[1]PlanCuentas!K$2:K$6092)</f>
        <v>0</v>
      </c>
      <c r="L718" s="12">
        <f>LOOKUP(410051000,[1]PlanCuentas!$A$2:$A$6092,[1]PlanCuentas!K$2:K$6092)</f>
        <v>0</v>
      </c>
      <c r="M718" s="12">
        <f>LOOKUP(410051100,[1]PlanCuentas!$A$2:$A$6092,[1]PlanCuentas!K$2:K$6092)</f>
        <v>0</v>
      </c>
      <c r="N718" s="12">
        <f>LOOKUP(410051200,[1]PlanCuentas!$A$2:$A$6092,[1]PlanCuentas!K$2:K$6092)</f>
        <v>0</v>
      </c>
      <c r="O718" s="12">
        <f>LOOKUP(410051300,[1]PlanCuentas!$A$2:$A$6092,[1]PlanCuentas!K$2:K$6092)</f>
        <v>0</v>
      </c>
      <c r="P718" s="12">
        <f>LOOKUP(410052000,[1]PlanCuentas!$A$2:$A$6092,[1]PlanCuentas!K$2:K$6092)</f>
        <v>0</v>
      </c>
      <c r="Q718" s="13">
        <f t="shared" si="36"/>
        <v>0</v>
      </c>
    </row>
    <row r="719" spans="1:17" x14ac:dyDescent="0.2">
      <c r="A719" s="10">
        <v>10</v>
      </c>
      <c r="B719" s="11" t="str">
        <f>[1]Aseguradoras!B11</f>
        <v>Patria S.A de Seguros y Reaseguros</v>
      </c>
      <c r="C719" s="12">
        <f>LOOKUP(410050100,[1]PlanCuentas!$A$2:$A$6092,[1]PlanCuentas!L$2:L$6092)</f>
        <v>0</v>
      </c>
      <c r="D719" s="12">
        <f>LOOKUP(410050200,[1]PlanCuentas!$A$2:$A$6092,[1]PlanCuentas!L$2:L$6092)</f>
        <v>0</v>
      </c>
      <c r="E719" s="12">
        <f>LOOKUP(410050300,[1]PlanCuentas!$A$2:$A$6092,[1]PlanCuentas!L$2:L$6092)</f>
        <v>0</v>
      </c>
      <c r="F719" s="12">
        <f>LOOKUP(410050400,[1]PlanCuentas!$A$2:$A$6092,[1]PlanCuentas!L$2:L$6092)</f>
        <v>0</v>
      </c>
      <c r="G719" s="12">
        <f>LOOKUP(410050500,[1]PlanCuentas!$A$2:$A$6092,[1]PlanCuentas!L$2:L$6092)</f>
        <v>0</v>
      </c>
      <c r="H719" s="12">
        <f>LOOKUP(410050600,[1]PlanCuentas!$A$2:$A$6092,[1]PlanCuentas!L$2:L$6092)</f>
        <v>0</v>
      </c>
      <c r="I719" s="12">
        <f>LOOKUP(410050700,[1]PlanCuentas!$A$2:$A$6092,[1]PlanCuentas!L$2:L$6092)</f>
        <v>0</v>
      </c>
      <c r="J719" s="12">
        <f>LOOKUP(410050800,[1]PlanCuentas!$A$2:$A$6092,[1]PlanCuentas!L$2:L$6092)</f>
        <v>0</v>
      </c>
      <c r="K719" s="12">
        <f>LOOKUP(410050900,[1]PlanCuentas!$A$2:$A$6092,[1]PlanCuentas!L$2:L$6092)</f>
        <v>0</v>
      </c>
      <c r="L719" s="12">
        <f>LOOKUP(410051000,[1]PlanCuentas!$A$2:$A$6092,[1]PlanCuentas!L$2:L$6092)</f>
        <v>0</v>
      </c>
      <c r="M719" s="12">
        <f>LOOKUP(410051100,[1]PlanCuentas!$A$2:$A$6092,[1]PlanCuentas!L$2:L$6092)</f>
        <v>0</v>
      </c>
      <c r="N719" s="12">
        <f>LOOKUP(410051200,[1]PlanCuentas!$A$2:$A$6092,[1]PlanCuentas!L$2:L$6092)</f>
        <v>0</v>
      </c>
      <c r="O719" s="12">
        <f>LOOKUP(410051300,[1]PlanCuentas!$A$2:$A$6092,[1]PlanCuentas!L$2:L$6092)</f>
        <v>0</v>
      </c>
      <c r="P719" s="12">
        <f>LOOKUP(410052000,[1]PlanCuentas!$A$2:$A$6092,[1]PlanCuentas!L$2:L$6092)</f>
        <v>0</v>
      </c>
      <c r="Q719" s="13">
        <f t="shared" si="36"/>
        <v>0</v>
      </c>
    </row>
    <row r="720" spans="1:17" x14ac:dyDescent="0.2">
      <c r="A720" s="10">
        <v>11</v>
      </c>
      <c r="B720" s="11" t="str">
        <f>[1]Aseguradoras!B12</f>
        <v>Garantía S.A de Seguros y Reaseguros</v>
      </c>
      <c r="C720" s="12">
        <f>LOOKUP(410050100,[1]PlanCuentas!$A$2:$A$6092,[1]PlanCuentas!M$2:M$6092)</f>
        <v>0</v>
      </c>
      <c r="D720" s="12">
        <f>LOOKUP(410050200,[1]PlanCuentas!$A$2:$A$6092,[1]PlanCuentas!M$2:M$6092)</f>
        <v>0</v>
      </c>
      <c r="E720" s="12">
        <f>LOOKUP(410050300,[1]PlanCuentas!$A$2:$A$6092,[1]PlanCuentas!M$2:M$6092)</f>
        <v>0</v>
      </c>
      <c r="F720" s="12">
        <f>LOOKUP(410050400,[1]PlanCuentas!$A$2:$A$6092,[1]PlanCuentas!M$2:M$6092)</f>
        <v>0</v>
      </c>
      <c r="G720" s="12">
        <f>LOOKUP(410050500,[1]PlanCuentas!$A$2:$A$6092,[1]PlanCuentas!M$2:M$6092)</f>
        <v>0</v>
      </c>
      <c r="H720" s="12">
        <f>LOOKUP(410050600,[1]PlanCuentas!$A$2:$A$6092,[1]PlanCuentas!M$2:M$6092)</f>
        <v>0</v>
      </c>
      <c r="I720" s="12">
        <f>LOOKUP(410050700,[1]PlanCuentas!$A$2:$A$6092,[1]PlanCuentas!M$2:M$6092)</f>
        <v>0</v>
      </c>
      <c r="J720" s="12">
        <f>LOOKUP(410050800,[1]PlanCuentas!$A$2:$A$6092,[1]PlanCuentas!M$2:M$6092)</f>
        <v>0</v>
      </c>
      <c r="K720" s="12">
        <f>LOOKUP(410050900,[1]PlanCuentas!$A$2:$A$6092,[1]PlanCuentas!M$2:M$6092)</f>
        <v>0</v>
      </c>
      <c r="L720" s="12">
        <f>LOOKUP(410051000,[1]PlanCuentas!$A$2:$A$6092,[1]PlanCuentas!M$2:M$6092)</f>
        <v>0</v>
      </c>
      <c r="M720" s="12">
        <f>LOOKUP(410051100,[1]PlanCuentas!$A$2:$A$6092,[1]PlanCuentas!M$2:M$6092)</f>
        <v>0</v>
      </c>
      <c r="N720" s="12">
        <f>LOOKUP(410051200,[1]PlanCuentas!$A$2:$A$6092,[1]PlanCuentas!M$2:M$6092)</f>
        <v>0</v>
      </c>
      <c r="O720" s="12">
        <f>LOOKUP(410051300,[1]PlanCuentas!$A$2:$A$6092,[1]PlanCuentas!M$2:M$6092)</f>
        <v>0</v>
      </c>
      <c r="P720" s="12">
        <f>LOOKUP(410052000,[1]PlanCuentas!$A$2:$A$6092,[1]PlanCuentas!M$2:M$6092)</f>
        <v>0</v>
      </c>
      <c r="Q720" s="13">
        <f t="shared" si="36"/>
        <v>0</v>
      </c>
    </row>
    <row r="721" spans="1:17" x14ac:dyDescent="0.2">
      <c r="A721" s="10">
        <v>12</v>
      </c>
      <c r="B721" s="11" t="str">
        <f>[1]Aseguradoras!B13</f>
        <v>Aseguradora Paraguaya S.A.</v>
      </c>
      <c r="C721" s="12">
        <f>LOOKUP(410050100,[1]PlanCuentas!$A$2:$A$6092,[1]PlanCuentas!N$2:N$6092)</f>
        <v>0</v>
      </c>
      <c r="D721" s="12">
        <f>LOOKUP(410050200,[1]PlanCuentas!$A$2:$A$6092,[1]PlanCuentas!N$2:N$6092)</f>
        <v>0</v>
      </c>
      <c r="E721" s="12">
        <f>LOOKUP(410050300,[1]PlanCuentas!$A$2:$A$6092,[1]PlanCuentas!N$2:N$6092)</f>
        <v>0</v>
      </c>
      <c r="F721" s="12">
        <f>LOOKUP(410050400,[1]PlanCuentas!$A$2:$A$6092,[1]PlanCuentas!N$2:N$6092)</f>
        <v>0</v>
      </c>
      <c r="G721" s="12">
        <f>LOOKUP(410050500,[1]PlanCuentas!$A$2:$A$6092,[1]PlanCuentas!N$2:N$6092)</f>
        <v>0</v>
      </c>
      <c r="H721" s="12">
        <f>LOOKUP(410050600,[1]PlanCuentas!$A$2:$A$6092,[1]PlanCuentas!N$2:N$6092)</f>
        <v>0</v>
      </c>
      <c r="I721" s="12">
        <f>LOOKUP(410050700,[1]PlanCuentas!$A$2:$A$6092,[1]PlanCuentas!N$2:N$6092)</f>
        <v>0</v>
      </c>
      <c r="J721" s="12">
        <f>LOOKUP(410050800,[1]PlanCuentas!$A$2:$A$6092,[1]PlanCuentas!N$2:N$6092)</f>
        <v>0</v>
      </c>
      <c r="K721" s="12">
        <f>LOOKUP(410050900,[1]PlanCuentas!$A$2:$A$6092,[1]PlanCuentas!N$2:N$6092)</f>
        <v>0</v>
      </c>
      <c r="L721" s="12">
        <f>LOOKUP(410051000,[1]PlanCuentas!$A$2:$A$6092,[1]PlanCuentas!N$2:N$6092)</f>
        <v>0</v>
      </c>
      <c r="M721" s="12">
        <f>LOOKUP(410051100,[1]PlanCuentas!$A$2:$A$6092,[1]PlanCuentas!N$2:N$6092)</f>
        <v>0</v>
      </c>
      <c r="N721" s="12">
        <f>LOOKUP(410051200,[1]PlanCuentas!$A$2:$A$6092,[1]PlanCuentas!N$2:N$6092)</f>
        <v>0</v>
      </c>
      <c r="O721" s="12">
        <f>LOOKUP(410051300,[1]PlanCuentas!$A$2:$A$6092,[1]PlanCuentas!N$2:N$6092)</f>
        <v>0</v>
      </c>
      <c r="P721" s="12">
        <f>LOOKUP(410052000,[1]PlanCuentas!$A$2:$A$6092,[1]PlanCuentas!N$2:N$6092)</f>
        <v>0</v>
      </c>
      <c r="Q721" s="13">
        <f t="shared" si="36"/>
        <v>0</v>
      </c>
    </row>
    <row r="722" spans="1:17" x14ac:dyDescent="0.2">
      <c r="A722" s="10">
        <v>13</v>
      </c>
      <c r="B722" s="11" t="str">
        <f>[1]Aseguradoras!B14</f>
        <v>Fénix S.A de Seguros y Reaseguros</v>
      </c>
      <c r="C722" s="12">
        <f>LOOKUP(410050100,[1]PlanCuentas!$A$2:$A$6092,[1]PlanCuentas!O$2:O$6092)</f>
        <v>0</v>
      </c>
      <c r="D722" s="12">
        <f>LOOKUP(410050200,[1]PlanCuentas!$A$2:$A$6092,[1]PlanCuentas!O$2:O$6092)</f>
        <v>0</v>
      </c>
      <c r="E722" s="12">
        <f>LOOKUP(410050300,[1]PlanCuentas!$A$2:$A$6092,[1]PlanCuentas!O$2:O$6092)</f>
        <v>0</v>
      </c>
      <c r="F722" s="12">
        <f>LOOKUP(410050400,[1]PlanCuentas!$A$2:$A$6092,[1]PlanCuentas!O$2:O$6092)</f>
        <v>0</v>
      </c>
      <c r="G722" s="12">
        <f>LOOKUP(410050500,[1]PlanCuentas!$A$2:$A$6092,[1]PlanCuentas!O$2:O$6092)</f>
        <v>0</v>
      </c>
      <c r="H722" s="12">
        <f>LOOKUP(410050600,[1]PlanCuentas!$A$2:$A$6092,[1]PlanCuentas!O$2:O$6092)</f>
        <v>0</v>
      </c>
      <c r="I722" s="12">
        <f>LOOKUP(410050700,[1]PlanCuentas!$A$2:$A$6092,[1]PlanCuentas!O$2:O$6092)</f>
        <v>0</v>
      </c>
      <c r="J722" s="12">
        <f>LOOKUP(410050800,[1]PlanCuentas!$A$2:$A$6092,[1]PlanCuentas!O$2:O$6092)</f>
        <v>0</v>
      </c>
      <c r="K722" s="12">
        <f>LOOKUP(410050900,[1]PlanCuentas!$A$2:$A$6092,[1]PlanCuentas!O$2:O$6092)</f>
        <v>0</v>
      </c>
      <c r="L722" s="12">
        <f>LOOKUP(410051000,[1]PlanCuentas!$A$2:$A$6092,[1]PlanCuentas!O$2:O$6092)</f>
        <v>0</v>
      </c>
      <c r="M722" s="12">
        <f>LOOKUP(410051100,[1]PlanCuentas!$A$2:$A$6092,[1]PlanCuentas!O$2:O$6092)</f>
        <v>0</v>
      </c>
      <c r="N722" s="12">
        <f>LOOKUP(410051200,[1]PlanCuentas!$A$2:$A$6092,[1]PlanCuentas!O$2:O$6092)</f>
        <v>0</v>
      </c>
      <c r="O722" s="12">
        <f>LOOKUP(410051300,[1]PlanCuentas!$A$2:$A$6092,[1]PlanCuentas!O$2:O$6092)</f>
        <v>0</v>
      </c>
      <c r="P722" s="12">
        <f>LOOKUP(410052000,[1]PlanCuentas!$A$2:$A$6092,[1]PlanCuentas!O$2:O$6092)</f>
        <v>0</v>
      </c>
      <c r="Q722" s="13">
        <f t="shared" si="36"/>
        <v>0</v>
      </c>
    </row>
    <row r="723" spans="1:17" x14ac:dyDescent="0.2">
      <c r="A723" s="10">
        <v>14</v>
      </c>
      <c r="B723" s="11" t="str">
        <f>[1]Aseguradoras!B15</f>
        <v>Central S.A de Seguros</v>
      </c>
      <c r="C723" s="12">
        <f>LOOKUP(410050100,[1]PlanCuentas!$A$2:$A$6092,[1]PlanCuentas!P$2:P$6092)</f>
        <v>0</v>
      </c>
      <c r="D723" s="12">
        <f>LOOKUP(410050200,[1]PlanCuentas!$A$2:$A$6092,[1]PlanCuentas!P$2:P$6092)</f>
        <v>0</v>
      </c>
      <c r="E723" s="12">
        <f>LOOKUP(410050300,[1]PlanCuentas!$A$2:$A$6092,[1]PlanCuentas!P$2:P$6092)</f>
        <v>0</v>
      </c>
      <c r="F723" s="12">
        <f>LOOKUP(410050400,[1]PlanCuentas!$A$2:$A$6092,[1]PlanCuentas!P$2:P$6092)</f>
        <v>0</v>
      </c>
      <c r="G723" s="12">
        <f>LOOKUP(410050500,[1]PlanCuentas!$A$2:$A$6092,[1]PlanCuentas!P$2:P$6092)</f>
        <v>0</v>
      </c>
      <c r="H723" s="12">
        <f>LOOKUP(410050600,[1]PlanCuentas!$A$2:$A$6092,[1]PlanCuentas!P$2:P$6092)</f>
        <v>0</v>
      </c>
      <c r="I723" s="12">
        <f>LOOKUP(410050700,[1]PlanCuentas!$A$2:$A$6092,[1]PlanCuentas!P$2:P$6092)</f>
        <v>0</v>
      </c>
      <c r="J723" s="12">
        <f>LOOKUP(410050800,[1]PlanCuentas!$A$2:$A$6092,[1]PlanCuentas!P$2:P$6092)</f>
        <v>0</v>
      </c>
      <c r="K723" s="12">
        <f>LOOKUP(410050900,[1]PlanCuentas!$A$2:$A$6092,[1]PlanCuentas!P$2:P$6092)</f>
        <v>0</v>
      </c>
      <c r="L723" s="12">
        <f>LOOKUP(410051000,[1]PlanCuentas!$A$2:$A$6092,[1]PlanCuentas!P$2:P$6092)</f>
        <v>0</v>
      </c>
      <c r="M723" s="12">
        <f>LOOKUP(410051100,[1]PlanCuentas!$A$2:$A$6092,[1]PlanCuentas!P$2:P$6092)</f>
        <v>0</v>
      </c>
      <c r="N723" s="12">
        <f>LOOKUP(410051200,[1]PlanCuentas!$A$2:$A$6092,[1]PlanCuentas!P$2:P$6092)</f>
        <v>0</v>
      </c>
      <c r="O723" s="12">
        <f>LOOKUP(410051300,[1]PlanCuentas!$A$2:$A$6092,[1]PlanCuentas!P$2:P$6092)</f>
        <v>0</v>
      </c>
      <c r="P723" s="12">
        <f>LOOKUP(410052000,[1]PlanCuentas!$A$2:$A$6092,[1]PlanCuentas!P$2:P$6092)</f>
        <v>0</v>
      </c>
      <c r="Q723" s="13">
        <f t="shared" si="36"/>
        <v>0</v>
      </c>
    </row>
    <row r="724" spans="1:17" x14ac:dyDescent="0.2">
      <c r="A724" s="10">
        <v>15</v>
      </c>
      <c r="B724" s="11" t="str">
        <f>[1]Aseguradoras!B16</f>
        <v>Seguros Chaco S.A de Seguros y Reaseguros</v>
      </c>
      <c r="C724" s="12">
        <f>LOOKUP(410050100,[1]PlanCuentas!$A$2:$A$6092,[1]PlanCuentas!Q$2:Q$6092)</f>
        <v>0</v>
      </c>
      <c r="D724" s="12">
        <f>LOOKUP(410050200,[1]PlanCuentas!$A$2:$A$6092,[1]PlanCuentas!Q$2:Q$6092)</f>
        <v>0</v>
      </c>
      <c r="E724" s="12">
        <f>LOOKUP(410050300,[1]PlanCuentas!$A$2:$A$6092,[1]PlanCuentas!Q$2:Q$6092)</f>
        <v>0</v>
      </c>
      <c r="F724" s="12">
        <f>LOOKUP(410050400,[1]PlanCuentas!$A$2:$A$6092,[1]PlanCuentas!Q$2:Q$6092)</f>
        <v>0</v>
      </c>
      <c r="G724" s="12">
        <f>LOOKUP(410050500,[1]PlanCuentas!$A$2:$A$6092,[1]PlanCuentas!Q$2:Q$6092)</f>
        <v>0</v>
      </c>
      <c r="H724" s="12">
        <f>LOOKUP(410050600,[1]PlanCuentas!$A$2:$A$6092,[1]PlanCuentas!Q$2:Q$6092)</f>
        <v>0</v>
      </c>
      <c r="I724" s="12">
        <f>LOOKUP(410050700,[1]PlanCuentas!$A$2:$A$6092,[1]PlanCuentas!Q$2:Q$6092)</f>
        <v>0</v>
      </c>
      <c r="J724" s="12">
        <f>LOOKUP(410050800,[1]PlanCuentas!$A$2:$A$6092,[1]PlanCuentas!Q$2:Q$6092)</f>
        <v>0</v>
      </c>
      <c r="K724" s="12">
        <f>LOOKUP(410050900,[1]PlanCuentas!$A$2:$A$6092,[1]PlanCuentas!Q$2:Q$6092)</f>
        <v>0</v>
      </c>
      <c r="L724" s="12">
        <f>LOOKUP(410051000,[1]PlanCuentas!$A$2:$A$6092,[1]PlanCuentas!Q$2:Q$6092)</f>
        <v>0</v>
      </c>
      <c r="M724" s="12">
        <f>LOOKUP(410051100,[1]PlanCuentas!$A$2:$A$6092,[1]PlanCuentas!Q$2:Q$6092)</f>
        <v>0</v>
      </c>
      <c r="N724" s="12">
        <f>LOOKUP(410051200,[1]PlanCuentas!$A$2:$A$6092,[1]PlanCuentas!Q$2:Q$6092)</f>
        <v>0</v>
      </c>
      <c r="O724" s="12">
        <f>LOOKUP(410051300,[1]PlanCuentas!$A$2:$A$6092,[1]PlanCuentas!Q$2:Q$6092)</f>
        <v>0</v>
      </c>
      <c r="P724" s="12">
        <f>LOOKUP(410052000,[1]PlanCuentas!$A$2:$A$6092,[1]PlanCuentas!Q$2:Q$6092)</f>
        <v>0</v>
      </c>
      <c r="Q724" s="13">
        <f t="shared" si="36"/>
        <v>0</v>
      </c>
    </row>
    <row r="725" spans="1:17" x14ac:dyDescent="0.2">
      <c r="A725" s="10">
        <v>16</v>
      </c>
      <c r="B725" s="11" t="str">
        <f>[1]Aseguradoras!B17</f>
        <v>El Sol Del Paraguay Compañía de Seguros y Reaseguros S.A.</v>
      </c>
      <c r="C725" s="12">
        <f>LOOKUP(410050100,[1]PlanCuentas!$A$2:$A$6092,[1]PlanCuentas!R$2:R$6092)</f>
        <v>0</v>
      </c>
      <c r="D725" s="12">
        <f>LOOKUP(410050200,[1]PlanCuentas!$A$2:$A$6092,[1]PlanCuentas!R$2:R$6092)</f>
        <v>0</v>
      </c>
      <c r="E725" s="12">
        <f>LOOKUP(410050300,[1]PlanCuentas!$A$2:$A$6092,[1]PlanCuentas!R$2:R$6092)</f>
        <v>0</v>
      </c>
      <c r="F725" s="12">
        <f>LOOKUP(410050400,[1]PlanCuentas!$A$2:$A$6092,[1]PlanCuentas!R$2:R$6092)</f>
        <v>0</v>
      </c>
      <c r="G725" s="12">
        <f>LOOKUP(410050500,[1]PlanCuentas!$A$2:$A$6092,[1]PlanCuentas!R$2:R$6092)</f>
        <v>0</v>
      </c>
      <c r="H725" s="12">
        <f>LOOKUP(410050600,[1]PlanCuentas!$A$2:$A$6092,[1]PlanCuentas!R$2:R$6092)</f>
        <v>0</v>
      </c>
      <c r="I725" s="12">
        <f>LOOKUP(410050700,[1]PlanCuentas!$A$2:$A$6092,[1]PlanCuentas!R$2:R$6092)</f>
        <v>0</v>
      </c>
      <c r="J725" s="12">
        <f>LOOKUP(410050800,[1]PlanCuentas!$A$2:$A$6092,[1]PlanCuentas!R$2:R$6092)</f>
        <v>0</v>
      </c>
      <c r="K725" s="12">
        <f>LOOKUP(410050900,[1]PlanCuentas!$A$2:$A$6092,[1]PlanCuentas!R$2:R$6092)</f>
        <v>0</v>
      </c>
      <c r="L725" s="12">
        <f>LOOKUP(410051000,[1]PlanCuentas!$A$2:$A$6092,[1]PlanCuentas!R$2:R$6092)</f>
        <v>0</v>
      </c>
      <c r="M725" s="12">
        <f>LOOKUP(410051100,[1]PlanCuentas!$A$2:$A$6092,[1]PlanCuentas!R$2:R$6092)</f>
        <v>0</v>
      </c>
      <c r="N725" s="12">
        <f>LOOKUP(410051200,[1]PlanCuentas!$A$2:$A$6092,[1]PlanCuentas!R$2:R$6092)</f>
        <v>0</v>
      </c>
      <c r="O725" s="12">
        <f>LOOKUP(410051300,[1]PlanCuentas!$A$2:$A$6092,[1]PlanCuentas!R$2:R$6092)</f>
        <v>0</v>
      </c>
      <c r="P725" s="12">
        <f>LOOKUP(410052000,[1]PlanCuentas!$A$2:$A$6092,[1]PlanCuentas!R$2:R$6092)</f>
        <v>0</v>
      </c>
      <c r="Q725" s="13">
        <f t="shared" si="36"/>
        <v>0</v>
      </c>
    </row>
    <row r="726" spans="1:17" x14ac:dyDescent="0.2">
      <c r="A726" s="10">
        <v>17</v>
      </c>
      <c r="B726" s="11" t="str">
        <f>[1]Aseguradoras!B18</f>
        <v>Intercontinental de Seguros y Reaseguros S.A.</v>
      </c>
      <c r="C726" s="12">
        <f>LOOKUP(410050100,[1]PlanCuentas!$A$2:$A$6092,[1]PlanCuentas!S$2:S$6092)</f>
        <v>0</v>
      </c>
      <c r="D726" s="12">
        <f>LOOKUP(410050200,[1]PlanCuentas!$A$2:$A$6092,[1]PlanCuentas!S$2:S$6092)</f>
        <v>0</v>
      </c>
      <c r="E726" s="12">
        <f>LOOKUP(410050300,[1]PlanCuentas!$A$2:$A$6092,[1]PlanCuentas!S$2:S$6092)</f>
        <v>0</v>
      </c>
      <c r="F726" s="12">
        <f>LOOKUP(410050400,[1]PlanCuentas!$A$2:$A$6092,[1]PlanCuentas!S$2:S$6092)</f>
        <v>0</v>
      </c>
      <c r="G726" s="12">
        <f>LOOKUP(410050500,[1]PlanCuentas!$A$2:$A$6092,[1]PlanCuentas!S$2:S$6092)</f>
        <v>0</v>
      </c>
      <c r="H726" s="12">
        <f>LOOKUP(410050600,[1]PlanCuentas!$A$2:$A$6092,[1]PlanCuentas!S$2:S$6092)</f>
        <v>0</v>
      </c>
      <c r="I726" s="12">
        <f>LOOKUP(410050700,[1]PlanCuentas!$A$2:$A$6092,[1]PlanCuentas!S$2:S$6092)</f>
        <v>0</v>
      </c>
      <c r="J726" s="12">
        <f>LOOKUP(410050800,[1]PlanCuentas!$A$2:$A$6092,[1]PlanCuentas!S$2:S$6092)</f>
        <v>0</v>
      </c>
      <c r="K726" s="12">
        <f>LOOKUP(410050900,[1]PlanCuentas!$A$2:$A$6092,[1]PlanCuentas!S$2:S$6092)</f>
        <v>0</v>
      </c>
      <c r="L726" s="12">
        <f>LOOKUP(410051000,[1]PlanCuentas!$A$2:$A$6092,[1]PlanCuentas!S$2:S$6092)</f>
        <v>0</v>
      </c>
      <c r="M726" s="12">
        <f>LOOKUP(410051100,[1]PlanCuentas!$A$2:$A$6092,[1]PlanCuentas!S$2:S$6092)</f>
        <v>0</v>
      </c>
      <c r="N726" s="12">
        <f>LOOKUP(410051200,[1]PlanCuentas!$A$2:$A$6092,[1]PlanCuentas!S$2:S$6092)</f>
        <v>0</v>
      </c>
      <c r="O726" s="12">
        <f>LOOKUP(410051300,[1]PlanCuentas!$A$2:$A$6092,[1]PlanCuentas!S$2:S$6092)</f>
        <v>0</v>
      </c>
      <c r="P726" s="12">
        <f>LOOKUP(410052000,[1]PlanCuentas!$A$2:$A$6092,[1]PlanCuentas!S$2:S$6092)</f>
        <v>0</v>
      </c>
      <c r="Q726" s="13">
        <f t="shared" si="36"/>
        <v>0</v>
      </c>
    </row>
    <row r="727" spans="1:17" x14ac:dyDescent="0.2">
      <c r="A727" s="10">
        <v>18</v>
      </c>
      <c r="B727" s="11" t="str">
        <f>[1]Aseguradoras!B19</f>
        <v>Seguridad S.A Compañía de Seguros</v>
      </c>
      <c r="C727" s="12">
        <f>LOOKUP(410050100,[1]PlanCuentas!$A$2:$A$6092,[1]PlanCuentas!T$2:T$6092)</f>
        <v>0</v>
      </c>
      <c r="D727" s="12">
        <f>LOOKUP(410050200,[1]PlanCuentas!$A$2:$A$6092,[1]PlanCuentas!T$2:T$6092)</f>
        <v>0</v>
      </c>
      <c r="E727" s="12">
        <f>LOOKUP(410050300,[1]PlanCuentas!$A$2:$A$6092,[1]PlanCuentas!T$2:T$6092)</f>
        <v>0</v>
      </c>
      <c r="F727" s="12">
        <f>LOOKUP(410050400,[1]PlanCuentas!$A$2:$A$6092,[1]PlanCuentas!T$2:T$6092)</f>
        <v>0</v>
      </c>
      <c r="G727" s="12">
        <f>LOOKUP(410050500,[1]PlanCuentas!$A$2:$A$6092,[1]PlanCuentas!T$2:T$6092)</f>
        <v>0</v>
      </c>
      <c r="H727" s="12">
        <f>LOOKUP(410050600,[1]PlanCuentas!$A$2:$A$6092,[1]PlanCuentas!T$2:T$6092)</f>
        <v>0</v>
      </c>
      <c r="I727" s="12">
        <f>LOOKUP(410050700,[1]PlanCuentas!$A$2:$A$6092,[1]PlanCuentas!T$2:T$6092)</f>
        <v>0</v>
      </c>
      <c r="J727" s="12">
        <f>LOOKUP(410050800,[1]PlanCuentas!$A$2:$A$6092,[1]PlanCuentas!T$2:T$6092)</f>
        <v>0</v>
      </c>
      <c r="K727" s="12">
        <f>LOOKUP(410050900,[1]PlanCuentas!$A$2:$A$6092,[1]PlanCuentas!T$2:T$6092)</f>
        <v>0</v>
      </c>
      <c r="L727" s="12">
        <f>LOOKUP(410051000,[1]PlanCuentas!$A$2:$A$6092,[1]PlanCuentas!T$2:T$6092)</f>
        <v>0</v>
      </c>
      <c r="M727" s="12">
        <f>LOOKUP(410051100,[1]PlanCuentas!$A$2:$A$6092,[1]PlanCuentas!T$2:T$6092)</f>
        <v>0</v>
      </c>
      <c r="N727" s="12">
        <f>LOOKUP(410051200,[1]PlanCuentas!$A$2:$A$6092,[1]PlanCuentas!T$2:T$6092)</f>
        <v>0</v>
      </c>
      <c r="O727" s="12">
        <f>LOOKUP(410051300,[1]PlanCuentas!$A$2:$A$6092,[1]PlanCuentas!T$2:T$6092)</f>
        <v>0</v>
      </c>
      <c r="P727" s="12">
        <f>LOOKUP(410052000,[1]PlanCuentas!$A$2:$A$6092,[1]PlanCuentas!T$2:T$6092)</f>
        <v>0</v>
      </c>
      <c r="Q727" s="13">
        <f t="shared" si="36"/>
        <v>0</v>
      </c>
    </row>
    <row r="728" spans="1:17" x14ac:dyDescent="0.2">
      <c r="A728" s="10">
        <v>19</v>
      </c>
      <c r="B728" s="11" t="str">
        <f>[1]Aseguradoras!B20</f>
        <v>Universo de Seguros y Reaseguros S.A.</v>
      </c>
      <c r="C728" s="12">
        <f>LOOKUP(410050100,[1]PlanCuentas!$A$2:$A$6092,[1]PlanCuentas!U$2:U$6092)</f>
        <v>0</v>
      </c>
      <c r="D728" s="12">
        <f>LOOKUP(410050200,[1]PlanCuentas!$A$2:$A$6092,[1]PlanCuentas!U$2:U$6092)</f>
        <v>0</v>
      </c>
      <c r="E728" s="12">
        <f>LOOKUP(410050300,[1]PlanCuentas!$A$2:$A$6092,[1]PlanCuentas!U$2:U$6092)</f>
        <v>0</v>
      </c>
      <c r="F728" s="12">
        <f>LOOKUP(410050400,[1]PlanCuentas!$A$2:$A$6092,[1]PlanCuentas!U$2:U$6092)</f>
        <v>0</v>
      </c>
      <c r="G728" s="12">
        <f>LOOKUP(410050500,[1]PlanCuentas!$A$2:$A$6092,[1]PlanCuentas!U$2:U$6092)</f>
        <v>0</v>
      </c>
      <c r="H728" s="12">
        <f>LOOKUP(410050600,[1]PlanCuentas!$A$2:$A$6092,[1]PlanCuentas!U$2:U$6092)</f>
        <v>0</v>
      </c>
      <c r="I728" s="12">
        <f>LOOKUP(410050700,[1]PlanCuentas!$A$2:$A$6092,[1]PlanCuentas!U$2:U$6092)</f>
        <v>0</v>
      </c>
      <c r="J728" s="12">
        <f>LOOKUP(410050800,[1]PlanCuentas!$A$2:$A$6092,[1]PlanCuentas!U$2:U$6092)</f>
        <v>0</v>
      </c>
      <c r="K728" s="12">
        <f>LOOKUP(410050900,[1]PlanCuentas!$A$2:$A$6092,[1]PlanCuentas!U$2:U$6092)</f>
        <v>0</v>
      </c>
      <c r="L728" s="12">
        <f>LOOKUP(410051000,[1]PlanCuentas!$A$2:$A$6092,[1]PlanCuentas!U$2:U$6092)</f>
        <v>0</v>
      </c>
      <c r="M728" s="12">
        <f>LOOKUP(410051100,[1]PlanCuentas!$A$2:$A$6092,[1]PlanCuentas!U$2:U$6092)</f>
        <v>0</v>
      </c>
      <c r="N728" s="12">
        <f>LOOKUP(410051200,[1]PlanCuentas!$A$2:$A$6092,[1]PlanCuentas!U$2:U$6092)</f>
        <v>0</v>
      </c>
      <c r="O728" s="12">
        <f>LOOKUP(410051300,[1]PlanCuentas!$A$2:$A$6092,[1]PlanCuentas!U$2:U$6092)</f>
        <v>0</v>
      </c>
      <c r="P728" s="12">
        <f>LOOKUP(410052000,[1]PlanCuentas!$A$2:$A$6092,[1]PlanCuentas!U$2:U$6092)</f>
        <v>0</v>
      </c>
      <c r="Q728" s="13">
        <f t="shared" si="36"/>
        <v>0</v>
      </c>
    </row>
    <row r="729" spans="1:17" x14ac:dyDescent="0.2">
      <c r="A729" s="10">
        <v>20</v>
      </c>
      <c r="B729" s="11" t="str">
        <f>[1]Aseguradoras!B21</f>
        <v>Aseguradora Yacyreta S.A de Seguros y Reaseguros</v>
      </c>
      <c r="C729" s="12">
        <f>LOOKUP(410050100,[1]PlanCuentas!$A$2:$A$6092,[1]PlanCuentas!V$2:V$6092)</f>
        <v>0</v>
      </c>
      <c r="D729" s="12">
        <f>LOOKUP(410050200,[1]PlanCuentas!$A$2:$A$6092,[1]PlanCuentas!V$2:V$6092)</f>
        <v>0</v>
      </c>
      <c r="E729" s="12">
        <f>LOOKUP(410050300,[1]PlanCuentas!$A$2:$A$6092,[1]PlanCuentas!V$2:V$6092)</f>
        <v>0</v>
      </c>
      <c r="F729" s="12">
        <f>LOOKUP(410050400,[1]PlanCuentas!$A$2:$A$6092,[1]PlanCuentas!V$2:V$6092)</f>
        <v>0</v>
      </c>
      <c r="G729" s="12">
        <f>LOOKUP(410050500,[1]PlanCuentas!$A$2:$A$6092,[1]PlanCuentas!V$2:V$6092)</f>
        <v>0</v>
      </c>
      <c r="H729" s="12">
        <f>LOOKUP(410050600,[1]PlanCuentas!$A$2:$A$6092,[1]PlanCuentas!V$2:V$6092)</f>
        <v>0</v>
      </c>
      <c r="I729" s="12">
        <f>LOOKUP(410050700,[1]PlanCuentas!$A$2:$A$6092,[1]PlanCuentas!V$2:V$6092)</f>
        <v>0</v>
      </c>
      <c r="J729" s="12">
        <f>LOOKUP(410050800,[1]PlanCuentas!$A$2:$A$6092,[1]PlanCuentas!V$2:V$6092)</f>
        <v>0</v>
      </c>
      <c r="K729" s="12">
        <f>LOOKUP(410050900,[1]PlanCuentas!$A$2:$A$6092,[1]PlanCuentas!V$2:V$6092)</f>
        <v>0</v>
      </c>
      <c r="L729" s="12">
        <f>LOOKUP(410051000,[1]PlanCuentas!$A$2:$A$6092,[1]PlanCuentas!V$2:V$6092)</f>
        <v>0</v>
      </c>
      <c r="M729" s="12">
        <f>LOOKUP(410051100,[1]PlanCuentas!$A$2:$A$6092,[1]PlanCuentas!V$2:V$6092)</f>
        <v>0</v>
      </c>
      <c r="N729" s="12">
        <f>LOOKUP(410051200,[1]PlanCuentas!$A$2:$A$6092,[1]PlanCuentas!V$2:V$6092)</f>
        <v>0</v>
      </c>
      <c r="O729" s="12">
        <f>LOOKUP(410051300,[1]PlanCuentas!$A$2:$A$6092,[1]PlanCuentas!V$2:V$6092)</f>
        <v>0</v>
      </c>
      <c r="P729" s="12">
        <f>LOOKUP(410052000,[1]PlanCuentas!$A$2:$A$6092,[1]PlanCuentas!V$2:V$6092)</f>
        <v>0</v>
      </c>
      <c r="Q729" s="13">
        <f t="shared" si="36"/>
        <v>0</v>
      </c>
    </row>
    <row r="730" spans="1:17" x14ac:dyDescent="0.2">
      <c r="A730" s="10">
        <v>21</v>
      </c>
      <c r="B730" s="11" t="str">
        <f>[1]Aseguradoras!B22</f>
        <v>La Agricola S.A de Seguros y Reaseguros</v>
      </c>
      <c r="C730" s="12">
        <f>LOOKUP(410050100,[1]PlanCuentas!$A$2:$A$6092,[1]PlanCuentas!W$2:W$6092)</f>
        <v>0</v>
      </c>
      <c r="D730" s="12">
        <f>LOOKUP(410050200,[1]PlanCuentas!$A$2:$A$6092,[1]PlanCuentas!W$2:W$6092)</f>
        <v>0</v>
      </c>
      <c r="E730" s="12">
        <f>LOOKUP(410050300,[1]PlanCuentas!$A$2:$A$6092,[1]PlanCuentas!W$2:W$6092)</f>
        <v>0</v>
      </c>
      <c r="F730" s="12">
        <f>LOOKUP(410050400,[1]PlanCuentas!$A$2:$A$6092,[1]PlanCuentas!W$2:W$6092)</f>
        <v>0</v>
      </c>
      <c r="G730" s="12">
        <f>LOOKUP(410050500,[1]PlanCuentas!$A$2:$A$6092,[1]PlanCuentas!W$2:W$6092)</f>
        <v>0</v>
      </c>
      <c r="H730" s="12">
        <f>LOOKUP(410050600,[1]PlanCuentas!$A$2:$A$6092,[1]PlanCuentas!W$2:W$6092)</f>
        <v>0</v>
      </c>
      <c r="I730" s="12">
        <f>LOOKUP(410050700,[1]PlanCuentas!$A$2:$A$6092,[1]PlanCuentas!W$2:W$6092)</f>
        <v>0</v>
      </c>
      <c r="J730" s="12">
        <f>LOOKUP(410050800,[1]PlanCuentas!$A$2:$A$6092,[1]PlanCuentas!W$2:W$6092)</f>
        <v>0</v>
      </c>
      <c r="K730" s="12">
        <f>LOOKUP(410050900,[1]PlanCuentas!$A$2:$A$6092,[1]PlanCuentas!W$2:W$6092)</f>
        <v>0</v>
      </c>
      <c r="L730" s="12">
        <f>LOOKUP(410051000,[1]PlanCuentas!$A$2:$A$6092,[1]PlanCuentas!W$2:W$6092)</f>
        <v>0</v>
      </c>
      <c r="M730" s="12">
        <f>LOOKUP(410051100,[1]PlanCuentas!$A$2:$A$6092,[1]PlanCuentas!W$2:W$6092)</f>
        <v>0</v>
      </c>
      <c r="N730" s="12">
        <f>LOOKUP(410051200,[1]PlanCuentas!$A$2:$A$6092,[1]PlanCuentas!W$2:W$6092)</f>
        <v>0</v>
      </c>
      <c r="O730" s="12">
        <f>LOOKUP(410051300,[1]PlanCuentas!$A$2:$A$6092,[1]PlanCuentas!W$2:W$6092)</f>
        <v>0</v>
      </c>
      <c r="P730" s="12">
        <f>LOOKUP(410052000,[1]PlanCuentas!$A$2:$A$6092,[1]PlanCuentas!W$2:W$6092)</f>
        <v>0</v>
      </c>
      <c r="Q730" s="13">
        <f t="shared" si="36"/>
        <v>0</v>
      </c>
    </row>
    <row r="731" spans="1:17" x14ac:dyDescent="0.2">
      <c r="A731" s="10">
        <v>22</v>
      </c>
      <c r="B731" s="11" t="str">
        <f>[1]Aseguradoras!B23</f>
        <v>Grupo General de Seguros y Reaseguros S.A.</v>
      </c>
      <c r="C731" s="12">
        <f>LOOKUP(410050100,[1]PlanCuentas!$A$2:$A$6092,[1]PlanCuentas!X$2:X$6092)</f>
        <v>0</v>
      </c>
      <c r="D731" s="12">
        <f>LOOKUP(410050200,[1]PlanCuentas!$A$2:$A$6092,[1]PlanCuentas!X$2:X$6092)</f>
        <v>0</v>
      </c>
      <c r="E731" s="12">
        <f>LOOKUP(410050300,[1]PlanCuentas!$A$2:$A$6092,[1]PlanCuentas!X$2:X$6092)</f>
        <v>0</v>
      </c>
      <c r="F731" s="12">
        <f>LOOKUP(410050400,[1]PlanCuentas!$A$2:$A$6092,[1]PlanCuentas!X$2:X$6092)</f>
        <v>0</v>
      </c>
      <c r="G731" s="12">
        <f>LOOKUP(410050500,[1]PlanCuentas!$A$2:$A$6092,[1]PlanCuentas!X$2:X$6092)</f>
        <v>0</v>
      </c>
      <c r="H731" s="12">
        <f>LOOKUP(410050600,[1]PlanCuentas!$A$2:$A$6092,[1]PlanCuentas!X$2:X$6092)</f>
        <v>0</v>
      </c>
      <c r="I731" s="12">
        <f>LOOKUP(410050700,[1]PlanCuentas!$A$2:$A$6092,[1]PlanCuentas!X$2:X$6092)</f>
        <v>0</v>
      </c>
      <c r="J731" s="12">
        <f>LOOKUP(410050800,[1]PlanCuentas!$A$2:$A$6092,[1]PlanCuentas!X$2:X$6092)</f>
        <v>0</v>
      </c>
      <c r="K731" s="12">
        <f>LOOKUP(410050900,[1]PlanCuentas!$A$2:$A$6092,[1]PlanCuentas!X$2:X$6092)</f>
        <v>0</v>
      </c>
      <c r="L731" s="12">
        <f>LOOKUP(410051000,[1]PlanCuentas!$A$2:$A$6092,[1]PlanCuentas!X$2:X$6092)</f>
        <v>0</v>
      </c>
      <c r="M731" s="12">
        <f>LOOKUP(410051100,[1]PlanCuentas!$A$2:$A$6092,[1]PlanCuentas!X$2:X$6092)</f>
        <v>0</v>
      </c>
      <c r="N731" s="12">
        <f>LOOKUP(410051200,[1]PlanCuentas!$A$2:$A$6092,[1]PlanCuentas!X$2:X$6092)</f>
        <v>0</v>
      </c>
      <c r="O731" s="12">
        <f>LOOKUP(410051300,[1]PlanCuentas!$A$2:$A$6092,[1]PlanCuentas!X$2:X$6092)</f>
        <v>0</v>
      </c>
      <c r="P731" s="12">
        <f>LOOKUP(410052000,[1]PlanCuentas!$A$2:$A$6092,[1]PlanCuentas!X$2:X$6092)</f>
        <v>0</v>
      </c>
      <c r="Q731" s="13">
        <f t="shared" si="36"/>
        <v>0</v>
      </c>
    </row>
    <row r="732" spans="1:17" x14ac:dyDescent="0.2">
      <c r="A732" s="10">
        <v>23</v>
      </c>
      <c r="B732" s="11" t="str">
        <f>[1]Aseguradoras!B24</f>
        <v>Alfa S.A de Seguros y Reaseguros</v>
      </c>
      <c r="C732" s="12">
        <f>LOOKUP(410050100,[1]PlanCuentas!$A$2:$A$6092,[1]PlanCuentas!Y$2:Y$6092)</f>
        <v>0</v>
      </c>
      <c r="D732" s="12">
        <f>LOOKUP(410050200,[1]PlanCuentas!$A$2:$A$6092,[1]PlanCuentas!Y$2:Y$6092)</f>
        <v>0</v>
      </c>
      <c r="E732" s="12">
        <f>LOOKUP(410050300,[1]PlanCuentas!$A$2:$A$6092,[1]PlanCuentas!Y$2:Y$6092)</f>
        <v>0</v>
      </c>
      <c r="F732" s="12">
        <f>LOOKUP(410050400,[1]PlanCuentas!$A$2:$A$6092,[1]PlanCuentas!Y$2:Y$6092)</f>
        <v>0</v>
      </c>
      <c r="G732" s="12">
        <f>LOOKUP(410050500,[1]PlanCuentas!$A$2:$A$6092,[1]PlanCuentas!Y$2:Y$6092)</f>
        <v>0</v>
      </c>
      <c r="H732" s="12">
        <f>LOOKUP(410050600,[1]PlanCuentas!$A$2:$A$6092,[1]PlanCuentas!Y$2:Y$6092)</f>
        <v>0</v>
      </c>
      <c r="I732" s="12">
        <f>LOOKUP(410050700,[1]PlanCuentas!$A$2:$A$6092,[1]PlanCuentas!Y$2:Y$6092)</f>
        <v>0</v>
      </c>
      <c r="J732" s="12">
        <f>LOOKUP(410050800,[1]PlanCuentas!$A$2:$A$6092,[1]PlanCuentas!Y$2:Y$6092)</f>
        <v>0</v>
      </c>
      <c r="K732" s="12">
        <f>LOOKUP(410050900,[1]PlanCuentas!$A$2:$A$6092,[1]PlanCuentas!Y$2:Y$6092)</f>
        <v>0</v>
      </c>
      <c r="L732" s="12">
        <f>LOOKUP(410051000,[1]PlanCuentas!$A$2:$A$6092,[1]PlanCuentas!Y$2:Y$6092)</f>
        <v>0</v>
      </c>
      <c r="M732" s="12">
        <f>LOOKUP(410051100,[1]PlanCuentas!$A$2:$A$6092,[1]PlanCuentas!Y$2:Y$6092)</f>
        <v>0</v>
      </c>
      <c r="N732" s="12">
        <f>LOOKUP(410051200,[1]PlanCuentas!$A$2:$A$6092,[1]PlanCuentas!Y$2:Y$6092)</f>
        <v>0</v>
      </c>
      <c r="O732" s="12">
        <f>LOOKUP(410051300,[1]PlanCuentas!$A$2:$A$6092,[1]PlanCuentas!Y$2:Y$6092)</f>
        <v>0</v>
      </c>
      <c r="P732" s="12">
        <f>LOOKUP(410052000,[1]PlanCuentas!$A$2:$A$6092,[1]PlanCuentas!Y$2:Y$6092)</f>
        <v>0</v>
      </c>
      <c r="Q732" s="13">
        <f t="shared" si="36"/>
        <v>0</v>
      </c>
    </row>
    <row r="733" spans="1:17" x14ac:dyDescent="0.2">
      <c r="A733" s="10">
        <v>24</v>
      </c>
      <c r="B733" s="11" t="str">
        <f>[1]Aseguradoras!B25</f>
        <v>Cenit de Seguros S.A.</v>
      </c>
      <c r="C733" s="12">
        <f>LOOKUP(410050100,[1]PlanCuentas!$A$2:$A$6092,[1]PlanCuentas!Z$2:Z$6092)</f>
        <v>0</v>
      </c>
      <c r="D733" s="12">
        <f>LOOKUP(410050200,[1]PlanCuentas!$A$2:$A$6092,[1]PlanCuentas!Z$2:Z$6092)</f>
        <v>0</v>
      </c>
      <c r="E733" s="12">
        <f>LOOKUP(410050300,[1]PlanCuentas!$A$2:$A$6092,[1]PlanCuentas!Z$2:Z$6092)</f>
        <v>0</v>
      </c>
      <c r="F733" s="12">
        <f>LOOKUP(410050400,[1]PlanCuentas!$A$2:$A$6092,[1]PlanCuentas!Z$2:Z$6092)</f>
        <v>0</v>
      </c>
      <c r="G733" s="12">
        <f>LOOKUP(410050500,[1]PlanCuentas!$A$2:$A$6092,[1]PlanCuentas!Z$2:Z$6092)</f>
        <v>0</v>
      </c>
      <c r="H733" s="12">
        <f>LOOKUP(410050600,[1]PlanCuentas!$A$2:$A$6092,[1]PlanCuentas!Z$2:Z$6092)</f>
        <v>0</v>
      </c>
      <c r="I733" s="12">
        <f>LOOKUP(410050700,[1]PlanCuentas!$A$2:$A$6092,[1]PlanCuentas!Z$2:Z$6092)</f>
        <v>0</v>
      </c>
      <c r="J733" s="12">
        <f>LOOKUP(410050800,[1]PlanCuentas!$A$2:$A$6092,[1]PlanCuentas!Z$2:Z$6092)</f>
        <v>0</v>
      </c>
      <c r="K733" s="12">
        <f>LOOKUP(410050900,[1]PlanCuentas!$A$2:$A$6092,[1]PlanCuentas!Z$2:Z$6092)</f>
        <v>0</v>
      </c>
      <c r="L733" s="12">
        <f>LOOKUP(410051000,[1]PlanCuentas!$A$2:$A$6092,[1]PlanCuentas!Z$2:Z$6092)</f>
        <v>0</v>
      </c>
      <c r="M733" s="12">
        <f>LOOKUP(410051100,[1]PlanCuentas!$A$2:$A$6092,[1]PlanCuentas!Z$2:Z$6092)</f>
        <v>0</v>
      </c>
      <c r="N733" s="12">
        <f>LOOKUP(410051200,[1]PlanCuentas!$A$2:$A$6092,[1]PlanCuentas!Z$2:Z$6092)</f>
        <v>0</v>
      </c>
      <c r="O733" s="12">
        <f>LOOKUP(410051300,[1]PlanCuentas!$A$2:$A$6092,[1]PlanCuentas!Z$2:Z$6092)</f>
        <v>0</v>
      </c>
      <c r="P733" s="12">
        <f>LOOKUP(410052000,[1]PlanCuentas!$A$2:$A$6092,[1]PlanCuentas!Z$2:Z$6092)</f>
        <v>0</v>
      </c>
      <c r="Q733" s="13">
        <f t="shared" si="36"/>
        <v>0</v>
      </c>
    </row>
    <row r="734" spans="1:17" x14ac:dyDescent="0.2">
      <c r="A734" s="10">
        <v>25</v>
      </c>
      <c r="B734" s="11" t="str">
        <f>[1]Aseguradoras!B26</f>
        <v>La Meridional Paraguaya S.A de Seguros</v>
      </c>
      <c r="C734" s="12">
        <f>LOOKUP(410050100,[1]PlanCuentas!$A$2:$A$6092,[1]PlanCuentas!AA$2:AA$6092)</f>
        <v>0</v>
      </c>
      <c r="D734" s="12">
        <f>LOOKUP(410050200,[1]PlanCuentas!$A$2:$A$6092,[1]PlanCuentas!AA$2:AA$6092)</f>
        <v>0</v>
      </c>
      <c r="E734" s="12">
        <f>LOOKUP(410050300,[1]PlanCuentas!$A$2:$A$6092,[1]PlanCuentas!AA$2:AA$6092)</f>
        <v>0</v>
      </c>
      <c r="F734" s="12">
        <f>LOOKUP(410050400,[1]PlanCuentas!$A$2:$A$6092,[1]PlanCuentas!AA$2:AA$6092)</f>
        <v>0</v>
      </c>
      <c r="G734" s="12">
        <f>LOOKUP(410050500,[1]PlanCuentas!$A$2:$A$6092,[1]PlanCuentas!AA$2:AA$6092)</f>
        <v>0</v>
      </c>
      <c r="H734" s="12">
        <f>LOOKUP(410050600,[1]PlanCuentas!$A$2:$A$6092,[1]PlanCuentas!AA$2:AA$6092)</f>
        <v>0</v>
      </c>
      <c r="I734" s="12">
        <f>LOOKUP(410050700,[1]PlanCuentas!$A$2:$A$6092,[1]PlanCuentas!AA$2:AA$6092)</f>
        <v>0</v>
      </c>
      <c r="J734" s="12">
        <f>LOOKUP(410050800,[1]PlanCuentas!$A$2:$A$6092,[1]PlanCuentas!AA$2:AA$6092)</f>
        <v>0</v>
      </c>
      <c r="K734" s="12">
        <f>LOOKUP(410050900,[1]PlanCuentas!$A$2:$A$6092,[1]PlanCuentas!AA$2:AA$6092)</f>
        <v>0</v>
      </c>
      <c r="L734" s="12">
        <f>LOOKUP(410051000,[1]PlanCuentas!$A$2:$A$6092,[1]PlanCuentas!AA$2:AA$6092)</f>
        <v>0</v>
      </c>
      <c r="M734" s="12">
        <f>LOOKUP(410051100,[1]PlanCuentas!$A$2:$A$6092,[1]PlanCuentas!AA$2:AA$6092)</f>
        <v>0</v>
      </c>
      <c r="N734" s="12">
        <f>LOOKUP(410051200,[1]PlanCuentas!$A$2:$A$6092,[1]PlanCuentas!AA$2:AA$6092)</f>
        <v>0</v>
      </c>
      <c r="O734" s="12">
        <f>LOOKUP(410051300,[1]PlanCuentas!$A$2:$A$6092,[1]PlanCuentas!AA$2:AA$6092)</f>
        <v>0</v>
      </c>
      <c r="P734" s="12">
        <f>LOOKUP(410052000,[1]PlanCuentas!$A$2:$A$6092,[1]PlanCuentas!AA$2:AA$6092)</f>
        <v>0</v>
      </c>
      <c r="Q734" s="13">
        <f t="shared" si="36"/>
        <v>0</v>
      </c>
    </row>
    <row r="735" spans="1:17" x14ac:dyDescent="0.2">
      <c r="A735" s="10">
        <v>26</v>
      </c>
      <c r="B735" s="11" t="str">
        <f>[1]Aseguradoras!B27</f>
        <v>Aseguradora Del Este S.A de Seguros y Reaseguros</v>
      </c>
      <c r="C735" s="12">
        <f>LOOKUP(410050100,[1]PlanCuentas!$A$2:$A$6092,[1]PlanCuentas!AB$2:AB$6092)</f>
        <v>0</v>
      </c>
      <c r="D735" s="12">
        <f>LOOKUP(410050200,[1]PlanCuentas!$A$2:$A$6092,[1]PlanCuentas!AB$2:AB$6092)</f>
        <v>0</v>
      </c>
      <c r="E735" s="12">
        <f>LOOKUP(410050300,[1]PlanCuentas!$A$2:$A$6092,[1]PlanCuentas!AB$2:AB$6092)</f>
        <v>0</v>
      </c>
      <c r="F735" s="12">
        <f>LOOKUP(410050400,[1]PlanCuentas!$A$2:$A$6092,[1]PlanCuentas!AB$2:AB$6092)</f>
        <v>0</v>
      </c>
      <c r="G735" s="12">
        <f>LOOKUP(410050500,[1]PlanCuentas!$A$2:$A$6092,[1]PlanCuentas!AB$2:AB$6092)</f>
        <v>0</v>
      </c>
      <c r="H735" s="12">
        <f>LOOKUP(410050600,[1]PlanCuentas!$A$2:$A$6092,[1]PlanCuentas!AB$2:AB$6092)</f>
        <v>0</v>
      </c>
      <c r="I735" s="12">
        <f>LOOKUP(410050700,[1]PlanCuentas!$A$2:$A$6092,[1]PlanCuentas!AB$2:AB$6092)</f>
        <v>0</v>
      </c>
      <c r="J735" s="12">
        <f>LOOKUP(410050800,[1]PlanCuentas!$A$2:$A$6092,[1]PlanCuentas!AB$2:AB$6092)</f>
        <v>0</v>
      </c>
      <c r="K735" s="12">
        <f>LOOKUP(410050900,[1]PlanCuentas!$A$2:$A$6092,[1]PlanCuentas!AB$2:AB$6092)</f>
        <v>0</v>
      </c>
      <c r="L735" s="12">
        <f>LOOKUP(410051000,[1]PlanCuentas!$A$2:$A$6092,[1]PlanCuentas!AB$2:AB$6092)</f>
        <v>0</v>
      </c>
      <c r="M735" s="12">
        <f>LOOKUP(410051100,[1]PlanCuentas!$A$2:$A$6092,[1]PlanCuentas!AB$2:AB$6092)</f>
        <v>0</v>
      </c>
      <c r="N735" s="12">
        <f>LOOKUP(410051200,[1]PlanCuentas!$A$2:$A$6092,[1]PlanCuentas!AB$2:AB$6092)</f>
        <v>0</v>
      </c>
      <c r="O735" s="12">
        <f>LOOKUP(410051300,[1]PlanCuentas!$A$2:$A$6092,[1]PlanCuentas!AB$2:AB$6092)</f>
        <v>0</v>
      </c>
      <c r="P735" s="12">
        <f>LOOKUP(410052000,[1]PlanCuentas!$A$2:$A$6092,[1]PlanCuentas!AB$2:AB$6092)</f>
        <v>0</v>
      </c>
      <c r="Q735" s="13">
        <f t="shared" si="36"/>
        <v>0</v>
      </c>
    </row>
    <row r="736" spans="1:17" x14ac:dyDescent="0.2">
      <c r="A736" s="10">
        <v>27</v>
      </c>
      <c r="B736" s="11" t="str">
        <f>[1]Aseguradoras!B28</f>
        <v>Imperio S.A de Seguros y Reaseguros</v>
      </c>
      <c r="C736" s="12">
        <f>LOOKUP(410050100,[1]PlanCuentas!$A$2:$A$6092,[1]PlanCuentas!AC$2:AC$6092)</f>
        <v>0</v>
      </c>
      <c r="D736" s="12">
        <f>LOOKUP(410050200,[1]PlanCuentas!$A$2:$A$6092,[1]PlanCuentas!AC$2:AC$6092)</f>
        <v>0</v>
      </c>
      <c r="E736" s="12">
        <f>LOOKUP(410050300,[1]PlanCuentas!$A$2:$A$6092,[1]PlanCuentas!AC$2:AC$6092)</f>
        <v>0</v>
      </c>
      <c r="F736" s="12">
        <f>LOOKUP(410050400,[1]PlanCuentas!$A$2:$A$6092,[1]PlanCuentas!AC$2:AC$6092)</f>
        <v>0</v>
      </c>
      <c r="G736" s="12">
        <f>LOOKUP(410050500,[1]PlanCuentas!$A$2:$A$6092,[1]PlanCuentas!AC$2:AC$6092)</f>
        <v>0</v>
      </c>
      <c r="H736" s="12">
        <f>LOOKUP(410050600,[1]PlanCuentas!$A$2:$A$6092,[1]PlanCuentas!AC$2:AC$6092)</f>
        <v>0</v>
      </c>
      <c r="I736" s="12">
        <f>LOOKUP(410050700,[1]PlanCuentas!$A$2:$A$6092,[1]PlanCuentas!AC$2:AC$6092)</f>
        <v>0</v>
      </c>
      <c r="J736" s="12">
        <f>LOOKUP(410050800,[1]PlanCuentas!$A$2:$A$6092,[1]PlanCuentas!AC$2:AC$6092)</f>
        <v>0</v>
      </c>
      <c r="K736" s="12">
        <f>LOOKUP(410050900,[1]PlanCuentas!$A$2:$A$6092,[1]PlanCuentas!AC$2:AC$6092)</f>
        <v>0</v>
      </c>
      <c r="L736" s="12">
        <f>LOOKUP(410051000,[1]PlanCuentas!$A$2:$A$6092,[1]PlanCuentas!AC$2:AC$6092)</f>
        <v>0</v>
      </c>
      <c r="M736" s="12">
        <f>LOOKUP(410051100,[1]PlanCuentas!$A$2:$A$6092,[1]PlanCuentas!AC$2:AC$6092)</f>
        <v>0</v>
      </c>
      <c r="N736" s="12">
        <f>LOOKUP(410051200,[1]PlanCuentas!$A$2:$A$6092,[1]PlanCuentas!AC$2:AC$6092)</f>
        <v>0</v>
      </c>
      <c r="O736" s="12">
        <f>LOOKUP(410051300,[1]PlanCuentas!$A$2:$A$6092,[1]PlanCuentas!AC$2:AC$6092)</f>
        <v>0</v>
      </c>
      <c r="P736" s="12">
        <f>LOOKUP(410052000,[1]PlanCuentas!$A$2:$A$6092,[1]PlanCuentas!AC$2:AC$6092)</f>
        <v>0</v>
      </c>
      <c r="Q736" s="13">
        <f t="shared" si="36"/>
        <v>0</v>
      </c>
    </row>
    <row r="737" spans="1:24" x14ac:dyDescent="0.2">
      <c r="A737" s="10">
        <v>28</v>
      </c>
      <c r="B737" s="11" t="str">
        <f>[1]Aseguradoras!B29</f>
        <v>Regional S.A de Seguros y Reaseguros</v>
      </c>
      <c r="C737" s="12">
        <f>LOOKUP(410050100,[1]PlanCuentas!$A$2:$A$6092,[1]PlanCuentas!AD$2:AD$6092)</f>
        <v>0</v>
      </c>
      <c r="D737" s="12">
        <f>LOOKUP(410050200,[1]PlanCuentas!$A$2:$A$6092,[1]PlanCuentas!AD$2:AD$6092)</f>
        <v>0</v>
      </c>
      <c r="E737" s="12">
        <f>LOOKUP(410050300,[1]PlanCuentas!$A$2:$A$6092,[1]PlanCuentas!AD$2:AD$6092)</f>
        <v>0</v>
      </c>
      <c r="F737" s="12">
        <f>LOOKUP(410050400,[1]PlanCuentas!$A$2:$A$6092,[1]PlanCuentas!AD$2:AD$6092)</f>
        <v>0</v>
      </c>
      <c r="G737" s="12">
        <f>LOOKUP(410050500,[1]PlanCuentas!$A$2:$A$6092,[1]PlanCuentas!AD$2:AD$6092)</f>
        <v>0</v>
      </c>
      <c r="H737" s="12">
        <f>LOOKUP(410050600,[1]PlanCuentas!$A$2:$A$6092,[1]PlanCuentas!AD$2:AD$6092)</f>
        <v>0</v>
      </c>
      <c r="I737" s="12">
        <f>LOOKUP(410050700,[1]PlanCuentas!$A$2:$A$6092,[1]PlanCuentas!AD$2:AD$6092)</f>
        <v>0</v>
      </c>
      <c r="J737" s="12">
        <f>LOOKUP(410050800,[1]PlanCuentas!$A$2:$A$6092,[1]PlanCuentas!AD$2:AD$6092)</f>
        <v>0</v>
      </c>
      <c r="K737" s="12">
        <f>LOOKUP(410050900,[1]PlanCuentas!$A$2:$A$6092,[1]PlanCuentas!AD$2:AD$6092)</f>
        <v>0</v>
      </c>
      <c r="L737" s="12">
        <f>LOOKUP(410051000,[1]PlanCuentas!$A$2:$A$6092,[1]PlanCuentas!AD$2:AD$6092)</f>
        <v>0</v>
      </c>
      <c r="M737" s="12">
        <f>LOOKUP(410051100,[1]PlanCuentas!$A$2:$A$6092,[1]PlanCuentas!AD$2:AD$6092)</f>
        <v>0</v>
      </c>
      <c r="N737" s="12">
        <f>LOOKUP(410051200,[1]PlanCuentas!$A$2:$A$6092,[1]PlanCuentas!AD$2:AD$6092)</f>
        <v>0</v>
      </c>
      <c r="O737" s="12">
        <f>LOOKUP(410051300,[1]PlanCuentas!$A$2:$A$6092,[1]PlanCuentas!AD$2:AD$6092)</f>
        <v>0</v>
      </c>
      <c r="P737" s="12">
        <f>LOOKUP(410052000,[1]PlanCuentas!$A$2:$A$6092,[1]PlanCuentas!AD$2:AD$6092)</f>
        <v>0</v>
      </c>
      <c r="Q737" s="13">
        <f t="shared" si="36"/>
        <v>0</v>
      </c>
    </row>
    <row r="738" spans="1:24" s="37" customFormat="1" x14ac:dyDescent="0.2">
      <c r="A738" s="10">
        <v>29</v>
      </c>
      <c r="B738" s="11" t="str">
        <f>[1]Aseguradoras!B30</f>
        <v>Mapfre Paraguay Compañía de Seguros S.A.</v>
      </c>
      <c r="C738" s="12">
        <f>LOOKUP(410050100,[1]PlanCuentas!$A$2:$A$6092,[1]PlanCuentas!AE$2:AE$6092)</f>
        <v>0</v>
      </c>
      <c r="D738" s="12">
        <f>LOOKUP(410050200,[1]PlanCuentas!$A$2:$A$6092,[1]PlanCuentas!AE$2:AE$6092)</f>
        <v>0</v>
      </c>
      <c r="E738" s="12">
        <f>LOOKUP(410050300,[1]PlanCuentas!$A$2:$A$6092,[1]PlanCuentas!AE$2:AE$6092)</f>
        <v>0</v>
      </c>
      <c r="F738" s="12">
        <f>LOOKUP(410050400,[1]PlanCuentas!$A$2:$A$6092,[1]PlanCuentas!AE$2:AE$6092)</f>
        <v>0</v>
      </c>
      <c r="G738" s="12">
        <f>LOOKUP(410050500,[1]PlanCuentas!$A$2:$A$6092,[1]PlanCuentas!AE$2:AE$6092)</f>
        <v>0</v>
      </c>
      <c r="H738" s="12">
        <f>LOOKUP(410050600,[1]PlanCuentas!$A$2:$A$6092,[1]PlanCuentas!AE$2:AE$6092)</f>
        <v>0</v>
      </c>
      <c r="I738" s="12">
        <f>LOOKUP(410050700,[1]PlanCuentas!$A$2:$A$6092,[1]PlanCuentas!AE$2:AE$6092)</f>
        <v>0</v>
      </c>
      <c r="J738" s="12">
        <f>LOOKUP(410050800,[1]PlanCuentas!$A$2:$A$6092,[1]PlanCuentas!AE$2:AE$6092)</f>
        <v>0</v>
      </c>
      <c r="K738" s="12">
        <f>LOOKUP(410050900,[1]PlanCuentas!$A$2:$A$6092,[1]PlanCuentas!AE$2:AE$6092)</f>
        <v>0</v>
      </c>
      <c r="L738" s="12">
        <f>LOOKUP(410051000,[1]PlanCuentas!$A$2:$A$6092,[1]PlanCuentas!AE$2:AE$6092)</f>
        <v>0</v>
      </c>
      <c r="M738" s="12">
        <f>LOOKUP(410051100,[1]PlanCuentas!$A$2:$A$6092,[1]PlanCuentas!AE$2:AE$6092)</f>
        <v>0</v>
      </c>
      <c r="N738" s="12">
        <f>LOOKUP(410051200,[1]PlanCuentas!$A$2:$A$6092,[1]PlanCuentas!AE$2:AE$6092)</f>
        <v>0</v>
      </c>
      <c r="O738" s="12">
        <f>LOOKUP(410051300,[1]PlanCuentas!$A$2:$A$6092,[1]PlanCuentas!AE$2:AE$6092)</f>
        <v>0</v>
      </c>
      <c r="P738" s="12">
        <f>LOOKUP(410052000,[1]PlanCuentas!$A$2:$A$6092,[1]PlanCuentas!AE$2:AE$6092)</f>
        <v>0</v>
      </c>
      <c r="Q738" s="13">
        <f t="shared" si="36"/>
        <v>0</v>
      </c>
    </row>
    <row r="739" spans="1:24" x14ac:dyDescent="0.2">
      <c r="A739" s="10">
        <v>30</v>
      </c>
      <c r="B739" s="11" t="str">
        <f>[1]Aseguradoras!B31</f>
        <v>Aseguradora Tajy Propiedad Cooperativa S.A. de Seguros</v>
      </c>
      <c r="C739" s="12">
        <f>LOOKUP(410050100,[1]PlanCuentas!$A$2:$A$6092,[1]PlanCuentas!AF$2:AF$6092)</f>
        <v>0</v>
      </c>
      <c r="D739" s="12">
        <f>LOOKUP(410050200,[1]PlanCuentas!$A$2:$A$6092,[1]PlanCuentas!AF$2:AF$6092)</f>
        <v>0</v>
      </c>
      <c r="E739" s="12">
        <f>LOOKUP(410050300,[1]PlanCuentas!$A$2:$A$6092,[1]PlanCuentas!AF$2:AF$6092)</f>
        <v>0</v>
      </c>
      <c r="F739" s="12">
        <f>LOOKUP(410050400,[1]PlanCuentas!$A$2:$A$6092,[1]PlanCuentas!AF$2:AF$6092)</f>
        <v>0</v>
      </c>
      <c r="G739" s="12">
        <f>LOOKUP(410050500,[1]PlanCuentas!$A$2:$A$6092,[1]PlanCuentas!AF$2:AF$6092)</f>
        <v>0</v>
      </c>
      <c r="H739" s="12">
        <f>LOOKUP(410050600,[1]PlanCuentas!$A$2:$A$6092,[1]PlanCuentas!AF$2:AF$6092)</f>
        <v>0</v>
      </c>
      <c r="I739" s="12">
        <f>LOOKUP(410050700,[1]PlanCuentas!$A$2:$A$6092,[1]PlanCuentas!AF$2:AF$6092)</f>
        <v>0</v>
      </c>
      <c r="J739" s="12">
        <f>LOOKUP(410050800,[1]PlanCuentas!$A$2:$A$6092,[1]PlanCuentas!AF$2:AF$6092)</f>
        <v>0</v>
      </c>
      <c r="K739" s="12">
        <f>LOOKUP(410050900,[1]PlanCuentas!$A$2:$A$6092,[1]PlanCuentas!AF$2:AF$6092)</f>
        <v>0</v>
      </c>
      <c r="L739" s="12">
        <f>LOOKUP(410051000,[1]PlanCuentas!$A$2:$A$6092,[1]PlanCuentas!AF$2:AF$6092)</f>
        <v>0</v>
      </c>
      <c r="M739" s="12">
        <f>LOOKUP(410051100,[1]PlanCuentas!$A$2:$A$6092,[1]PlanCuentas!AF$2:AF$6092)</f>
        <v>0</v>
      </c>
      <c r="N739" s="12">
        <f>LOOKUP(410051200,[1]PlanCuentas!$A$2:$A$6092,[1]PlanCuentas!AF$2:AF$6092)</f>
        <v>0</v>
      </c>
      <c r="O739" s="12">
        <f>LOOKUP(410051300,[1]PlanCuentas!$A$2:$A$6092,[1]PlanCuentas!AF$2:AF$6092)</f>
        <v>0</v>
      </c>
      <c r="P739" s="12">
        <f>LOOKUP(410052000,[1]PlanCuentas!$A$2:$A$6092,[1]PlanCuentas!AF$2:AF$6092)</f>
        <v>0</v>
      </c>
      <c r="Q739" s="13">
        <f t="shared" si="36"/>
        <v>0</v>
      </c>
    </row>
    <row r="740" spans="1:24" x14ac:dyDescent="0.2">
      <c r="A740" s="10">
        <v>31</v>
      </c>
      <c r="B740" s="11" t="str">
        <f>[1]Aseguradoras!B32</f>
        <v>Aseguradora del Sur S.A. Seguros Generales - ASUR</v>
      </c>
      <c r="C740" s="12">
        <f>LOOKUP(410050100,[1]PlanCuentas!$A$2:$A$6092,[1]PlanCuentas!AG$2:AG$6092)</f>
        <v>0</v>
      </c>
      <c r="D740" s="12">
        <f>LOOKUP(410050200,[1]PlanCuentas!$A$2:$A$6092,[1]PlanCuentas!AG$2:AG$6092)</f>
        <v>0</v>
      </c>
      <c r="E740" s="12">
        <f>LOOKUP(410050300,[1]PlanCuentas!$A$2:$A$6092,[1]PlanCuentas!AG$2:AG$6092)</f>
        <v>0</v>
      </c>
      <c r="F740" s="12">
        <f>LOOKUP(410050400,[1]PlanCuentas!$A$2:$A$6092,[1]PlanCuentas!AG$2:AG$6092)</f>
        <v>0</v>
      </c>
      <c r="G740" s="12">
        <f>LOOKUP(410050500,[1]PlanCuentas!$A$2:$A$6092,[1]PlanCuentas!AG$2:AG$6092)</f>
        <v>0</v>
      </c>
      <c r="H740" s="12">
        <f>LOOKUP(410050600,[1]PlanCuentas!$A$2:$A$6092,[1]PlanCuentas!AG$2:AG$6092)</f>
        <v>0</v>
      </c>
      <c r="I740" s="12">
        <f>LOOKUP(410050700,[1]PlanCuentas!$A$2:$A$6092,[1]PlanCuentas!AG$2:AG$6092)</f>
        <v>0</v>
      </c>
      <c r="J740" s="12">
        <f>LOOKUP(410050800,[1]PlanCuentas!$A$2:$A$6092,[1]PlanCuentas!AG$2:AG$6092)</f>
        <v>0</v>
      </c>
      <c r="K740" s="12">
        <f>LOOKUP(410050900,[1]PlanCuentas!$A$2:$A$6092,[1]PlanCuentas!AG$2:AG$6092)</f>
        <v>0</v>
      </c>
      <c r="L740" s="12">
        <f>LOOKUP(410051000,[1]PlanCuentas!$A$2:$A$6092,[1]PlanCuentas!AG$2:AG$6092)</f>
        <v>0</v>
      </c>
      <c r="M740" s="12">
        <f>LOOKUP(410051100,[1]PlanCuentas!$A$2:$A$6092,[1]PlanCuentas!AG$2:AG$6092)</f>
        <v>0</v>
      </c>
      <c r="N740" s="12">
        <f>LOOKUP(410051200,[1]PlanCuentas!$A$2:$A$6092,[1]PlanCuentas!AG$2:AG$6092)</f>
        <v>0</v>
      </c>
      <c r="O740" s="12">
        <f>LOOKUP(410051300,[1]PlanCuentas!$A$2:$A$6092,[1]PlanCuentas!AG$2:AG$6092)</f>
        <v>0</v>
      </c>
      <c r="P740" s="12">
        <f>LOOKUP(410052000,[1]PlanCuentas!$A$2:$A$6092,[1]PlanCuentas!AG$2:AG$6092)</f>
        <v>0</v>
      </c>
      <c r="Q740" s="13">
        <f t="shared" si="36"/>
        <v>0</v>
      </c>
      <c r="R740" s="5"/>
      <c r="S740" s="5"/>
      <c r="T740" s="5"/>
      <c r="U740" s="5"/>
      <c r="V740" s="5"/>
      <c r="W740" s="5"/>
      <c r="X740" s="5"/>
    </row>
    <row r="741" spans="1:24" x14ac:dyDescent="0.2">
      <c r="A741" s="10">
        <v>32</v>
      </c>
      <c r="B741" s="11" t="str">
        <f>[1]Aseguradoras!B33</f>
        <v>Panal Compañía De Seguros Generales S.A.</v>
      </c>
      <c r="C741" s="12">
        <f>LOOKUP(410050100,[1]PlanCuentas!$A$2:$A$6092,[1]PlanCuentas!AH$2:AH$6092)</f>
        <v>0</v>
      </c>
      <c r="D741" s="12">
        <f>LOOKUP(410050200,[1]PlanCuentas!$A$2:$A$6092,[1]PlanCuentas!AH$2:AH$6092)</f>
        <v>0</v>
      </c>
      <c r="E741" s="12">
        <f>LOOKUP(410050300,[1]PlanCuentas!$A$2:$A$6092,[1]PlanCuentas!AH$2:AH$6092)</f>
        <v>0</v>
      </c>
      <c r="F741" s="12">
        <f>LOOKUP(410050400,[1]PlanCuentas!$A$2:$A$6092,[1]PlanCuentas!AH$2:AH$6092)</f>
        <v>0</v>
      </c>
      <c r="G741" s="12">
        <f>LOOKUP(410050500,[1]PlanCuentas!$A$2:$A$6092,[1]PlanCuentas!AH$2:AH$6092)</f>
        <v>0</v>
      </c>
      <c r="H741" s="12">
        <f>LOOKUP(410050600,[1]PlanCuentas!$A$2:$A$6092,[1]PlanCuentas!AH$2:AH$6092)</f>
        <v>0</v>
      </c>
      <c r="I741" s="12">
        <f>LOOKUP(410050700,[1]PlanCuentas!$A$2:$A$6092,[1]PlanCuentas!AH$2:AH$6092)</f>
        <v>0</v>
      </c>
      <c r="J741" s="12">
        <f>LOOKUP(410050800,[1]PlanCuentas!$A$2:$A$6092,[1]PlanCuentas!AH$2:AH$6092)</f>
        <v>0</v>
      </c>
      <c r="K741" s="12">
        <f>LOOKUP(410050900,[1]PlanCuentas!$A$2:$A$6092,[1]PlanCuentas!AH$2:AH$6092)</f>
        <v>0</v>
      </c>
      <c r="L741" s="12">
        <f>LOOKUP(410051000,[1]PlanCuentas!$A$2:$A$6092,[1]PlanCuentas!AH$2:AH$6092)</f>
        <v>0</v>
      </c>
      <c r="M741" s="12">
        <f>LOOKUP(410051100,[1]PlanCuentas!$A$2:$A$6092,[1]PlanCuentas!AH$2:AH$6092)</f>
        <v>0</v>
      </c>
      <c r="N741" s="12">
        <f>LOOKUP(410051200,[1]PlanCuentas!$A$2:$A$6092,[1]PlanCuentas!AH$2:AH$6092)</f>
        <v>0</v>
      </c>
      <c r="O741" s="12">
        <f>LOOKUP(410051300,[1]PlanCuentas!$A$2:$A$6092,[1]PlanCuentas!AH$2:AH$6092)</f>
        <v>0</v>
      </c>
      <c r="P741" s="12">
        <f>LOOKUP(410052000,[1]PlanCuentas!$A$2:$A$6092,[1]PlanCuentas!AH$2:AH$6092)</f>
        <v>0</v>
      </c>
      <c r="Q741" s="13">
        <f t="shared" si="36"/>
        <v>0</v>
      </c>
    </row>
    <row r="742" spans="1:24" x14ac:dyDescent="0.2">
      <c r="A742" s="14">
        <v>33</v>
      </c>
      <c r="B742" s="19" t="str">
        <f>[1]Aseguradoras!B34</f>
        <v>Sancor Seguros del Paraguay S.A.</v>
      </c>
      <c r="C742" s="12">
        <f>LOOKUP(410050100,[1]PlanCuentas!$A$2:$A$6092,[1]PlanCuentas!AI$2:AI$6092)</f>
        <v>0</v>
      </c>
      <c r="D742" s="12">
        <f>LOOKUP(410050200,[1]PlanCuentas!$A$2:$A$6092,[1]PlanCuentas!AI$2:AI$6092)</f>
        <v>0</v>
      </c>
      <c r="E742" s="12">
        <f>LOOKUP(410050300,[1]PlanCuentas!$A$2:$A$6092,[1]PlanCuentas!AI$2:AI$6092)</f>
        <v>0</v>
      </c>
      <c r="F742" s="12">
        <f>LOOKUP(410050400,[1]PlanCuentas!$A$2:$A$6092,[1]PlanCuentas!AI$2:AI$6092)</f>
        <v>0</v>
      </c>
      <c r="G742" s="12">
        <f>LOOKUP(410050500,[1]PlanCuentas!$A$2:$A$6092,[1]PlanCuentas!AI$2:AI$6092)</f>
        <v>0</v>
      </c>
      <c r="H742" s="12">
        <f>LOOKUP(410050600,[1]PlanCuentas!$A$2:$A$6092,[1]PlanCuentas!AI$2:AI$6092)</f>
        <v>0</v>
      </c>
      <c r="I742" s="12">
        <f>LOOKUP(410050700,[1]PlanCuentas!$A$2:$A$6092,[1]PlanCuentas!AI$2:AI$6092)</f>
        <v>0</v>
      </c>
      <c r="J742" s="12">
        <f>LOOKUP(410050800,[1]PlanCuentas!$A$2:$A$6092,[1]PlanCuentas!AI$2:AI$6092)</f>
        <v>0</v>
      </c>
      <c r="K742" s="12">
        <f>LOOKUP(410050900,[1]PlanCuentas!$A$2:$A$6092,[1]PlanCuentas!AI$2:AI$6092)</f>
        <v>0</v>
      </c>
      <c r="L742" s="12">
        <f>LOOKUP(410051000,[1]PlanCuentas!$A$2:$A$6092,[1]PlanCuentas!AI$2:AI$6092)</f>
        <v>0</v>
      </c>
      <c r="M742" s="12">
        <f>LOOKUP(410051100,[1]PlanCuentas!$A$2:$A$6092,[1]PlanCuentas!AI$2:AI$6092)</f>
        <v>0</v>
      </c>
      <c r="N742" s="12">
        <f>LOOKUP(410051200,[1]PlanCuentas!$A$2:$A$6092,[1]PlanCuentas!AI$2:AI$6092)</f>
        <v>0</v>
      </c>
      <c r="O742" s="12">
        <f>LOOKUP(410051300,[1]PlanCuentas!$A$2:$A$6092,[1]PlanCuentas!AI$2:AI$6092)</f>
        <v>0</v>
      </c>
      <c r="P742" s="12">
        <f>LOOKUP(410052000,[1]PlanCuentas!$A$2:$A$6092,[1]PlanCuentas!AI$2:AI$6092)</f>
        <v>0</v>
      </c>
      <c r="Q742" s="13">
        <f>SUM(C742:P742)</f>
        <v>0</v>
      </c>
    </row>
    <row r="743" spans="1:24" x14ac:dyDescent="0.2">
      <c r="A743" s="14"/>
      <c r="B743" s="15" t="s">
        <v>18</v>
      </c>
      <c r="C743" s="16">
        <f t="shared" ref="C743:Q743" si="37">SUBTOTAL(109,C710:C742)</f>
        <v>0</v>
      </c>
      <c r="D743" s="16">
        <f t="shared" si="37"/>
        <v>0</v>
      </c>
      <c r="E743" s="16">
        <f t="shared" si="37"/>
        <v>0</v>
      </c>
      <c r="F743" s="16">
        <f t="shared" si="37"/>
        <v>0</v>
      </c>
      <c r="G743" s="16">
        <f t="shared" si="37"/>
        <v>0</v>
      </c>
      <c r="H743" s="16">
        <f t="shared" si="37"/>
        <v>0</v>
      </c>
      <c r="I743" s="16">
        <f t="shared" si="37"/>
        <v>0</v>
      </c>
      <c r="J743" s="16">
        <f t="shared" si="37"/>
        <v>0</v>
      </c>
      <c r="K743" s="16">
        <f t="shared" si="37"/>
        <v>0</v>
      </c>
      <c r="L743" s="16">
        <f t="shared" si="37"/>
        <v>0</v>
      </c>
      <c r="M743" s="16">
        <f t="shared" si="37"/>
        <v>0</v>
      </c>
      <c r="N743" s="16">
        <f t="shared" si="37"/>
        <v>0</v>
      </c>
      <c r="O743" s="16">
        <f t="shared" si="37"/>
        <v>0</v>
      </c>
      <c r="P743" s="16">
        <f t="shared" si="37"/>
        <v>0</v>
      </c>
      <c r="Q743" s="16">
        <f t="shared" si="37"/>
        <v>0</v>
      </c>
    </row>
    <row r="744" spans="1:24" x14ac:dyDescent="0.2"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</row>
    <row r="745" spans="1:24" ht="28.35" customHeight="1" x14ac:dyDescent="0.2">
      <c r="A745" s="1" t="s">
        <v>48</v>
      </c>
      <c r="B745" s="47" t="s">
        <v>49</v>
      </c>
      <c r="C745" s="47"/>
      <c r="D745" s="2"/>
      <c r="E745" s="30"/>
      <c r="F745" s="4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</row>
    <row r="746" spans="1:24" ht="24" x14ac:dyDescent="0.2">
      <c r="A746" s="7" t="s">
        <v>2</v>
      </c>
      <c r="B746" s="8" t="s">
        <v>3</v>
      </c>
      <c r="C746" s="9" t="s">
        <v>4</v>
      </c>
      <c r="D746" s="9" t="s">
        <v>5</v>
      </c>
      <c r="E746" s="9" t="s">
        <v>6</v>
      </c>
      <c r="F746" s="36" t="s">
        <v>7</v>
      </c>
      <c r="G746" s="9" t="s">
        <v>8</v>
      </c>
      <c r="H746" s="9" t="s">
        <v>9</v>
      </c>
      <c r="I746" s="9" t="s">
        <v>10</v>
      </c>
      <c r="J746" s="9" t="s">
        <v>11</v>
      </c>
      <c r="K746" s="9" t="s">
        <v>12</v>
      </c>
      <c r="L746" s="9" t="s">
        <v>13</v>
      </c>
      <c r="M746" s="9" t="s">
        <v>14</v>
      </c>
      <c r="N746" s="9" t="s">
        <v>15</v>
      </c>
      <c r="O746" s="9" t="s">
        <v>16</v>
      </c>
      <c r="P746" s="8" t="s">
        <v>17</v>
      </c>
      <c r="Q746" s="8" t="s">
        <v>18</v>
      </c>
    </row>
    <row r="747" spans="1:24" x14ac:dyDescent="0.2">
      <c r="A747" s="10">
        <v>1</v>
      </c>
      <c r="B747" s="11" t="str">
        <f>[1]Aseguradoras!B2</f>
        <v>El Comercio Paraguayo S.A. de Seguros</v>
      </c>
      <c r="C747" s="12">
        <f>LOOKUP(411010100,[1]PlanCuentas!$A$2:$A$6092,[1]PlanCuentas!C$2:C$6092)</f>
        <v>338118644</v>
      </c>
      <c r="D747" s="12">
        <f>LOOKUP(411010200,[1]PlanCuentas!$A$2:$A$6092,[1]PlanCuentas!C$2:C$6092)</f>
        <v>163176988</v>
      </c>
      <c r="E747" s="12">
        <f>LOOKUP(411010300,[1]PlanCuentas!$A$2:$A$6092,[1]PlanCuentas!C$2:C$6092)</f>
        <v>40285159</v>
      </c>
      <c r="F747" s="12">
        <f>LOOKUP(411010400,[1]PlanCuentas!$A$2:$A$6092,[1]PlanCuentas!C$2:C$6092)</f>
        <v>0</v>
      </c>
      <c r="G747" s="12">
        <f>LOOKUP(411010500,[1]PlanCuentas!$A$2:$A$6092,[1]PlanCuentas!C$2:C$6092)</f>
        <v>0</v>
      </c>
      <c r="H747" s="12">
        <f>LOOKUP(411010600,[1]PlanCuentas!$A$2:$A$6092,[1]PlanCuentas!C$2:C$6092)</f>
        <v>39723043</v>
      </c>
      <c r="I747" s="12">
        <f>LOOKUP(411010700,[1]PlanCuentas!$A$2:$A$6092,[1]PlanCuentas!C$2:C$6092)</f>
        <v>1357025</v>
      </c>
      <c r="J747" s="12">
        <f>LOOKUP(411010800,[1]PlanCuentas!$A$2:$A$6092,[1]PlanCuentas!C$2:C$6092)</f>
        <v>0</v>
      </c>
      <c r="K747" s="12">
        <f>LOOKUP(411010900,[1]PlanCuentas!$A$2:$A$6092,[1]PlanCuentas!C$2:C$6092)</f>
        <v>22475460</v>
      </c>
      <c r="L747" s="12">
        <f>LOOKUP(411011000,[1]PlanCuentas!$A$2:$A$6092,[1]PlanCuentas!C$2:C$6092)</f>
        <v>518945912</v>
      </c>
      <c r="M747" s="12">
        <f>LOOKUP(411011100,[1]PlanCuentas!$A$2:$A$6092,[1]PlanCuentas!C$2:C$6092)</f>
        <v>7012994</v>
      </c>
      <c r="N747" s="12">
        <f>LOOKUP(411011200,[1]PlanCuentas!$A$2:$A$6092,[1]PlanCuentas!C$2:C$6092)</f>
        <v>126124153</v>
      </c>
      <c r="O747" s="12">
        <f>LOOKUP(411011300,[1]PlanCuentas!$A$2:$A$6092,[1]PlanCuentas!C$2:C$6092)</f>
        <v>800606288</v>
      </c>
      <c r="P747" s="12">
        <f>LOOKUP(411012000,[1]PlanCuentas!$A$2:$A$6092,[1]PlanCuentas!C$2:C$6092)</f>
        <v>39016828</v>
      </c>
      <c r="Q747" s="13">
        <f t="shared" ref="Q747:Q778" si="38">SUM(C747:P747)</f>
        <v>2096842494</v>
      </c>
    </row>
    <row r="748" spans="1:24" x14ac:dyDescent="0.2">
      <c r="A748" s="10">
        <v>2</v>
      </c>
      <c r="B748" s="11" t="str">
        <f>[1]Aseguradoras!B3</f>
        <v>La Rural S.A de Seguros</v>
      </c>
      <c r="C748" s="12">
        <f>LOOKUP(411010100,[1]PlanCuentas!$A$2:$A$6092,[1]PlanCuentas!D$2:D$6092)</f>
        <v>3639072</v>
      </c>
      <c r="D748" s="12">
        <f>LOOKUP(411010200,[1]PlanCuentas!$A$2:$A$6092,[1]PlanCuentas!D$2:D$6092)</f>
        <v>0</v>
      </c>
      <c r="E748" s="12">
        <f>LOOKUP(411010300,[1]PlanCuentas!$A$2:$A$6092,[1]PlanCuentas!D$2:D$6092)</f>
        <v>0</v>
      </c>
      <c r="F748" s="12">
        <f>LOOKUP(411010400,[1]PlanCuentas!$A$2:$A$6092,[1]PlanCuentas!D$2:D$6092)</f>
        <v>0</v>
      </c>
      <c r="G748" s="12">
        <f>LOOKUP(411010500,[1]PlanCuentas!$A$2:$A$6092,[1]PlanCuentas!D$2:D$6092)</f>
        <v>0</v>
      </c>
      <c r="H748" s="12">
        <f>LOOKUP(411010600,[1]PlanCuentas!$A$2:$A$6092,[1]PlanCuentas!D$2:D$6092)</f>
        <v>0</v>
      </c>
      <c r="I748" s="12">
        <f>LOOKUP(411010700,[1]PlanCuentas!$A$2:$A$6092,[1]PlanCuentas!D$2:D$6092)</f>
        <v>0</v>
      </c>
      <c r="J748" s="12">
        <f>LOOKUP(411010800,[1]PlanCuentas!$A$2:$A$6092,[1]PlanCuentas!D$2:D$6092)</f>
        <v>0</v>
      </c>
      <c r="K748" s="12">
        <f>LOOKUP(411010900,[1]PlanCuentas!$A$2:$A$6092,[1]PlanCuentas!D$2:D$6092)</f>
        <v>0</v>
      </c>
      <c r="L748" s="12">
        <f>LOOKUP(411011000,[1]PlanCuentas!$A$2:$A$6092,[1]PlanCuentas!D$2:D$6092)</f>
        <v>0</v>
      </c>
      <c r="M748" s="12">
        <f>LOOKUP(411011100,[1]PlanCuentas!$A$2:$A$6092,[1]PlanCuentas!D$2:D$6092)</f>
        <v>39567136</v>
      </c>
      <c r="N748" s="12">
        <f>LOOKUP(411011200,[1]PlanCuentas!$A$2:$A$6092,[1]PlanCuentas!D$2:D$6092)</f>
        <v>876043</v>
      </c>
      <c r="O748" s="12">
        <f>LOOKUP(411011300,[1]PlanCuentas!$A$2:$A$6092,[1]PlanCuentas!D$2:D$6092)</f>
        <v>0</v>
      </c>
      <c r="P748" s="12">
        <f>LOOKUP(411012000,[1]PlanCuentas!$A$2:$A$6092,[1]PlanCuentas!D$2:D$6092)</f>
        <v>164533354</v>
      </c>
      <c r="Q748" s="13">
        <f t="shared" si="38"/>
        <v>208615605</v>
      </c>
    </row>
    <row r="749" spans="1:24" x14ac:dyDescent="0.2">
      <c r="A749" s="10">
        <v>3</v>
      </c>
      <c r="B749" s="11" t="str">
        <f>[1]Aseguradoras!B4</f>
        <v>La Paraguaya S.A de Seguros</v>
      </c>
      <c r="C749" s="12">
        <f>LOOKUP(411010100,[1]PlanCuentas!$A$2:$A$6092,[1]PlanCuentas!E$2:E$6092)</f>
        <v>0</v>
      </c>
      <c r="D749" s="12">
        <f>LOOKUP(411010200,[1]PlanCuentas!$A$2:$A$6092,[1]PlanCuentas!E$2:E$6092)</f>
        <v>0</v>
      </c>
      <c r="E749" s="12">
        <f>LOOKUP(411010300,[1]PlanCuentas!$A$2:$A$6092,[1]PlanCuentas!E$2:E$6092)</f>
        <v>0</v>
      </c>
      <c r="F749" s="12">
        <f>LOOKUP(411010400,[1]PlanCuentas!$A$2:$A$6092,[1]PlanCuentas!E$2:E$6092)</f>
        <v>0</v>
      </c>
      <c r="G749" s="12">
        <f>LOOKUP(411010500,[1]PlanCuentas!$A$2:$A$6092,[1]PlanCuentas!E$2:E$6092)</f>
        <v>0</v>
      </c>
      <c r="H749" s="12">
        <f>LOOKUP(411010600,[1]PlanCuentas!$A$2:$A$6092,[1]PlanCuentas!E$2:E$6092)</f>
        <v>0</v>
      </c>
      <c r="I749" s="12">
        <f>LOOKUP(411010700,[1]PlanCuentas!$A$2:$A$6092,[1]PlanCuentas!E$2:E$6092)</f>
        <v>0</v>
      </c>
      <c r="J749" s="12">
        <f>LOOKUP(411010800,[1]PlanCuentas!$A$2:$A$6092,[1]PlanCuentas!E$2:E$6092)</f>
        <v>0</v>
      </c>
      <c r="K749" s="12">
        <f>LOOKUP(411010900,[1]PlanCuentas!$A$2:$A$6092,[1]PlanCuentas!E$2:E$6092)</f>
        <v>0</v>
      </c>
      <c r="L749" s="12">
        <f>LOOKUP(411011000,[1]PlanCuentas!$A$2:$A$6092,[1]PlanCuentas!E$2:E$6092)</f>
        <v>0</v>
      </c>
      <c r="M749" s="12">
        <f>LOOKUP(411011100,[1]PlanCuentas!$A$2:$A$6092,[1]PlanCuentas!E$2:E$6092)</f>
        <v>0</v>
      </c>
      <c r="N749" s="12">
        <f>LOOKUP(411011200,[1]PlanCuentas!$A$2:$A$6092,[1]PlanCuentas!E$2:E$6092)</f>
        <v>0</v>
      </c>
      <c r="O749" s="12">
        <f>LOOKUP(411011300,[1]PlanCuentas!$A$2:$A$6092,[1]PlanCuentas!E$2:E$6092)</f>
        <v>0</v>
      </c>
      <c r="P749" s="12">
        <f>LOOKUP(411012000,[1]PlanCuentas!$A$2:$A$6092,[1]PlanCuentas!E$2:E$6092)</f>
        <v>0</v>
      </c>
      <c r="Q749" s="13">
        <f t="shared" si="38"/>
        <v>0</v>
      </c>
    </row>
    <row r="750" spans="1:24" x14ac:dyDescent="0.2">
      <c r="A750" s="10">
        <v>4</v>
      </c>
      <c r="B750" s="11" t="str">
        <f>[1]Aseguradoras!B5</f>
        <v>Seguros Generales S. A (SEGESA)</v>
      </c>
      <c r="C750" s="12">
        <f>LOOKUP(411010100,[1]PlanCuentas!$A$2:$A$6092,[1]PlanCuentas!F$2:F$6092)</f>
        <v>332900516</v>
      </c>
      <c r="D750" s="12">
        <f>LOOKUP(411010200,[1]PlanCuentas!$A$2:$A$6092,[1]PlanCuentas!F$2:F$6092)</f>
        <v>89564155</v>
      </c>
      <c r="E750" s="12">
        <f>LOOKUP(411010300,[1]PlanCuentas!$A$2:$A$6092,[1]PlanCuentas!F$2:F$6092)</f>
        <v>5780515</v>
      </c>
      <c r="F750" s="12">
        <f>LOOKUP(411010400,[1]PlanCuentas!$A$2:$A$6092,[1]PlanCuentas!F$2:F$6092)</f>
        <v>0</v>
      </c>
      <c r="G750" s="12">
        <f>LOOKUP(411010500,[1]PlanCuentas!$A$2:$A$6092,[1]PlanCuentas!F$2:F$6092)</f>
        <v>0</v>
      </c>
      <c r="H750" s="12">
        <f>LOOKUP(411010600,[1]PlanCuentas!$A$2:$A$6092,[1]PlanCuentas!F$2:F$6092)</f>
        <v>75702916</v>
      </c>
      <c r="I750" s="12">
        <f>LOOKUP(411010700,[1]PlanCuentas!$A$2:$A$6092,[1]PlanCuentas!F$2:F$6092)</f>
        <v>4341441</v>
      </c>
      <c r="J750" s="12">
        <f>LOOKUP(411010800,[1]PlanCuentas!$A$2:$A$6092,[1]PlanCuentas!F$2:F$6092)</f>
        <v>0</v>
      </c>
      <c r="K750" s="12">
        <f>LOOKUP(411010900,[1]PlanCuentas!$A$2:$A$6092,[1]PlanCuentas!F$2:F$6092)</f>
        <v>1800602</v>
      </c>
      <c r="L750" s="12">
        <f>LOOKUP(411011000,[1]PlanCuentas!$A$2:$A$6092,[1]PlanCuentas!F$2:F$6092)</f>
        <v>12581679</v>
      </c>
      <c r="M750" s="12">
        <f>LOOKUP(411011100,[1]PlanCuentas!$A$2:$A$6092,[1]PlanCuentas!F$2:F$6092)</f>
        <v>0</v>
      </c>
      <c r="N750" s="12">
        <f>LOOKUP(411011200,[1]PlanCuentas!$A$2:$A$6092,[1]PlanCuentas!F$2:F$6092)</f>
        <v>16241282</v>
      </c>
      <c r="O750" s="12">
        <f>LOOKUP(411011300,[1]PlanCuentas!$A$2:$A$6092,[1]PlanCuentas!F$2:F$6092)</f>
        <v>177942491</v>
      </c>
      <c r="P750" s="12">
        <f>LOOKUP(411012000,[1]PlanCuentas!$A$2:$A$6092,[1]PlanCuentas!F$2:F$6092)</f>
        <v>0</v>
      </c>
      <c r="Q750" s="13">
        <f t="shared" si="38"/>
        <v>716855597</v>
      </c>
    </row>
    <row r="751" spans="1:24" x14ac:dyDescent="0.2">
      <c r="A751" s="10">
        <v>5</v>
      </c>
      <c r="B751" s="11" t="str">
        <f>[1]Aseguradoras!B6</f>
        <v>Rumbos S.A de Seguros</v>
      </c>
      <c r="C751" s="12">
        <f>LOOKUP(411010100,[1]PlanCuentas!$A$2:$A$6092,[1]PlanCuentas!G$2:G$6092)</f>
        <v>257822275</v>
      </c>
      <c r="D751" s="12">
        <f>LOOKUP(411010200,[1]PlanCuentas!$A$2:$A$6092,[1]PlanCuentas!G$2:G$6092)</f>
        <v>78525618</v>
      </c>
      <c r="E751" s="12">
        <f>LOOKUP(411010300,[1]PlanCuentas!$A$2:$A$6092,[1]PlanCuentas!G$2:G$6092)</f>
        <v>22563813</v>
      </c>
      <c r="F751" s="12">
        <f>LOOKUP(411010400,[1]PlanCuentas!$A$2:$A$6092,[1]PlanCuentas!G$2:G$6092)</f>
        <v>0</v>
      </c>
      <c r="G751" s="12">
        <f>LOOKUP(411010500,[1]PlanCuentas!$A$2:$A$6092,[1]PlanCuentas!G$2:G$6092)</f>
        <v>0</v>
      </c>
      <c r="H751" s="12">
        <f>LOOKUP(411010600,[1]PlanCuentas!$A$2:$A$6092,[1]PlanCuentas!G$2:G$6092)</f>
        <v>99277265</v>
      </c>
      <c r="I751" s="12">
        <f>LOOKUP(411010700,[1]PlanCuentas!$A$2:$A$6092,[1]PlanCuentas!G$2:G$6092)</f>
        <v>2701500</v>
      </c>
      <c r="J751" s="12">
        <f>LOOKUP(411010800,[1]PlanCuentas!$A$2:$A$6092,[1]PlanCuentas!G$2:G$6092)</f>
        <v>0</v>
      </c>
      <c r="K751" s="12">
        <f>LOOKUP(411010900,[1]PlanCuentas!$A$2:$A$6092,[1]PlanCuentas!G$2:G$6092)</f>
        <v>99202004</v>
      </c>
      <c r="L751" s="12">
        <f>LOOKUP(411011000,[1]PlanCuentas!$A$2:$A$6092,[1]PlanCuentas!G$2:G$6092)</f>
        <v>578076971</v>
      </c>
      <c r="M751" s="12">
        <f>LOOKUP(411011100,[1]PlanCuentas!$A$2:$A$6092,[1]PlanCuentas!G$2:G$6092)</f>
        <v>33474010</v>
      </c>
      <c r="N751" s="12">
        <f>LOOKUP(411011200,[1]PlanCuentas!$A$2:$A$6092,[1]PlanCuentas!G$2:G$6092)</f>
        <v>46316247</v>
      </c>
      <c r="O751" s="12">
        <f>LOOKUP(411011300,[1]PlanCuentas!$A$2:$A$6092,[1]PlanCuentas!G$2:G$6092)</f>
        <v>159243494</v>
      </c>
      <c r="P751" s="12">
        <f>LOOKUP(411012000,[1]PlanCuentas!$A$2:$A$6092,[1]PlanCuentas!G$2:G$6092)</f>
        <v>227721025</v>
      </c>
      <c r="Q751" s="13">
        <f t="shared" si="38"/>
        <v>1604924222</v>
      </c>
    </row>
    <row r="752" spans="1:24" x14ac:dyDescent="0.2">
      <c r="A752" s="10">
        <v>6</v>
      </c>
      <c r="B752" s="11" t="str">
        <f>[1]Aseguradoras!B7</f>
        <v>La Consolidada S.A de Seguros</v>
      </c>
      <c r="C752" s="12">
        <f>LOOKUP(411010100,[1]PlanCuentas!$A$2:$A$6092,[1]PlanCuentas!H$2:H$6092)</f>
        <v>65795116</v>
      </c>
      <c r="D752" s="12">
        <f>LOOKUP(411010200,[1]PlanCuentas!$A$2:$A$6092,[1]PlanCuentas!H$2:H$6092)</f>
        <v>0</v>
      </c>
      <c r="E752" s="12">
        <f>LOOKUP(411010300,[1]PlanCuentas!$A$2:$A$6092,[1]PlanCuentas!H$2:H$6092)</f>
        <v>0</v>
      </c>
      <c r="F752" s="12">
        <f>LOOKUP(411010400,[1]PlanCuentas!$A$2:$A$6092,[1]PlanCuentas!H$2:H$6092)</f>
        <v>0</v>
      </c>
      <c r="G752" s="12">
        <f>LOOKUP(411010500,[1]PlanCuentas!$A$2:$A$6092,[1]PlanCuentas!H$2:H$6092)</f>
        <v>0</v>
      </c>
      <c r="H752" s="12">
        <f>LOOKUP(411010600,[1]PlanCuentas!$A$2:$A$6092,[1]PlanCuentas!H$2:H$6092)</f>
        <v>44461</v>
      </c>
      <c r="I752" s="12">
        <f>LOOKUP(411010700,[1]PlanCuentas!$A$2:$A$6092,[1]PlanCuentas!H$2:H$6092)</f>
        <v>0</v>
      </c>
      <c r="J752" s="12">
        <f>LOOKUP(411010800,[1]PlanCuentas!$A$2:$A$6092,[1]PlanCuentas!H$2:H$6092)</f>
        <v>0</v>
      </c>
      <c r="K752" s="12">
        <f>LOOKUP(411010900,[1]PlanCuentas!$A$2:$A$6092,[1]PlanCuentas!H$2:H$6092)</f>
        <v>0</v>
      </c>
      <c r="L752" s="12">
        <f>LOOKUP(411011000,[1]PlanCuentas!$A$2:$A$6092,[1]PlanCuentas!H$2:H$6092)</f>
        <v>0</v>
      </c>
      <c r="M752" s="12">
        <f>LOOKUP(411011100,[1]PlanCuentas!$A$2:$A$6092,[1]PlanCuentas!H$2:H$6092)</f>
        <v>0</v>
      </c>
      <c r="N752" s="12">
        <f>LOOKUP(411011200,[1]PlanCuentas!$A$2:$A$6092,[1]PlanCuentas!H$2:H$6092)</f>
        <v>3729364</v>
      </c>
      <c r="O752" s="12">
        <f>LOOKUP(411011300,[1]PlanCuentas!$A$2:$A$6092,[1]PlanCuentas!H$2:H$6092)</f>
        <v>855088333</v>
      </c>
      <c r="P752" s="12">
        <f>LOOKUP(411012000,[1]PlanCuentas!$A$2:$A$6092,[1]PlanCuentas!H$2:H$6092)</f>
        <v>0</v>
      </c>
      <c r="Q752" s="13">
        <f t="shared" si="38"/>
        <v>924657274</v>
      </c>
    </row>
    <row r="753" spans="1:17" x14ac:dyDescent="0.2">
      <c r="A753" s="10">
        <v>7</v>
      </c>
      <c r="B753" s="11" t="str">
        <f>[1]Aseguradoras!B8</f>
        <v>El Productor S.A de Seguros y Reaseguros</v>
      </c>
      <c r="C753" s="12">
        <f>LOOKUP(411010100,[1]PlanCuentas!$A$2:$A$6092,[1]PlanCuentas!I$2:I$6092)</f>
        <v>252695532</v>
      </c>
      <c r="D753" s="12">
        <f>LOOKUP(411010200,[1]PlanCuentas!$A$2:$A$6092,[1]PlanCuentas!I$2:I$6092)</f>
        <v>145670052</v>
      </c>
      <c r="E753" s="12">
        <f>LOOKUP(411010300,[1]PlanCuentas!$A$2:$A$6092,[1]PlanCuentas!I$2:I$6092)</f>
        <v>14368372</v>
      </c>
      <c r="F753" s="12">
        <f>LOOKUP(411010400,[1]PlanCuentas!$A$2:$A$6092,[1]PlanCuentas!I$2:I$6092)</f>
        <v>0</v>
      </c>
      <c r="G753" s="12">
        <f>LOOKUP(411010500,[1]PlanCuentas!$A$2:$A$6092,[1]PlanCuentas!I$2:I$6092)</f>
        <v>0</v>
      </c>
      <c r="H753" s="12">
        <f>LOOKUP(411010600,[1]PlanCuentas!$A$2:$A$6092,[1]PlanCuentas!I$2:I$6092)</f>
        <v>227889633</v>
      </c>
      <c r="I753" s="12">
        <f>LOOKUP(411010700,[1]PlanCuentas!$A$2:$A$6092,[1]PlanCuentas!I$2:I$6092)</f>
        <v>18492937</v>
      </c>
      <c r="J753" s="12">
        <f>LOOKUP(411010800,[1]PlanCuentas!$A$2:$A$6092,[1]PlanCuentas!I$2:I$6092)</f>
        <v>0</v>
      </c>
      <c r="K753" s="12">
        <f>LOOKUP(411010900,[1]PlanCuentas!$A$2:$A$6092,[1]PlanCuentas!I$2:I$6092)</f>
        <v>12921429</v>
      </c>
      <c r="L753" s="12">
        <f>LOOKUP(411011000,[1]PlanCuentas!$A$2:$A$6092,[1]PlanCuentas!I$2:I$6092)</f>
        <v>101056484</v>
      </c>
      <c r="M753" s="12">
        <f>LOOKUP(411011100,[1]PlanCuentas!$A$2:$A$6092,[1]PlanCuentas!I$2:I$6092)</f>
        <v>6497918</v>
      </c>
      <c r="N753" s="12">
        <f>LOOKUP(411011200,[1]PlanCuentas!$A$2:$A$6092,[1]PlanCuentas!I$2:I$6092)</f>
        <v>63410639</v>
      </c>
      <c r="O753" s="12">
        <f>LOOKUP(411011300,[1]PlanCuentas!$A$2:$A$6092,[1]PlanCuentas!I$2:I$6092)</f>
        <v>18600447</v>
      </c>
      <c r="P753" s="12">
        <f>LOOKUP(411012000,[1]PlanCuentas!$A$2:$A$6092,[1]PlanCuentas!I$2:I$6092)</f>
        <v>50725643</v>
      </c>
      <c r="Q753" s="13">
        <f t="shared" si="38"/>
        <v>912329086</v>
      </c>
    </row>
    <row r="754" spans="1:17" x14ac:dyDescent="0.2">
      <c r="A754" s="10">
        <v>8</v>
      </c>
      <c r="B754" s="11" t="str">
        <f>[1]Aseguradoras!B9</f>
        <v>Atalaya S.A de Seguros Generales</v>
      </c>
      <c r="C754" s="12">
        <f>LOOKUP(411010100,[1]PlanCuentas!$A$2:$A$6092,[1]PlanCuentas!J$2:J$6092)</f>
        <v>0</v>
      </c>
      <c r="D754" s="12">
        <f>LOOKUP(411010200,[1]PlanCuentas!$A$2:$A$6092,[1]PlanCuentas!J$2:J$6092)</f>
        <v>0</v>
      </c>
      <c r="E754" s="12">
        <f>LOOKUP(411010300,[1]PlanCuentas!$A$2:$A$6092,[1]PlanCuentas!J$2:J$6092)</f>
        <v>0</v>
      </c>
      <c r="F754" s="12">
        <f>LOOKUP(411010400,[1]PlanCuentas!$A$2:$A$6092,[1]PlanCuentas!J$2:J$6092)</f>
        <v>0</v>
      </c>
      <c r="G754" s="12">
        <f>LOOKUP(411010500,[1]PlanCuentas!$A$2:$A$6092,[1]PlanCuentas!J$2:J$6092)</f>
        <v>0</v>
      </c>
      <c r="H754" s="12">
        <f>LOOKUP(411010600,[1]PlanCuentas!$A$2:$A$6092,[1]PlanCuentas!J$2:J$6092)</f>
        <v>0</v>
      </c>
      <c r="I754" s="12">
        <f>LOOKUP(411010700,[1]PlanCuentas!$A$2:$A$6092,[1]PlanCuentas!J$2:J$6092)</f>
        <v>0</v>
      </c>
      <c r="J754" s="12">
        <f>LOOKUP(411010800,[1]PlanCuentas!$A$2:$A$6092,[1]PlanCuentas!J$2:J$6092)</f>
        <v>0</v>
      </c>
      <c r="K754" s="12">
        <f>LOOKUP(411010900,[1]PlanCuentas!$A$2:$A$6092,[1]PlanCuentas!J$2:J$6092)</f>
        <v>0</v>
      </c>
      <c r="L754" s="12">
        <f>LOOKUP(411011000,[1]PlanCuentas!$A$2:$A$6092,[1]PlanCuentas!J$2:J$6092)</f>
        <v>0</v>
      </c>
      <c r="M754" s="12">
        <f>LOOKUP(411011100,[1]PlanCuentas!$A$2:$A$6092,[1]PlanCuentas!J$2:J$6092)</f>
        <v>0</v>
      </c>
      <c r="N754" s="12">
        <f>LOOKUP(411011200,[1]PlanCuentas!$A$2:$A$6092,[1]PlanCuentas!J$2:J$6092)</f>
        <v>0</v>
      </c>
      <c r="O754" s="12">
        <f>LOOKUP(411011300,[1]PlanCuentas!$A$2:$A$6092,[1]PlanCuentas!J$2:J$6092)</f>
        <v>0</v>
      </c>
      <c r="P754" s="12">
        <f>LOOKUP(411012000,[1]PlanCuentas!$A$2:$A$6092,[1]PlanCuentas!J$2:J$6092)</f>
        <v>0</v>
      </c>
      <c r="Q754" s="13">
        <f t="shared" si="38"/>
        <v>0</v>
      </c>
    </row>
    <row r="755" spans="1:17" x14ac:dyDescent="0.2">
      <c r="A755" s="10">
        <v>9</v>
      </c>
      <c r="B755" s="11" t="str">
        <f>[1]Aseguradoras!B10</f>
        <v>La Independencia de Seguros S.A.</v>
      </c>
      <c r="C755" s="12">
        <f>LOOKUP(411010100,[1]PlanCuentas!$A$2:$A$6092,[1]PlanCuentas!K$2:K$6092)</f>
        <v>0</v>
      </c>
      <c r="D755" s="12">
        <f>LOOKUP(411010200,[1]PlanCuentas!$A$2:$A$6092,[1]PlanCuentas!K$2:K$6092)</f>
        <v>0</v>
      </c>
      <c r="E755" s="12">
        <f>LOOKUP(411010300,[1]PlanCuentas!$A$2:$A$6092,[1]PlanCuentas!K$2:K$6092)</f>
        <v>0</v>
      </c>
      <c r="F755" s="12">
        <f>LOOKUP(411010400,[1]PlanCuentas!$A$2:$A$6092,[1]PlanCuentas!K$2:K$6092)</f>
        <v>0</v>
      </c>
      <c r="G755" s="12">
        <f>LOOKUP(411010500,[1]PlanCuentas!$A$2:$A$6092,[1]PlanCuentas!K$2:K$6092)</f>
        <v>0</v>
      </c>
      <c r="H755" s="12">
        <f>LOOKUP(411010600,[1]PlanCuentas!$A$2:$A$6092,[1]PlanCuentas!K$2:K$6092)</f>
        <v>0</v>
      </c>
      <c r="I755" s="12">
        <f>LOOKUP(411010700,[1]PlanCuentas!$A$2:$A$6092,[1]PlanCuentas!K$2:K$6092)</f>
        <v>0</v>
      </c>
      <c r="J755" s="12">
        <f>LOOKUP(411010800,[1]PlanCuentas!$A$2:$A$6092,[1]PlanCuentas!K$2:K$6092)</f>
        <v>0</v>
      </c>
      <c r="K755" s="12">
        <f>LOOKUP(411010900,[1]PlanCuentas!$A$2:$A$6092,[1]PlanCuentas!K$2:K$6092)</f>
        <v>0</v>
      </c>
      <c r="L755" s="12">
        <f>LOOKUP(411011000,[1]PlanCuentas!$A$2:$A$6092,[1]PlanCuentas!K$2:K$6092)</f>
        <v>0</v>
      </c>
      <c r="M755" s="12">
        <f>LOOKUP(411011100,[1]PlanCuentas!$A$2:$A$6092,[1]PlanCuentas!K$2:K$6092)</f>
        <v>0</v>
      </c>
      <c r="N755" s="12">
        <f>LOOKUP(411011200,[1]PlanCuentas!$A$2:$A$6092,[1]PlanCuentas!K$2:K$6092)</f>
        <v>0</v>
      </c>
      <c r="O755" s="12">
        <f>LOOKUP(411011300,[1]PlanCuentas!$A$2:$A$6092,[1]PlanCuentas!K$2:K$6092)</f>
        <v>0</v>
      </c>
      <c r="P755" s="12">
        <f>LOOKUP(411012000,[1]PlanCuentas!$A$2:$A$6092,[1]PlanCuentas!K$2:K$6092)</f>
        <v>96913495</v>
      </c>
      <c r="Q755" s="13">
        <f t="shared" si="38"/>
        <v>96913495</v>
      </c>
    </row>
    <row r="756" spans="1:17" x14ac:dyDescent="0.2">
      <c r="A756" s="10">
        <v>10</v>
      </c>
      <c r="B756" s="11" t="str">
        <f>[1]Aseguradoras!B11</f>
        <v>Patria S.A de Seguros y Reaseguros</v>
      </c>
      <c r="C756" s="12">
        <f>LOOKUP(411010100,[1]PlanCuentas!$A$2:$A$6092,[1]PlanCuentas!L$2:L$6092)</f>
        <v>196953993</v>
      </c>
      <c r="D756" s="12">
        <f>LOOKUP(411010200,[1]PlanCuentas!$A$2:$A$6092,[1]PlanCuentas!L$2:L$6092)</f>
        <v>14682710</v>
      </c>
      <c r="E756" s="12">
        <f>LOOKUP(411010300,[1]PlanCuentas!$A$2:$A$6092,[1]PlanCuentas!L$2:L$6092)</f>
        <v>4031631</v>
      </c>
      <c r="F756" s="12">
        <f>LOOKUP(411010400,[1]PlanCuentas!$A$2:$A$6092,[1]PlanCuentas!L$2:L$6092)</f>
        <v>0</v>
      </c>
      <c r="G756" s="12">
        <f>LOOKUP(411010500,[1]PlanCuentas!$A$2:$A$6092,[1]PlanCuentas!L$2:L$6092)</f>
        <v>0</v>
      </c>
      <c r="H756" s="12">
        <f>LOOKUP(411010600,[1]PlanCuentas!$A$2:$A$6092,[1]PlanCuentas!L$2:L$6092)</f>
        <v>39426982</v>
      </c>
      <c r="I756" s="12">
        <f>LOOKUP(411010700,[1]PlanCuentas!$A$2:$A$6092,[1]PlanCuentas!L$2:L$6092)</f>
        <v>311376</v>
      </c>
      <c r="J756" s="12">
        <f>LOOKUP(411010800,[1]PlanCuentas!$A$2:$A$6092,[1]PlanCuentas!L$2:L$6092)</f>
        <v>0</v>
      </c>
      <c r="K756" s="12">
        <f>LOOKUP(411010900,[1]PlanCuentas!$A$2:$A$6092,[1]PlanCuentas!L$2:L$6092)</f>
        <v>2013423</v>
      </c>
      <c r="L756" s="12">
        <f>LOOKUP(411011000,[1]PlanCuentas!$A$2:$A$6092,[1]PlanCuentas!L$2:L$6092)</f>
        <v>3723683</v>
      </c>
      <c r="M756" s="12">
        <f>LOOKUP(411011100,[1]PlanCuentas!$A$2:$A$6092,[1]PlanCuentas!L$2:L$6092)</f>
        <v>1167712</v>
      </c>
      <c r="N756" s="12">
        <f>LOOKUP(411011200,[1]PlanCuentas!$A$2:$A$6092,[1]PlanCuentas!L$2:L$6092)</f>
        <v>2100852</v>
      </c>
      <c r="O756" s="12">
        <f>LOOKUP(411011300,[1]PlanCuentas!$A$2:$A$6092,[1]PlanCuentas!L$2:L$6092)</f>
        <v>63783973</v>
      </c>
      <c r="P756" s="12">
        <f>LOOKUP(411012000,[1]PlanCuentas!$A$2:$A$6092,[1]PlanCuentas!L$2:L$6092)</f>
        <v>99599439</v>
      </c>
      <c r="Q756" s="13">
        <f t="shared" si="38"/>
        <v>427795774</v>
      </c>
    </row>
    <row r="757" spans="1:17" x14ac:dyDescent="0.2">
      <c r="A757" s="10">
        <v>11</v>
      </c>
      <c r="B757" s="11" t="str">
        <f>[1]Aseguradoras!B12</f>
        <v>Garantía S.A de Seguros y Reaseguros</v>
      </c>
      <c r="C757" s="12">
        <f>LOOKUP(411010100,[1]PlanCuentas!$A$2:$A$6092,[1]PlanCuentas!M$2:M$6092)</f>
        <v>18888812</v>
      </c>
      <c r="D757" s="12">
        <f>LOOKUP(411010200,[1]PlanCuentas!$A$2:$A$6092,[1]PlanCuentas!M$2:M$6092)</f>
        <v>14306987</v>
      </c>
      <c r="E757" s="12">
        <f>LOOKUP(411010300,[1]PlanCuentas!$A$2:$A$6092,[1]PlanCuentas!M$2:M$6092)</f>
        <v>2293033</v>
      </c>
      <c r="F757" s="12">
        <f>LOOKUP(411010400,[1]PlanCuentas!$A$2:$A$6092,[1]PlanCuentas!M$2:M$6092)</f>
        <v>0</v>
      </c>
      <c r="G757" s="12">
        <f>LOOKUP(411010500,[1]PlanCuentas!$A$2:$A$6092,[1]PlanCuentas!M$2:M$6092)</f>
        <v>0</v>
      </c>
      <c r="H757" s="12">
        <f>LOOKUP(411010600,[1]PlanCuentas!$A$2:$A$6092,[1]PlanCuentas!M$2:M$6092)</f>
        <v>21267277</v>
      </c>
      <c r="I757" s="12">
        <f>LOOKUP(411010700,[1]PlanCuentas!$A$2:$A$6092,[1]PlanCuentas!M$2:M$6092)</f>
        <v>935903</v>
      </c>
      <c r="J757" s="12">
        <f>LOOKUP(411010800,[1]PlanCuentas!$A$2:$A$6092,[1]PlanCuentas!M$2:M$6092)</f>
        <v>1259278399</v>
      </c>
      <c r="K757" s="12">
        <f>LOOKUP(411010900,[1]PlanCuentas!$A$2:$A$6092,[1]PlanCuentas!M$2:M$6092)</f>
        <v>0</v>
      </c>
      <c r="L757" s="12">
        <f>LOOKUP(411011000,[1]PlanCuentas!$A$2:$A$6092,[1]PlanCuentas!M$2:M$6092)</f>
        <v>3127023</v>
      </c>
      <c r="M757" s="12">
        <f>LOOKUP(411011100,[1]PlanCuentas!$A$2:$A$6092,[1]PlanCuentas!M$2:M$6092)</f>
        <v>0</v>
      </c>
      <c r="N757" s="12">
        <f>LOOKUP(411011200,[1]PlanCuentas!$A$2:$A$6092,[1]PlanCuentas!M$2:M$6092)</f>
        <v>989840</v>
      </c>
      <c r="O757" s="12">
        <f>LOOKUP(411011300,[1]PlanCuentas!$A$2:$A$6092,[1]PlanCuentas!M$2:M$6092)</f>
        <v>17059751</v>
      </c>
      <c r="P757" s="12">
        <f>LOOKUP(411012000,[1]PlanCuentas!$A$2:$A$6092,[1]PlanCuentas!M$2:M$6092)</f>
        <v>0</v>
      </c>
      <c r="Q757" s="13">
        <f t="shared" si="38"/>
        <v>1338147025</v>
      </c>
    </row>
    <row r="758" spans="1:17" x14ac:dyDescent="0.2">
      <c r="A758" s="10">
        <v>12</v>
      </c>
      <c r="B758" s="11" t="str">
        <f>[1]Aseguradoras!B13</f>
        <v>Aseguradora Paraguaya S.A.</v>
      </c>
      <c r="C758" s="12">
        <f>LOOKUP(411010100,[1]PlanCuentas!$A$2:$A$6092,[1]PlanCuentas!N$2:N$6092)</f>
        <v>485998004</v>
      </c>
      <c r="D758" s="12">
        <f>LOOKUP(411010200,[1]PlanCuentas!$A$2:$A$6092,[1]PlanCuentas!N$2:N$6092)</f>
        <v>202859975</v>
      </c>
      <c r="E758" s="12">
        <f>LOOKUP(411010300,[1]PlanCuentas!$A$2:$A$6092,[1]PlanCuentas!N$2:N$6092)</f>
        <v>52126209</v>
      </c>
      <c r="F758" s="12">
        <f>LOOKUP(411010400,[1]PlanCuentas!$A$2:$A$6092,[1]PlanCuentas!N$2:N$6092)</f>
        <v>0</v>
      </c>
      <c r="G758" s="12">
        <f>LOOKUP(411010500,[1]PlanCuentas!$A$2:$A$6092,[1]PlanCuentas!N$2:N$6092)</f>
        <v>0</v>
      </c>
      <c r="H758" s="12">
        <f>LOOKUP(411010600,[1]PlanCuentas!$A$2:$A$6092,[1]PlanCuentas!N$2:N$6092)</f>
        <v>215115293</v>
      </c>
      <c r="I758" s="12">
        <f>LOOKUP(411010700,[1]PlanCuentas!$A$2:$A$6092,[1]PlanCuentas!N$2:N$6092)</f>
        <v>15379972</v>
      </c>
      <c r="J758" s="12">
        <f>LOOKUP(411010800,[1]PlanCuentas!$A$2:$A$6092,[1]PlanCuentas!N$2:N$6092)</f>
        <v>294820825</v>
      </c>
      <c r="K758" s="12">
        <f>LOOKUP(411010900,[1]PlanCuentas!$A$2:$A$6092,[1]PlanCuentas!N$2:N$6092)</f>
        <v>58913586</v>
      </c>
      <c r="L758" s="12">
        <f>LOOKUP(411011000,[1]PlanCuentas!$A$2:$A$6092,[1]PlanCuentas!N$2:N$6092)</f>
        <v>62972955</v>
      </c>
      <c r="M758" s="12">
        <f>LOOKUP(411011100,[1]PlanCuentas!$A$2:$A$6092,[1]PlanCuentas!N$2:N$6092)</f>
        <v>18707615</v>
      </c>
      <c r="N758" s="12">
        <f>LOOKUP(411011200,[1]PlanCuentas!$A$2:$A$6092,[1]PlanCuentas!N$2:N$6092)</f>
        <v>80368773</v>
      </c>
      <c r="O758" s="12">
        <f>LOOKUP(411011300,[1]PlanCuentas!$A$2:$A$6092,[1]PlanCuentas!N$2:N$6092)</f>
        <v>549377273</v>
      </c>
      <c r="P758" s="12">
        <f>LOOKUP(411012000,[1]PlanCuentas!$A$2:$A$6092,[1]PlanCuentas!N$2:N$6092)</f>
        <v>811237</v>
      </c>
      <c r="Q758" s="13">
        <f t="shared" si="38"/>
        <v>2037451717</v>
      </c>
    </row>
    <row r="759" spans="1:17" x14ac:dyDescent="0.2">
      <c r="A759" s="10">
        <v>13</v>
      </c>
      <c r="B759" s="11" t="str">
        <f>[1]Aseguradoras!B14</f>
        <v>Fénix S.A de Seguros y Reaseguros</v>
      </c>
      <c r="C759" s="12">
        <f>LOOKUP(411010100,[1]PlanCuentas!$A$2:$A$6092,[1]PlanCuentas!O$2:O$6092)</f>
        <v>742047025</v>
      </c>
      <c r="D759" s="12">
        <f>LOOKUP(411010200,[1]PlanCuentas!$A$2:$A$6092,[1]PlanCuentas!O$2:O$6092)</f>
        <v>186465576</v>
      </c>
      <c r="E759" s="12">
        <f>LOOKUP(411010300,[1]PlanCuentas!$A$2:$A$6092,[1]PlanCuentas!O$2:O$6092)</f>
        <v>40660202</v>
      </c>
      <c r="F759" s="12">
        <f>LOOKUP(411010400,[1]PlanCuentas!$A$2:$A$6092,[1]PlanCuentas!O$2:O$6092)</f>
        <v>0</v>
      </c>
      <c r="G759" s="12">
        <f>LOOKUP(411010500,[1]PlanCuentas!$A$2:$A$6092,[1]PlanCuentas!O$2:O$6092)</f>
        <v>0</v>
      </c>
      <c r="H759" s="12">
        <f>LOOKUP(411010600,[1]PlanCuentas!$A$2:$A$6092,[1]PlanCuentas!O$2:O$6092)</f>
        <v>200823075</v>
      </c>
      <c r="I759" s="12">
        <f>LOOKUP(411010700,[1]PlanCuentas!$A$2:$A$6092,[1]PlanCuentas!O$2:O$6092)</f>
        <v>7478128</v>
      </c>
      <c r="J759" s="12">
        <f>LOOKUP(411010800,[1]PlanCuentas!$A$2:$A$6092,[1]PlanCuentas!O$2:O$6092)</f>
        <v>0</v>
      </c>
      <c r="K759" s="12">
        <f>LOOKUP(411010900,[1]PlanCuentas!$A$2:$A$6092,[1]PlanCuentas!O$2:O$6092)</f>
        <v>148137463</v>
      </c>
      <c r="L759" s="12">
        <f>LOOKUP(411011000,[1]PlanCuentas!$A$2:$A$6092,[1]PlanCuentas!O$2:O$6092)</f>
        <v>62922871</v>
      </c>
      <c r="M759" s="12">
        <f>LOOKUP(411011100,[1]PlanCuentas!$A$2:$A$6092,[1]PlanCuentas!O$2:O$6092)</f>
        <v>1814577</v>
      </c>
      <c r="N759" s="12">
        <f>LOOKUP(411011200,[1]PlanCuentas!$A$2:$A$6092,[1]PlanCuentas!O$2:O$6092)</f>
        <v>104790482</v>
      </c>
      <c r="O759" s="12">
        <f>LOOKUP(411011300,[1]PlanCuentas!$A$2:$A$6092,[1]PlanCuentas!O$2:O$6092)</f>
        <v>4836540</v>
      </c>
      <c r="P759" s="12">
        <f>LOOKUP(411012000,[1]PlanCuentas!$A$2:$A$6092,[1]PlanCuentas!O$2:O$6092)</f>
        <v>4840191</v>
      </c>
      <c r="Q759" s="13">
        <f t="shared" si="38"/>
        <v>1504816130</v>
      </c>
    </row>
    <row r="760" spans="1:17" x14ac:dyDescent="0.2">
      <c r="A760" s="10">
        <v>14</v>
      </c>
      <c r="B760" s="11" t="str">
        <f>[1]Aseguradoras!B15</f>
        <v>Central S.A de Seguros</v>
      </c>
      <c r="C760" s="12">
        <f>LOOKUP(411010100,[1]PlanCuentas!$A$2:$A$6092,[1]PlanCuentas!P$2:P$6092)</f>
        <v>7326976</v>
      </c>
      <c r="D760" s="12">
        <f>LOOKUP(411010200,[1]PlanCuentas!$A$2:$A$6092,[1]PlanCuentas!P$2:P$6092)</f>
        <v>12004135</v>
      </c>
      <c r="E760" s="12">
        <f>LOOKUP(411010300,[1]PlanCuentas!$A$2:$A$6092,[1]PlanCuentas!P$2:P$6092)</f>
        <v>0</v>
      </c>
      <c r="F760" s="12">
        <f>LOOKUP(411010400,[1]PlanCuentas!$A$2:$A$6092,[1]PlanCuentas!P$2:P$6092)</f>
        <v>0</v>
      </c>
      <c r="G760" s="12">
        <f>LOOKUP(411010500,[1]PlanCuentas!$A$2:$A$6092,[1]PlanCuentas!P$2:P$6092)</f>
        <v>0</v>
      </c>
      <c r="H760" s="12">
        <f>LOOKUP(411010600,[1]PlanCuentas!$A$2:$A$6092,[1]PlanCuentas!P$2:P$6092)</f>
        <v>0</v>
      </c>
      <c r="I760" s="12">
        <f>LOOKUP(411010700,[1]PlanCuentas!$A$2:$A$6092,[1]PlanCuentas!P$2:P$6092)</f>
        <v>0</v>
      </c>
      <c r="J760" s="12">
        <f>LOOKUP(411010800,[1]PlanCuentas!$A$2:$A$6092,[1]PlanCuentas!P$2:P$6092)</f>
        <v>0</v>
      </c>
      <c r="K760" s="12">
        <f>LOOKUP(411010900,[1]PlanCuentas!$A$2:$A$6092,[1]PlanCuentas!P$2:P$6092)</f>
        <v>0</v>
      </c>
      <c r="L760" s="12">
        <f>LOOKUP(411011000,[1]PlanCuentas!$A$2:$A$6092,[1]PlanCuentas!P$2:P$6092)</f>
        <v>0</v>
      </c>
      <c r="M760" s="12">
        <f>LOOKUP(411011100,[1]PlanCuentas!$A$2:$A$6092,[1]PlanCuentas!P$2:P$6092)</f>
        <v>0</v>
      </c>
      <c r="N760" s="12">
        <f>LOOKUP(411011200,[1]PlanCuentas!$A$2:$A$6092,[1]PlanCuentas!P$2:P$6092)</f>
        <v>0</v>
      </c>
      <c r="O760" s="12">
        <f>LOOKUP(411011300,[1]PlanCuentas!$A$2:$A$6092,[1]PlanCuentas!P$2:P$6092)</f>
        <v>0</v>
      </c>
      <c r="P760" s="12">
        <f>LOOKUP(411012000,[1]PlanCuentas!$A$2:$A$6092,[1]PlanCuentas!P$2:P$6092)</f>
        <v>0</v>
      </c>
      <c r="Q760" s="13">
        <f t="shared" si="38"/>
        <v>19331111</v>
      </c>
    </row>
    <row r="761" spans="1:17" x14ac:dyDescent="0.2">
      <c r="A761" s="10">
        <v>15</v>
      </c>
      <c r="B761" s="11" t="str">
        <f>[1]Aseguradoras!B16</f>
        <v>Seguros Chaco S.A de Seguros y Reaseguros</v>
      </c>
      <c r="C761" s="12">
        <f>LOOKUP(411010100,[1]PlanCuentas!$A$2:$A$6092,[1]PlanCuentas!Q$2:Q$6092)</f>
        <v>0</v>
      </c>
      <c r="D761" s="12">
        <f>LOOKUP(411010200,[1]PlanCuentas!$A$2:$A$6092,[1]PlanCuentas!Q$2:Q$6092)</f>
        <v>0</v>
      </c>
      <c r="E761" s="12">
        <f>LOOKUP(411010300,[1]PlanCuentas!$A$2:$A$6092,[1]PlanCuentas!Q$2:Q$6092)</f>
        <v>0</v>
      </c>
      <c r="F761" s="12">
        <f>LOOKUP(411010400,[1]PlanCuentas!$A$2:$A$6092,[1]PlanCuentas!Q$2:Q$6092)</f>
        <v>0</v>
      </c>
      <c r="G761" s="12">
        <f>LOOKUP(411010500,[1]PlanCuentas!$A$2:$A$6092,[1]PlanCuentas!Q$2:Q$6092)</f>
        <v>0</v>
      </c>
      <c r="H761" s="12">
        <f>LOOKUP(411010600,[1]PlanCuentas!$A$2:$A$6092,[1]PlanCuentas!Q$2:Q$6092)</f>
        <v>0</v>
      </c>
      <c r="I761" s="12">
        <f>LOOKUP(411010700,[1]PlanCuentas!$A$2:$A$6092,[1]PlanCuentas!Q$2:Q$6092)</f>
        <v>0</v>
      </c>
      <c r="J761" s="12">
        <f>LOOKUP(411010800,[1]PlanCuentas!$A$2:$A$6092,[1]PlanCuentas!Q$2:Q$6092)</f>
        <v>0</v>
      </c>
      <c r="K761" s="12">
        <f>LOOKUP(411010900,[1]PlanCuentas!$A$2:$A$6092,[1]PlanCuentas!Q$2:Q$6092)</f>
        <v>0</v>
      </c>
      <c r="L761" s="12">
        <f>LOOKUP(411011000,[1]PlanCuentas!$A$2:$A$6092,[1]PlanCuentas!Q$2:Q$6092)</f>
        <v>0</v>
      </c>
      <c r="M761" s="12">
        <f>LOOKUP(411011100,[1]PlanCuentas!$A$2:$A$6092,[1]PlanCuentas!Q$2:Q$6092)</f>
        <v>0</v>
      </c>
      <c r="N761" s="12">
        <f>LOOKUP(411011200,[1]PlanCuentas!$A$2:$A$6092,[1]PlanCuentas!Q$2:Q$6092)</f>
        <v>0</v>
      </c>
      <c r="O761" s="12">
        <f>LOOKUP(411011300,[1]PlanCuentas!$A$2:$A$6092,[1]PlanCuentas!Q$2:Q$6092)</f>
        <v>0</v>
      </c>
      <c r="P761" s="12">
        <f>LOOKUP(411012000,[1]PlanCuentas!$A$2:$A$6092,[1]PlanCuentas!Q$2:Q$6092)</f>
        <v>0</v>
      </c>
      <c r="Q761" s="13">
        <f t="shared" si="38"/>
        <v>0</v>
      </c>
    </row>
    <row r="762" spans="1:17" x14ac:dyDescent="0.2">
      <c r="A762" s="10">
        <v>16</v>
      </c>
      <c r="B762" s="11" t="str">
        <f>[1]Aseguradoras!B17</f>
        <v>El Sol Del Paraguay Compañía de Seguros y Reaseguros S.A.</v>
      </c>
      <c r="C762" s="12">
        <f>LOOKUP(411010100,[1]PlanCuentas!$A$2:$A$6092,[1]PlanCuentas!R$2:R$6092)</f>
        <v>1137975</v>
      </c>
      <c r="D762" s="12">
        <f>LOOKUP(411010200,[1]PlanCuentas!$A$2:$A$6092,[1]PlanCuentas!R$2:R$6092)</f>
        <v>0</v>
      </c>
      <c r="E762" s="12">
        <f>LOOKUP(411010300,[1]PlanCuentas!$A$2:$A$6092,[1]PlanCuentas!R$2:R$6092)</f>
        <v>0</v>
      </c>
      <c r="F762" s="12">
        <f>LOOKUP(411010400,[1]PlanCuentas!$A$2:$A$6092,[1]PlanCuentas!R$2:R$6092)</f>
        <v>0</v>
      </c>
      <c r="G762" s="12">
        <f>LOOKUP(411010500,[1]PlanCuentas!$A$2:$A$6092,[1]PlanCuentas!R$2:R$6092)</f>
        <v>0</v>
      </c>
      <c r="H762" s="12">
        <f>LOOKUP(411010600,[1]PlanCuentas!$A$2:$A$6092,[1]PlanCuentas!R$2:R$6092)</f>
        <v>0</v>
      </c>
      <c r="I762" s="12">
        <f>LOOKUP(411010700,[1]PlanCuentas!$A$2:$A$6092,[1]PlanCuentas!R$2:R$6092)</f>
        <v>0</v>
      </c>
      <c r="J762" s="12">
        <f>LOOKUP(411010800,[1]PlanCuentas!$A$2:$A$6092,[1]PlanCuentas!R$2:R$6092)</f>
        <v>0</v>
      </c>
      <c r="K762" s="12">
        <f>LOOKUP(411010900,[1]PlanCuentas!$A$2:$A$6092,[1]PlanCuentas!R$2:R$6092)</f>
        <v>0</v>
      </c>
      <c r="L762" s="12">
        <f>LOOKUP(411011000,[1]PlanCuentas!$A$2:$A$6092,[1]PlanCuentas!R$2:R$6092)</f>
        <v>0</v>
      </c>
      <c r="M762" s="12">
        <f>LOOKUP(411011100,[1]PlanCuentas!$A$2:$A$6092,[1]PlanCuentas!R$2:R$6092)</f>
        <v>0</v>
      </c>
      <c r="N762" s="12">
        <f>LOOKUP(411011200,[1]PlanCuentas!$A$2:$A$6092,[1]PlanCuentas!R$2:R$6092)</f>
        <v>303737682</v>
      </c>
      <c r="O762" s="12">
        <f>LOOKUP(411011300,[1]PlanCuentas!$A$2:$A$6092,[1]PlanCuentas!R$2:R$6092)</f>
        <v>417089470</v>
      </c>
      <c r="P762" s="12">
        <f>LOOKUP(411012000,[1]PlanCuentas!$A$2:$A$6092,[1]PlanCuentas!R$2:R$6092)</f>
        <v>0</v>
      </c>
      <c r="Q762" s="13">
        <f t="shared" si="38"/>
        <v>721965127</v>
      </c>
    </row>
    <row r="763" spans="1:17" x14ac:dyDescent="0.2">
      <c r="A763" s="10">
        <v>17</v>
      </c>
      <c r="B763" s="11" t="str">
        <f>[1]Aseguradoras!B18</f>
        <v>Intercontinental de Seguros y Reaseguros S.A.</v>
      </c>
      <c r="C763" s="12">
        <f>LOOKUP(411010100,[1]PlanCuentas!$A$2:$A$6092,[1]PlanCuentas!S$2:S$6092)</f>
        <v>0</v>
      </c>
      <c r="D763" s="12">
        <f>LOOKUP(411010200,[1]PlanCuentas!$A$2:$A$6092,[1]PlanCuentas!S$2:S$6092)</f>
        <v>0</v>
      </c>
      <c r="E763" s="12">
        <f>LOOKUP(411010300,[1]PlanCuentas!$A$2:$A$6092,[1]PlanCuentas!S$2:S$6092)</f>
        <v>0</v>
      </c>
      <c r="F763" s="12">
        <f>LOOKUP(411010400,[1]PlanCuentas!$A$2:$A$6092,[1]PlanCuentas!S$2:S$6092)</f>
        <v>0</v>
      </c>
      <c r="G763" s="12">
        <f>LOOKUP(411010500,[1]PlanCuentas!$A$2:$A$6092,[1]PlanCuentas!S$2:S$6092)</f>
        <v>0</v>
      </c>
      <c r="H763" s="12">
        <f>LOOKUP(411010600,[1]PlanCuentas!$A$2:$A$6092,[1]PlanCuentas!S$2:S$6092)</f>
        <v>0</v>
      </c>
      <c r="I763" s="12">
        <f>LOOKUP(411010700,[1]PlanCuentas!$A$2:$A$6092,[1]PlanCuentas!S$2:S$6092)</f>
        <v>0</v>
      </c>
      <c r="J763" s="12">
        <f>LOOKUP(411010800,[1]PlanCuentas!$A$2:$A$6092,[1]PlanCuentas!S$2:S$6092)</f>
        <v>0</v>
      </c>
      <c r="K763" s="12">
        <f>LOOKUP(411010900,[1]PlanCuentas!$A$2:$A$6092,[1]PlanCuentas!S$2:S$6092)</f>
        <v>0</v>
      </c>
      <c r="L763" s="12">
        <f>LOOKUP(411011000,[1]PlanCuentas!$A$2:$A$6092,[1]PlanCuentas!S$2:S$6092)</f>
        <v>0</v>
      </c>
      <c r="M763" s="12">
        <f>LOOKUP(411011100,[1]PlanCuentas!$A$2:$A$6092,[1]PlanCuentas!S$2:S$6092)</f>
        <v>0</v>
      </c>
      <c r="N763" s="12">
        <f>LOOKUP(411011200,[1]PlanCuentas!$A$2:$A$6092,[1]PlanCuentas!S$2:S$6092)</f>
        <v>0</v>
      </c>
      <c r="O763" s="12">
        <f>LOOKUP(411011300,[1]PlanCuentas!$A$2:$A$6092,[1]PlanCuentas!S$2:S$6092)</f>
        <v>0</v>
      </c>
      <c r="P763" s="12">
        <f>LOOKUP(411012000,[1]PlanCuentas!$A$2:$A$6092,[1]PlanCuentas!S$2:S$6092)</f>
        <v>0</v>
      </c>
      <c r="Q763" s="13">
        <f t="shared" si="38"/>
        <v>0</v>
      </c>
    </row>
    <row r="764" spans="1:17" x14ac:dyDescent="0.2">
      <c r="A764" s="10">
        <v>18</v>
      </c>
      <c r="B764" s="11" t="str">
        <f>[1]Aseguradoras!B19</f>
        <v>Seguridad S.A Compañía de Seguros</v>
      </c>
      <c r="C764" s="12">
        <f>LOOKUP(411010100,[1]PlanCuentas!$A$2:$A$6092,[1]PlanCuentas!T$2:T$6092)</f>
        <v>35531965</v>
      </c>
      <c r="D764" s="12">
        <f>LOOKUP(411010200,[1]PlanCuentas!$A$2:$A$6092,[1]PlanCuentas!T$2:T$6092)</f>
        <v>0</v>
      </c>
      <c r="E764" s="12">
        <f>LOOKUP(411010300,[1]PlanCuentas!$A$2:$A$6092,[1]PlanCuentas!T$2:T$6092)</f>
        <v>4651</v>
      </c>
      <c r="F764" s="12">
        <f>LOOKUP(411010400,[1]PlanCuentas!$A$2:$A$6092,[1]PlanCuentas!T$2:T$6092)</f>
        <v>0</v>
      </c>
      <c r="G764" s="12">
        <f>LOOKUP(411010500,[1]PlanCuentas!$A$2:$A$6092,[1]PlanCuentas!T$2:T$6092)</f>
        <v>0</v>
      </c>
      <c r="H764" s="12">
        <f>LOOKUP(411010600,[1]PlanCuentas!$A$2:$A$6092,[1]PlanCuentas!T$2:T$6092)</f>
        <v>0</v>
      </c>
      <c r="I764" s="12">
        <f>LOOKUP(411010700,[1]PlanCuentas!$A$2:$A$6092,[1]PlanCuentas!T$2:T$6092)</f>
        <v>0</v>
      </c>
      <c r="J764" s="12">
        <f>LOOKUP(411010800,[1]PlanCuentas!$A$2:$A$6092,[1]PlanCuentas!T$2:T$6092)</f>
        <v>420208711</v>
      </c>
      <c r="K764" s="12">
        <f>LOOKUP(411010900,[1]PlanCuentas!$A$2:$A$6092,[1]PlanCuentas!T$2:T$6092)</f>
        <v>0</v>
      </c>
      <c r="L764" s="12">
        <f>LOOKUP(411011000,[1]PlanCuentas!$A$2:$A$6092,[1]PlanCuentas!T$2:T$6092)</f>
        <v>10165200</v>
      </c>
      <c r="M764" s="12">
        <f>LOOKUP(411011100,[1]PlanCuentas!$A$2:$A$6092,[1]PlanCuentas!T$2:T$6092)</f>
        <v>6194055</v>
      </c>
      <c r="N764" s="12">
        <f>LOOKUP(411011200,[1]PlanCuentas!$A$2:$A$6092,[1]PlanCuentas!T$2:T$6092)</f>
        <v>11219054</v>
      </c>
      <c r="O764" s="12">
        <f>LOOKUP(411011300,[1]PlanCuentas!$A$2:$A$6092,[1]PlanCuentas!T$2:T$6092)</f>
        <v>5348248</v>
      </c>
      <c r="P764" s="12">
        <f>LOOKUP(411012000,[1]PlanCuentas!$A$2:$A$6092,[1]PlanCuentas!T$2:T$6092)</f>
        <v>59953489</v>
      </c>
      <c r="Q764" s="13">
        <f t="shared" si="38"/>
        <v>548625373</v>
      </c>
    </row>
    <row r="765" spans="1:17" x14ac:dyDescent="0.2">
      <c r="A765" s="10">
        <v>19</v>
      </c>
      <c r="B765" s="11" t="str">
        <f>[1]Aseguradoras!B20</f>
        <v>Universo de Seguros y Reaseguros S.A.</v>
      </c>
      <c r="C765" s="12">
        <f>LOOKUP(411010100,[1]PlanCuentas!$A$2:$A$6092,[1]PlanCuentas!U$2:U$6092)</f>
        <v>0</v>
      </c>
      <c r="D765" s="12">
        <f>LOOKUP(411010200,[1]PlanCuentas!$A$2:$A$6092,[1]PlanCuentas!U$2:U$6092)</f>
        <v>0</v>
      </c>
      <c r="E765" s="12">
        <f>LOOKUP(411010300,[1]PlanCuentas!$A$2:$A$6092,[1]PlanCuentas!U$2:U$6092)</f>
        <v>0</v>
      </c>
      <c r="F765" s="12">
        <f>LOOKUP(411010400,[1]PlanCuentas!$A$2:$A$6092,[1]PlanCuentas!U$2:U$6092)</f>
        <v>0</v>
      </c>
      <c r="G765" s="12">
        <f>LOOKUP(411010500,[1]PlanCuentas!$A$2:$A$6092,[1]PlanCuentas!U$2:U$6092)</f>
        <v>0</v>
      </c>
      <c r="H765" s="12">
        <f>LOOKUP(411010600,[1]PlanCuentas!$A$2:$A$6092,[1]PlanCuentas!U$2:U$6092)</f>
        <v>0</v>
      </c>
      <c r="I765" s="12">
        <f>LOOKUP(411010700,[1]PlanCuentas!$A$2:$A$6092,[1]PlanCuentas!U$2:U$6092)</f>
        <v>0</v>
      </c>
      <c r="J765" s="12">
        <f>LOOKUP(411010800,[1]PlanCuentas!$A$2:$A$6092,[1]PlanCuentas!U$2:U$6092)</f>
        <v>0</v>
      </c>
      <c r="K765" s="12">
        <f>LOOKUP(411010900,[1]PlanCuentas!$A$2:$A$6092,[1]PlanCuentas!U$2:U$6092)</f>
        <v>0</v>
      </c>
      <c r="L765" s="12">
        <f>LOOKUP(411011000,[1]PlanCuentas!$A$2:$A$6092,[1]PlanCuentas!U$2:U$6092)</f>
        <v>0</v>
      </c>
      <c r="M765" s="12">
        <f>LOOKUP(411011100,[1]PlanCuentas!$A$2:$A$6092,[1]PlanCuentas!U$2:U$6092)</f>
        <v>0</v>
      </c>
      <c r="N765" s="12">
        <f>LOOKUP(411011200,[1]PlanCuentas!$A$2:$A$6092,[1]PlanCuentas!U$2:U$6092)</f>
        <v>0</v>
      </c>
      <c r="O765" s="12">
        <f>LOOKUP(411011300,[1]PlanCuentas!$A$2:$A$6092,[1]PlanCuentas!U$2:U$6092)</f>
        <v>0</v>
      </c>
      <c r="P765" s="12">
        <f>LOOKUP(411012000,[1]PlanCuentas!$A$2:$A$6092,[1]PlanCuentas!U$2:U$6092)</f>
        <v>0</v>
      </c>
      <c r="Q765" s="13">
        <f t="shared" si="38"/>
        <v>0</v>
      </c>
    </row>
    <row r="766" spans="1:17" x14ac:dyDescent="0.2">
      <c r="A766" s="10">
        <v>20</v>
      </c>
      <c r="B766" s="11" t="str">
        <f>[1]Aseguradoras!B21</f>
        <v>Aseguradora Yacyreta S.A de Seguros y Reaseguros</v>
      </c>
      <c r="C766" s="12">
        <f>LOOKUP(411010100,[1]PlanCuentas!$A$2:$A$6092,[1]PlanCuentas!V$2:V$6092)</f>
        <v>1030606564</v>
      </c>
      <c r="D766" s="12">
        <f>LOOKUP(411010200,[1]PlanCuentas!$A$2:$A$6092,[1]PlanCuentas!V$2:V$6092)</f>
        <v>463550764</v>
      </c>
      <c r="E766" s="12">
        <f>LOOKUP(411010300,[1]PlanCuentas!$A$2:$A$6092,[1]PlanCuentas!V$2:V$6092)</f>
        <v>394069413</v>
      </c>
      <c r="F766" s="12">
        <f>LOOKUP(411010400,[1]PlanCuentas!$A$2:$A$6092,[1]PlanCuentas!V$2:V$6092)</f>
        <v>2528353739</v>
      </c>
      <c r="G766" s="12">
        <f>LOOKUP(411010500,[1]PlanCuentas!$A$2:$A$6092,[1]PlanCuentas!V$2:V$6092)</f>
        <v>0</v>
      </c>
      <c r="H766" s="12">
        <f>LOOKUP(411010600,[1]PlanCuentas!$A$2:$A$6092,[1]PlanCuentas!V$2:V$6092)</f>
        <v>278515212</v>
      </c>
      <c r="I766" s="12">
        <f>LOOKUP(411010700,[1]PlanCuentas!$A$2:$A$6092,[1]PlanCuentas!V$2:V$6092)</f>
        <v>7668086</v>
      </c>
      <c r="J766" s="12">
        <f>LOOKUP(411010800,[1]PlanCuentas!$A$2:$A$6092,[1]PlanCuentas!V$2:V$6092)</f>
        <v>0</v>
      </c>
      <c r="K766" s="12">
        <f>LOOKUP(411010900,[1]PlanCuentas!$A$2:$A$6092,[1]PlanCuentas!V$2:V$6092)</f>
        <v>351053612</v>
      </c>
      <c r="L766" s="12">
        <f>LOOKUP(411011000,[1]PlanCuentas!$A$2:$A$6092,[1]PlanCuentas!V$2:V$6092)</f>
        <v>189890765</v>
      </c>
      <c r="M766" s="12">
        <f>LOOKUP(411011100,[1]PlanCuentas!$A$2:$A$6092,[1]PlanCuentas!V$2:V$6092)</f>
        <v>15144044</v>
      </c>
      <c r="N766" s="12">
        <f>LOOKUP(411011200,[1]PlanCuentas!$A$2:$A$6092,[1]PlanCuentas!V$2:V$6092)</f>
        <v>116664063</v>
      </c>
      <c r="O766" s="12">
        <f>LOOKUP(411011300,[1]PlanCuentas!$A$2:$A$6092,[1]PlanCuentas!V$2:V$6092)</f>
        <v>124976522</v>
      </c>
      <c r="P766" s="12">
        <f>LOOKUP(411012000,[1]PlanCuentas!$A$2:$A$6092,[1]PlanCuentas!V$2:V$6092)</f>
        <v>0</v>
      </c>
      <c r="Q766" s="13">
        <f t="shared" si="38"/>
        <v>5500492784</v>
      </c>
    </row>
    <row r="767" spans="1:17" x14ac:dyDescent="0.2">
      <c r="A767" s="10">
        <v>21</v>
      </c>
      <c r="B767" s="11" t="str">
        <f>[1]Aseguradoras!B22</f>
        <v>La Agricola S.A de Seguros y Reaseguros</v>
      </c>
      <c r="C767" s="12">
        <f>LOOKUP(411010100,[1]PlanCuentas!$A$2:$A$6092,[1]PlanCuentas!W$2:W$6092)</f>
        <v>0</v>
      </c>
      <c r="D767" s="12">
        <f>LOOKUP(411010200,[1]PlanCuentas!$A$2:$A$6092,[1]PlanCuentas!W$2:W$6092)</f>
        <v>0</v>
      </c>
      <c r="E767" s="12">
        <f>LOOKUP(411010300,[1]PlanCuentas!$A$2:$A$6092,[1]PlanCuentas!W$2:W$6092)</f>
        <v>0</v>
      </c>
      <c r="F767" s="12">
        <f>LOOKUP(411010400,[1]PlanCuentas!$A$2:$A$6092,[1]PlanCuentas!W$2:W$6092)</f>
        <v>0</v>
      </c>
      <c r="G767" s="12">
        <f>LOOKUP(411010500,[1]PlanCuentas!$A$2:$A$6092,[1]PlanCuentas!W$2:W$6092)</f>
        <v>0</v>
      </c>
      <c r="H767" s="12">
        <f>LOOKUP(411010600,[1]PlanCuentas!$A$2:$A$6092,[1]PlanCuentas!W$2:W$6092)</f>
        <v>0</v>
      </c>
      <c r="I767" s="12">
        <f>LOOKUP(411010700,[1]PlanCuentas!$A$2:$A$6092,[1]PlanCuentas!W$2:W$6092)</f>
        <v>0</v>
      </c>
      <c r="J767" s="12">
        <f>LOOKUP(411010800,[1]PlanCuentas!$A$2:$A$6092,[1]PlanCuentas!W$2:W$6092)</f>
        <v>0</v>
      </c>
      <c r="K767" s="12">
        <f>LOOKUP(411010900,[1]PlanCuentas!$A$2:$A$6092,[1]PlanCuentas!W$2:W$6092)</f>
        <v>0</v>
      </c>
      <c r="L767" s="12">
        <f>LOOKUP(411011000,[1]PlanCuentas!$A$2:$A$6092,[1]PlanCuentas!W$2:W$6092)</f>
        <v>0</v>
      </c>
      <c r="M767" s="12">
        <f>LOOKUP(411011100,[1]PlanCuentas!$A$2:$A$6092,[1]PlanCuentas!W$2:W$6092)</f>
        <v>0</v>
      </c>
      <c r="N767" s="12">
        <f>LOOKUP(411011200,[1]PlanCuentas!$A$2:$A$6092,[1]PlanCuentas!W$2:W$6092)</f>
        <v>0</v>
      </c>
      <c r="O767" s="12">
        <f>LOOKUP(411011300,[1]PlanCuentas!$A$2:$A$6092,[1]PlanCuentas!W$2:W$6092)</f>
        <v>0</v>
      </c>
      <c r="P767" s="12">
        <f>LOOKUP(411012000,[1]PlanCuentas!$A$2:$A$6092,[1]PlanCuentas!W$2:W$6092)</f>
        <v>0</v>
      </c>
      <c r="Q767" s="13">
        <f t="shared" si="38"/>
        <v>0</v>
      </c>
    </row>
    <row r="768" spans="1:17" x14ac:dyDescent="0.2">
      <c r="A768" s="10">
        <v>22</v>
      </c>
      <c r="B768" s="11" t="str">
        <f>[1]Aseguradoras!B23</f>
        <v>Grupo General de Seguros y Reaseguros S.A.</v>
      </c>
      <c r="C768" s="12">
        <f>LOOKUP(411010100,[1]PlanCuentas!$A$2:$A$6092,[1]PlanCuentas!X$2:X$6092)</f>
        <v>0</v>
      </c>
      <c r="D768" s="12">
        <f>LOOKUP(411010200,[1]PlanCuentas!$A$2:$A$6092,[1]PlanCuentas!X$2:X$6092)</f>
        <v>0</v>
      </c>
      <c r="E768" s="12">
        <f>LOOKUP(411010300,[1]PlanCuentas!$A$2:$A$6092,[1]PlanCuentas!X$2:X$6092)</f>
        <v>0</v>
      </c>
      <c r="F768" s="12">
        <f>LOOKUP(411010400,[1]PlanCuentas!$A$2:$A$6092,[1]PlanCuentas!X$2:X$6092)</f>
        <v>0</v>
      </c>
      <c r="G768" s="12">
        <f>LOOKUP(411010500,[1]PlanCuentas!$A$2:$A$6092,[1]PlanCuentas!X$2:X$6092)</f>
        <v>0</v>
      </c>
      <c r="H768" s="12">
        <f>LOOKUP(411010600,[1]PlanCuentas!$A$2:$A$6092,[1]PlanCuentas!X$2:X$6092)</f>
        <v>0</v>
      </c>
      <c r="I768" s="12">
        <f>LOOKUP(411010700,[1]PlanCuentas!$A$2:$A$6092,[1]PlanCuentas!X$2:X$6092)</f>
        <v>0</v>
      </c>
      <c r="J768" s="12">
        <f>LOOKUP(411010800,[1]PlanCuentas!$A$2:$A$6092,[1]PlanCuentas!X$2:X$6092)</f>
        <v>0</v>
      </c>
      <c r="K768" s="12">
        <f>LOOKUP(411010900,[1]PlanCuentas!$A$2:$A$6092,[1]PlanCuentas!X$2:X$6092)</f>
        <v>0</v>
      </c>
      <c r="L768" s="12">
        <f>LOOKUP(411011000,[1]PlanCuentas!$A$2:$A$6092,[1]PlanCuentas!X$2:X$6092)</f>
        <v>0</v>
      </c>
      <c r="M768" s="12">
        <f>LOOKUP(411011100,[1]PlanCuentas!$A$2:$A$6092,[1]PlanCuentas!X$2:X$6092)</f>
        <v>0</v>
      </c>
      <c r="N768" s="12">
        <f>LOOKUP(411011200,[1]PlanCuentas!$A$2:$A$6092,[1]PlanCuentas!X$2:X$6092)</f>
        <v>0</v>
      </c>
      <c r="O768" s="12">
        <f>LOOKUP(411011300,[1]PlanCuentas!$A$2:$A$6092,[1]PlanCuentas!X$2:X$6092)</f>
        <v>0</v>
      </c>
      <c r="P768" s="12">
        <f>LOOKUP(411012000,[1]PlanCuentas!$A$2:$A$6092,[1]PlanCuentas!X$2:X$6092)</f>
        <v>0</v>
      </c>
      <c r="Q768" s="13">
        <f t="shared" si="38"/>
        <v>0</v>
      </c>
    </row>
    <row r="769" spans="1:29" x14ac:dyDescent="0.2">
      <c r="A769" s="10">
        <v>23</v>
      </c>
      <c r="B769" s="11" t="str">
        <f>[1]Aseguradoras!B24</f>
        <v>Alfa S.A de Seguros y Reaseguros</v>
      </c>
      <c r="C769" s="12">
        <f>LOOKUP(411010100,[1]PlanCuentas!$A$2:$A$6092,[1]PlanCuentas!Y$2:Y$6092)</f>
        <v>0</v>
      </c>
      <c r="D769" s="12">
        <f>LOOKUP(411010200,[1]PlanCuentas!$A$2:$A$6092,[1]PlanCuentas!Y$2:Y$6092)</f>
        <v>0</v>
      </c>
      <c r="E769" s="12">
        <f>LOOKUP(411010300,[1]PlanCuentas!$A$2:$A$6092,[1]PlanCuentas!Y$2:Y$6092)</f>
        <v>0</v>
      </c>
      <c r="F769" s="12">
        <f>LOOKUP(411010400,[1]PlanCuentas!$A$2:$A$6092,[1]PlanCuentas!Y$2:Y$6092)</f>
        <v>0</v>
      </c>
      <c r="G769" s="12">
        <f>LOOKUP(411010500,[1]PlanCuentas!$A$2:$A$6092,[1]PlanCuentas!Y$2:Y$6092)</f>
        <v>0</v>
      </c>
      <c r="H769" s="12">
        <f>LOOKUP(411010600,[1]PlanCuentas!$A$2:$A$6092,[1]PlanCuentas!Y$2:Y$6092)</f>
        <v>0</v>
      </c>
      <c r="I769" s="12">
        <f>LOOKUP(411010700,[1]PlanCuentas!$A$2:$A$6092,[1]PlanCuentas!Y$2:Y$6092)</f>
        <v>0</v>
      </c>
      <c r="J769" s="12">
        <f>LOOKUP(411010800,[1]PlanCuentas!$A$2:$A$6092,[1]PlanCuentas!Y$2:Y$6092)</f>
        <v>0</v>
      </c>
      <c r="K769" s="12">
        <f>LOOKUP(411010900,[1]PlanCuentas!$A$2:$A$6092,[1]PlanCuentas!Y$2:Y$6092)</f>
        <v>0</v>
      </c>
      <c r="L769" s="12">
        <f>LOOKUP(411011000,[1]PlanCuentas!$A$2:$A$6092,[1]PlanCuentas!Y$2:Y$6092)</f>
        <v>0</v>
      </c>
      <c r="M769" s="12">
        <f>LOOKUP(411011100,[1]PlanCuentas!$A$2:$A$6092,[1]PlanCuentas!Y$2:Y$6092)</f>
        <v>0</v>
      </c>
      <c r="N769" s="12">
        <f>LOOKUP(411011200,[1]PlanCuentas!$A$2:$A$6092,[1]PlanCuentas!Y$2:Y$6092)</f>
        <v>0</v>
      </c>
      <c r="O769" s="12">
        <f>LOOKUP(411011300,[1]PlanCuentas!$A$2:$A$6092,[1]PlanCuentas!Y$2:Y$6092)</f>
        <v>0</v>
      </c>
      <c r="P769" s="12">
        <f>LOOKUP(411012000,[1]PlanCuentas!$A$2:$A$6092,[1]PlanCuentas!Y$2:Y$6092)</f>
        <v>0</v>
      </c>
      <c r="Q769" s="13">
        <f t="shared" si="38"/>
        <v>0</v>
      </c>
    </row>
    <row r="770" spans="1:29" x14ac:dyDescent="0.2">
      <c r="A770" s="10">
        <v>24</v>
      </c>
      <c r="B770" s="11" t="str">
        <f>[1]Aseguradoras!B25</f>
        <v>Cenit de Seguros S.A.</v>
      </c>
      <c r="C770" s="12">
        <f>LOOKUP(411010100,[1]PlanCuentas!$A$2:$A$6092,[1]PlanCuentas!Z$2:Z$6092)</f>
        <v>0</v>
      </c>
      <c r="D770" s="12">
        <f>LOOKUP(411010200,[1]PlanCuentas!$A$2:$A$6092,[1]PlanCuentas!Z$2:Z$6092)</f>
        <v>0</v>
      </c>
      <c r="E770" s="12">
        <f>LOOKUP(411010300,[1]PlanCuentas!$A$2:$A$6092,[1]PlanCuentas!Z$2:Z$6092)</f>
        <v>0</v>
      </c>
      <c r="F770" s="12">
        <f>LOOKUP(411010400,[1]PlanCuentas!$A$2:$A$6092,[1]PlanCuentas!Z$2:Z$6092)</f>
        <v>0</v>
      </c>
      <c r="G770" s="12">
        <f>LOOKUP(411010500,[1]PlanCuentas!$A$2:$A$6092,[1]PlanCuentas!Z$2:Z$6092)</f>
        <v>0</v>
      </c>
      <c r="H770" s="12">
        <f>LOOKUP(411010600,[1]PlanCuentas!$A$2:$A$6092,[1]PlanCuentas!Z$2:Z$6092)</f>
        <v>0</v>
      </c>
      <c r="I770" s="12">
        <f>LOOKUP(411010700,[1]PlanCuentas!$A$2:$A$6092,[1]PlanCuentas!Z$2:Z$6092)</f>
        <v>0</v>
      </c>
      <c r="J770" s="12">
        <f>LOOKUP(411010800,[1]PlanCuentas!$A$2:$A$6092,[1]PlanCuentas!Z$2:Z$6092)</f>
        <v>0</v>
      </c>
      <c r="K770" s="12">
        <f>LOOKUP(411010900,[1]PlanCuentas!$A$2:$A$6092,[1]PlanCuentas!Z$2:Z$6092)</f>
        <v>0</v>
      </c>
      <c r="L770" s="12">
        <f>LOOKUP(411011000,[1]PlanCuentas!$A$2:$A$6092,[1]PlanCuentas!Z$2:Z$6092)</f>
        <v>0</v>
      </c>
      <c r="M770" s="12">
        <f>LOOKUP(411011100,[1]PlanCuentas!$A$2:$A$6092,[1]PlanCuentas!Z$2:Z$6092)</f>
        <v>0</v>
      </c>
      <c r="N770" s="12">
        <f>LOOKUP(411011200,[1]PlanCuentas!$A$2:$A$6092,[1]PlanCuentas!Z$2:Z$6092)</f>
        <v>0</v>
      </c>
      <c r="O770" s="12">
        <f>LOOKUP(411011300,[1]PlanCuentas!$A$2:$A$6092,[1]PlanCuentas!Z$2:Z$6092)</f>
        <v>0</v>
      </c>
      <c r="P770" s="12">
        <f>LOOKUP(411012000,[1]PlanCuentas!$A$2:$A$6092,[1]PlanCuentas!Z$2:Z$6092)</f>
        <v>0</v>
      </c>
      <c r="Q770" s="13">
        <f t="shared" si="38"/>
        <v>0</v>
      </c>
    </row>
    <row r="771" spans="1:29" x14ac:dyDescent="0.2">
      <c r="A771" s="10">
        <v>25</v>
      </c>
      <c r="B771" s="11" t="str">
        <f>[1]Aseguradoras!B26</f>
        <v>La Meridional Paraguaya S.A de Seguros</v>
      </c>
      <c r="C771" s="12">
        <f>LOOKUP(411010100,[1]PlanCuentas!$A$2:$A$6092,[1]PlanCuentas!AA$2:AA$6092)</f>
        <v>142570847</v>
      </c>
      <c r="D771" s="12">
        <f>LOOKUP(411010200,[1]PlanCuentas!$A$2:$A$6092,[1]PlanCuentas!AA$2:AA$6092)</f>
        <v>44441691</v>
      </c>
      <c r="E771" s="12">
        <f>LOOKUP(411010300,[1]PlanCuentas!$A$2:$A$6092,[1]PlanCuentas!AA$2:AA$6092)</f>
        <v>4843894</v>
      </c>
      <c r="F771" s="12">
        <f>LOOKUP(411010400,[1]PlanCuentas!$A$2:$A$6092,[1]PlanCuentas!AA$2:AA$6092)</f>
        <v>0</v>
      </c>
      <c r="G771" s="12">
        <f>LOOKUP(411010500,[1]PlanCuentas!$A$2:$A$6092,[1]PlanCuentas!AA$2:AA$6092)</f>
        <v>0</v>
      </c>
      <c r="H771" s="12">
        <f>LOOKUP(411010600,[1]PlanCuentas!$A$2:$A$6092,[1]PlanCuentas!AA$2:AA$6092)</f>
        <v>34163922</v>
      </c>
      <c r="I771" s="12">
        <f>LOOKUP(411010700,[1]PlanCuentas!$A$2:$A$6092,[1]PlanCuentas!AA$2:AA$6092)</f>
        <v>2952452</v>
      </c>
      <c r="J771" s="12">
        <f>LOOKUP(411010800,[1]PlanCuentas!$A$2:$A$6092,[1]PlanCuentas!AA$2:AA$6092)</f>
        <v>0</v>
      </c>
      <c r="K771" s="12">
        <f>LOOKUP(411010900,[1]PlanCuentas!$A$2:$A$6092,[1]PlanCuentas!AA$2:AA$6092)</f>
        <v>22070043</v>
      </c>
      <c r="L771" s="12">
        <f>LOOKUP(411011000,[1]PlanCuentas!$A$2:$A$6092,[1]PlanCuentas!AA$2:AA$6092)</f>
        <v>13022882</v>
      </c>
      <c r="M771" s="12">
        <f>LOOKUP(411011100,[1]PlanCuentas!$A$2:$A$6092,[1]PlanCuentas!AA$2:AA$6092)</f>
        <v>0</v>
      </c>
      <c r="N771" s="12">
        <f>LOOKUP(411011200,[1]PlanCuentas!$A$2:$A$6092,[1]PlanCuentas!AA$2:AA$6092)</f>
        <v>234033</v>
      </c>
      <c r="O771" s="12">
        <f>LOOKUP(411011300,[1]PlanCuentas!$A$2:$A$6092,[1]PlanCuentas!AA$2:AA$6092)</f>
        <v>11160383</v>
      </c>
      <c r="P771" s="12">
        <f>LOOKUP(411012000,[1]PlanCuentas!$A$2:$A$6092,[1]PlanCuentas!AA$2:AA$6092)</f>
        <v>1557573</v>
      </c>
      <c r="Q771" s="13">
        <f t="shared" si="38"/>
        <v>277017720</v>
      </c>
    </row>
    <row r="772" spans="1:29" x14ac:dyDescent="0.2">
      <c r="A772" s="10">
        <v>26</v>
      </c>
      <c r="B772" s="11" t="str">
        <f>[1]Aseguradoras!B27</f>
        <v>Aseguradora Del Este S.A de Seguros y Reaseguros</v>
      </c>
      <c r="C772" s="12">
        <f>LOOKUP(411010100,[1]PlanCuentas!$A$2:$A$6092,[1]PlanCuentas!AB$2:AB$6092)</f>
        <v>0</v>
      </c>
      <c r="D772" s="12">
        <f>LOOKUP(411010200,[1]PlanCuentas!$A$2:$A$6092,[1]PlanCuentas!AB$2:AB$6092)</f>
        <v>0</v>
      </c>
      <c r="E772" s="12">
        <f>LOOKUP(411010300,[1]PlanCuentas!$A$2:$A$6092,[1]PlanCuentas!AB$2:AB$6092)</f>
        <v>0</v>
      </c>
      <c r="F772" s="12">
        <f>LOOKUP(411010400,[1]PlanCuentas!$A$2:$A$6092,[1]PlanCuentas!AB$2:AB$6092)</f>
        <v>0</v>
      </c>
      <c r="G772" s="12">
        <f>LOOKUP(411010500,[1]PlanCuentas!$A$2:$A$6092,[1]PlanCuentas!AB$2:AB$6092)</f>
        <v>0</v>
      </c>
      <c r="H772" s="12">
        <f>LOOKUP(411010600,[1]PlanCuentas!$A$2:$A$6092,[1]PlanCuentas!AB$2:AB$6092)</f>
        <v>0</v>
      </c>
      <c r="I772" s="12">
        <f>LOOKUP(411010700,[1]PlanCuentas!$A$2:$A$6092,[1]PlanCuentas!AB$2:AB$6092)</f>
        <v>0</v>
      </c>
      <c r="J772" s="12">
        <f>LOOKUP(411010800,[1]PlanCuentas!$A$2:$A$6092,[1]PlanCuentas!AB$2:AB$6092)</f>
        <v>0</v>
      </c>
      <c r="K772" s="12">
        <f>LOOKUP(411010900,[1]PlanCuentas!$A$2:$A$6092,[1]PlanCuentas!AB$2:AB$6092)</f>
        <v>0</v>
      </c>
      <c r="L772" s="12">
        <f>LOOKUP(411011000,[1]PlanCuentas!$A$2:$A$6092,[1]PlanCuentas!AB$2:AB$6092)</f>
        <v>1238028</v>
      </c>
      <c r="M772" s="12">
        <f>LOOKUP(411011100,[1]PlanCuentas!$A$2:$A$6092,[1]PlanCuentas!AB$2:AB$6092)</f>
        <v>0</v>
      </c>
      <c r="N772" s="12">
        <f>LOOKUP(411011200,[1]PlanCuentas!$A$2:$A$6092,[1]PlanCuentas!AB$2:AB$6092)</f>
        <v>0</v>
      </c>
      <c r="O772" s="12">
        <f>LOOKUP(411011300,[1]PlanCuentas!$A$2:$A$6092,[1]PlanCuentas!AB$2:AB$6092)</f>
        <v>0</v>
      </c>
      <c r="P772" s="12">
        <f>LOOKUP(411012000,[1]PlanCuentas!$A$2:$A$6092,[1]PlanCuentas!AB$2:AB$6092)</f>
        <v>0</v>
      </c>
      <c r="Q772" s="13">
        <f t="shared" si="38"/>
        <v>1238028</v>
      </c>
    </row>
    <row r="773" spans="1:29" x14ac:dyDescent="0.2">
      <c r="A773" s="10">
        <v>27</v>
      </c>
      <c r="B773" s="11" t="str">
        <f>[1]Aseguradoras!B28</f>
        <v>Imperio S.A de Seguros y Reaseguros</v>
      </c>
      <c r="C773" s="12">
        <f>LOOKUP(411010100,[1]PlanCuentas!$A$2:$A$6092,[1]PlanCuentas!AC$2:AC$6092)</f>
        <v>0</v>
      </c>
      <c r="D773" s="12">
        <f>LOOKUP(411010200,[1]PlanCuentas!$A$2:$A$6092,[1]PlanCuentas!AC$2:AC$6092)</f>
        <v>0</v>
      </c>
      <c r="E773" s="12">
        <f>LOOKUP(411010300,[1]PlanCuentas!$A$2:$A$6092,[1]PlanCuentas!AC$2:AC$6092)</f>
        <v>0</v>
      </c>
      <c r="F773" s="12">
        <f>LOOKUP(411010400,[1]PlanCuentas!$A$2:$A$6092,[1]PlanCuentas!AC$2:AC$6092)</f>
        <v>0</v>
      </c>
      <c r="G773" s="12">
        <f>LOOKUP(411010500,[1]PlanCuentas!$A$2:$A$6092,[1]PlanCuentas!AC$2:AC$6092)</f>
        <v>0</v>
      </c>
      <c r="H773" s="12">
        <f>LOOKUP(411010600,[1]PlanCuentas!$A$2:$A$6092,[1]PlanCuentas!AC$2:AC$6092)</f>
        <v>0</v>
      </c>
      <c r="I773" s="12">
        <f>LOOKUP(411010700,[1]PlanCuentas!$A$2:$A$6092,[1]PlanCuentas!AC$2:AC$6092)</f>
        <v>0</v>
      </c>
      <c r="J773" s="12">
        <f>LOOKUP(411010800,[1]PlanCuentas!$A$2:$A$6092,[1]PlanCuentas!AC$2:AC$6092)</f>
        <v>0</v>
      </c>
      <c r="K773" s="12">
        <f>LOOKUP(411010900,[1]PlanCuentas!$A$2:$A$6092,[1]PlanCuentas!AC$2:AC$6092)</f>
        <v>0</v>
      </c>
      <c r="L773" s="12">
        <f>LOOKUP(411011000,[1]PlanCuentas!$A$2:$A$6092,[1]PlanCuentas!AC$2:AC$6092)</f>
        <v>0</v>
      </c>
      <c r="M773" s="12">
        <f>LOOKUP(411011100,[1]PlanCuentas!$A$2:$A$6092,[1]PlanCuentas!AC$2:AC$6092)</f>
        <v>0</v>
      </c>
      <c r="N773" s="12">
        <f>LOOKUP(411011200,[1]PlanCuentas!$A$2:$A$6092,[1]PlanCuentas!AC$2:AC$6092)</f>
        <v>0</v>
      </c>
      <c r="O773" s="12">
        <f>LOOKUP(411011300,[1]PlanCuentas!$A$2:$A$6092,[1]PlanCuentas!AC$2:AC$6092)</f>
        <v>0</v>
      </c>
      <c r="P773" s="12">
        <f>LOOKUP(411012000,[1]PlanCuentas!$A$2:$A$6092,[1]PlanCuentas!AC$2:AC$6092)</f>
        <v>0</v>
      </c>
      <c r="Q773" s="13">
        <f t="shared" si="38"/>
        <v>0</v>
      </c>
    </row>
    <row r="774" spans="1:29" x14ac:dyDescent="0.2">
      <c r="A774" s="10">
        <v>28</v>
      </c>
      <c r="B774" s="11" t="str">
        <f>[1]Aseguradoras!B29</f>
        <v>Regional S.A de Seguros y Reaseguros</v>
      </c>
      <c r="C774" s="12">
        <f>LOOKUP(411010100,[1]PlanCuentas!$A$2:$A$6092,[1]PlanCuentas!AD$2:AD$6092)</f>
        <v>0</v>
      </c>
      <c r="D774" s="12">
        <f>LOOKUP(411010200,[1]PlanCuentas!$A$2:$A$6092,[1]PlanCuentas!AD$2:AD$6092)</f>
        <v>0</v>
      </c>
      <c r="E774" s="12">
        <f>LOOKUP(411010300,[1]PlanCuentas!$A$2:$A$6092,[1]PlanCuentas!AD$2:AD$6092)</f>
        <v>0</v>
      </c>
      <c r="F774" s="12">
        <f>LOOKUP(411010400,[1]PlanCuentas!$A$2:$A$6092,[1]PlanCuentas!AD$2:AD$6092)</f>
        <v>0</v>
      </c>
      <c r="G774" s="12">
        <f>LOOKUP(411010500,[1]PlanCuentas!$A$2:$A$6092,[1]PlanCuentas!AD$2:AD$6092)</f>
        <v>0</v>
      </c>
      <c r="H774" s="12">
        <f>LOOKUP(411010600,[1]PlanCuentas!$A$2:$A$6092,[1]PlanCuentas!AD$2:AD$6092)</f>
        <v>0</v>
      </c>
      <c r="I774" s="12">
        <f>LOOKUP(411010700,[1]PlanCuentas!$A$2:$A$6092,[1]PlanCuentas!AD$2:AD$6092)</f>
        <v>0</v>
      </c>
      <c r="J774" s="12">
        <f>LOOKUP(411010800,[1]PlanCuentas!$A$2:$A$6092,[1]PlanCuentas!AD$2:AD$6092)</f>
        <v>0</v>
      </c>
      <c r="K774" s="12">
        <f>LOOKUP(411010900,[1]PlanCuentas!$A$2:$A$6092,[1]PlanCuentas!AD$2:AD$6092)</f>
        <v>0</v>
      </c>
      <c r="L774" s="12">
        <f>LOOKUP(411011000,[1]PlanCuentas!$A$2:$A$6092,[1]PlanCuentas!AD$2:AD$6092)</f>
        <v>0</v>
      </c>
      <c r="M774" s="12">
        <f>LOOKUP(411011100,[1]PlanCuentas!$A$2:$A$6092,[1]PlanCuentas!AD$2:AD$6092)</f>
        <v>0</v>
      </c>
      <c r="N774" s="12">
        <f>LOOKUP(411011200,[1]PlanCuentas!$A$2:$A$6092,[1]PlanCuentas!AD$2:AD$6092)</f>
        <v>0</v>
      </c>
      <c r="O774" s="12">
        <f>LOOKUP(411011300,[1]PlanCuentas!$A$2:$A$6092,[1]PlanCuentas!AD$2:AD$6092)</f>
        <v>0</v>
      </c>
      <c r="P774" s="12">
        <f>LOOKUP(411012000,[1]PlanCuentas!$A$2:$A$6092,[1]PlanCuentas!AD$2:AD$6092)</f>
        <v>0</v>
      </c>
      <c r="Q774" s="13">
        <f t="shared" si="38"/>
        <v>0</v>
      </c>
    </row>
    <row r="775" spans="1:29" s="37" customFormat="1" x14ac:dyDescent="0.2">
      <c r="A775" s="10">
        <v>29</v>
      </c>
      <c r="B775" s="11" t="str">
        <f>[1]Aseguradoras!B30</f>
        <v>Mapfre Paraguay Compañía de Seguros S.A.</v>
      </c>
      <c r="C775" s="12">
        <f>LOOKUP(411010100,[1]PlanCuentas!$A$2:$A$6092,[1]PlanCuentas!AE$2:AE$6092)</f>
        <v>3981017099</v>
      </c>
      <c r="D775" s="12">
        <f>LOOKUP(411010200,[1]PlanCuentas!$A$2:$A$6092,[1]PlanCuentas!AE$2:AE$6092)</f>
        <v>682052439</v>
      </c>
      <c r="E775" s="12">
        <f>LOOKUP(411010300,[1]PlanCuentas!$A$2:$A$6092,[1]PlanCuentas!AE$2:AE$6092)</f>
        <v>205667817</v>
      </c>
      <c r="F775" s="12">
        <f>LOOKUP(411010400,[1]PlanCuentas!$A$2:$A$6092,[1]PlanCuentas!AE$2:AE$6092)</f>
        <v>9543361</v>
      </c>
      <c r="G775" s="12">
        <f>LOOKUP(411010500,[1]PlanCuentas!$A$2:$A$6092,[1]PlanCuentas!AE$2:AE$6092)</f>
        <v>0</v>
      </c>
      <c r="H775" s="12">
        <f>LOOKUP(411010600,[1]PlanCuentas!$A$2:$A$6092,[1]PlanCuentas!AE$2:AE$6092)</f>
        <v>142249547</v>
      </c>
      <c r="I775" s="12">
        <f>LOOKUP(411010700,[1]PlanCuentas!$A$2:$A$6092,[1]PlanCuentas!AE$2:AE$6092)</f>
        <v>0</v>
      </c>
      <c r="J775" s="12">
        <f>LOOKUP(411010800,[1]PlanCuentas!$A$2:$A$6092,[1]PlanCuentas!AE$2:AE$6092)</f>
        <v>1161653057</v>
      </c>
      <c r="K775" s="12">
        <f>LOOKUP(411010900,[1]PlanCuentas!$A$2:$A$6092,[1]PlanCuentas!AE$2:AE$6092)</f>
        <v>491372786</v>
      </c>
      <c r="L775" s="12">
        <f>LOOKUP(411011000,[1]PlanCuentas!$A$2:$A$6092,[1]PlanCuentas!AE$2:AE$6092)</f>
        <v>262912187</v>
      </c>
      <c r="M775" s="12">
        <f>LOOKUP(411011100,[1]PlanCuentas!$A$2:$A$6092,[1]PlanCuentas!AE$2:AE$6092)</f>
        <v>52420462</v>
      </c>
      <c r="N775" s="12">
        <f>LOOKUP(411011200,[1]PlanCuentas!$A$2:$A$6092,[1]PlanCuentas!AE$2:AE$6092)</f>
        <v>83906619</v>
      </c>
      <c r="O775" s="12">
        <f>LOOKUP(411011300,[1]PlanCuentas!$A$2:$A$6092,[1]PlanCuentas!AE$2:AE$6092)</f>
        <v>33406666</v>
      </c>
      <c r="P775" s="12">
        <f>LOOKUP(411012000,[1]PlanCuentas!$A$2:$A$6092,[1]PlanCuentas!AE$2:AE$6092)</f>
        <v>6226615</v>
      </c>
      <c r="Q775" s="13">
        <f t="shared" si="38"/>
        <v>7112428655</v>
      </c>
    </row>
    <row r="776" spans="1:29" x14ac:dyDescent="0.2">
      <c r="A776" s="10">
        <v>30</v>
      </c>
      <c r="B776" s="11" t="str">
        <f>[1]Aseguradoras!B31</f>
        <v>Aseguradora Tajy Propiedad Cooperativa S.A. de Seguros</v>
      </c>
      <c r="C776" s="12">
        <f>LOOKUP(411010100,[1]PlanCuentas!$A$2:$A$6092,[1]PlanCuentas!AF$2:AF$6092)</f>
        <v>7601625</v>
      </c>
      <c r="D776" s="12">
        <f>LOOKUP(411010200,[1]PlanCuentas!$A$2:$A$6092,[1]PlanCuentas!AF$2:AF$6092)</f>
        <v>0</v>
      </c>
      <c r="E776" s="12">
        <f>LOOKUP(411010300,[1]PlanCuentas!$A$2:$A$6092,[1]PlanCuentas!AF$2:AF$6092)</f>
        <v>0</v>
      </c>
      <c r="F776" s="12">
        <f>LOOKUP(411010400,[1]PlanCuentas!$A$2:$A$6092,[1]PlanCuentas!AF$2:AF$6092)</f>
        <v>0</v>
      </c>
      <c r="G776" s="12">
        <f>LOOKUP(411010500,[1]PlanCuentas!$A$2:$A$6092,[1]PlanCuentas!AF$2:AF$6092)</f>
        <v>0</v>
      </c>
      <c r="H776" s="12">
        <f>LOOKUP(411010600,[1]PlanCuentas!$A$2:$A$6092,[1]PlanCuentas!AF$2:AF$6092)</f>
        <v>0</v>
      </c>
      <c r="I776" s="12">
        <f>LOOKUP(411010700,[1]PlanCuentas!$A$2:$A$6092,[1]PlanCuentas!AF$2:AF$6092)</f>
        <v>0</v>
      </c>
      <c r="J776" s="12">
        <f>LOOKUP(411010800,[1]PlanCuentas!$A$2:$A$6092,[1]PlanCuentas!AF$2:AF$6092)</f>
        <v>367906567</v>
      </c>
      <c r="K776" s="12">
        <f>LOOKUP(411010900,[1]PlanCuentas!$A$2:$A$6092,[1]PlanCuentas!AF$2:AF$6092)</f>
        <v>0</v>
      </c>
      <c r="L776" s="12">
        <f>LOOKUP(411011000,[1]PlanCuentas!$A$2:$A$6092,[1]PlanCuentas!AF$2:AF$6092)</f>
        <v>0</v>
      </c>
      <c r="M776" s="12">
        <f>LOOKUP(411011100,[1]PlanCuentas!$A$2:$A$6092,[1]PlanCuentas!AF$2:AF$6092)</f>
        <v>0</v>
      </c>
      <c r="N776" s="12">
        <f>LOOKUP(411011200,[1]PlanCuentas!$A$2:$A$6092,[1]PlanCuentas!AF$2:AF$6092)</f>
        <v>0</v>
      </c>
      <c r="O776" s="12">
        <f>LOOKUP(411011300,[1]PlanCuentas!$A$2:$A$6092,[1]PlanCuentas!AF$2:AF$6092)</f>
        <v>0</v>
      </c>
      <c r="P776" s="12">
        <f>LOOKUP(411012000,[1]PlanCuentas!$A$2:$A$6092,[1]PlanCuentas!AF$2:AF$6092)</f>
        <v>0</v>
      </c>
      <c r="Q776" s="13">
        <f t="shared" si="38"/>
        <v>375508192</v>
      </c>
    </row>
    <row r="777" spans="1:29" x14ac:dyDescent="0.2">
      <c r="A777" s="10">
        <v>31</v>
      </c>
      <c r="B777" s="11" t="str">
        <f>[1]Aseguradoras!B32</f>
        <v>Aseguradora del Sur S.A. Seguros Generales - ASUR</v>
      </c>
      <c r="C777" s="12">
        <f>LOOKUP(411010100,[1]PlanCuentas!$A$2:$A$6092,[1]PlanCuentas!AG$2:AG$6092)</f>
        <v>0</v>
      </c>
      <c r="D777" s="12">
        <f>LOOKUP(411010200,[1]PlanCuentas!$A$2:$A$6092,[1]PlanCuentas!AG$2:AG$6092)</f>
        <v>0</v>
      </c>
      <c r="E777" s="12">
        <f>LOOKUP(411010300,[1]PlanCuentas!$A$2:$A$6092,[1]PlanCuentas!AG$2:AG$6092)</f>
        <v>0</v>
      </c>
      <c r="F777" s="12">
        <f>LOOKUP(411010400,[1]PlanCuentas!$A$2:$A$6092,[1]PlanCuentas!AG$2:AG$6092)</f>
        <v>0</v>
      </c>
      <c r="G777" s="12">
        <f>LOOKUP(411010500,[1]PlanCuentas!$A$2:$A$6092,[1]PlanCuentas!AG$2:AG$6092)</f>
        <v>0</v>
      </c>
      <c r="H777" s="12">
        <f>LOOKUP(411010600,[1]PlanCuentas!$A$2:$A$6092,[1]PlanCuentas!AG$2:AG$6092)</f>
        <v>0</v>
      </c>
      <c r="I777" s="12">
        <f>LOOKUP(411010700,[1]PlanCuentas!$A$2:$A$6092,[1]PlanCuentas!AG$2:AG$6092)</f>
        <v>0</v>
      </c>
      <c r="J777" s="12">
        <f>LOOKUP(411010800,[1]PlanCuentas!$A$2:$A$6092,[1]PlanCuentas!AG$2:AG$6092)</f>
        <v>0</v>
      </c>
      <c r="K777" s="12">
        <f>LOOKUP(411010900,[1]PlanCuentas!$A$2:$A$6092,[1]PlanCuentas!AG$2:AG$6092)</f>
        <v>0</v>
      </c>
      <c r="L777" s="12">
        <f>LOOKUP(411011000,[1]PlanCuentas!$A$2:$A$6092,[1]PlanCuentas!AG$2:AG$6092)</f>
        <v>0</v>
      </c>
      <c r="M777" s="12">
        <f>LOOKUP(411011100,[1]PlanCuentas!$A$2:$A$6092,[1]PlanCuentas!AG$2:AG$6092)</f>
        <v>0</v>
      </c>
      <c r="N777" s="12">
        <f>LOOKUP(411011200,[1]PlanCuentas!$A$2:$A$6092,[1]PlanCuentas!AG$2:AG$6092)</f>
        <v>0</v>
      </c>
      <c r="O777" s="12">
        <f>LOOKUP(411011300,[1]PlanCuentas!$A$2:$A$6092,[1]PlanCuentas!AG$2:AG$6092)</f>
        <v>0</v>
      </c>
      <c r="P777" s="12">
        <f>LOOKUP(411012000,[1]PlanCuentas!$A$2:$A$6092,[1]PlanCuentas!AG$2:AG$6092)</f>
        <v>0</v>
      </c>
      <c r="Q777" s="13">
        <f t="shared" si="38"/>
        <v>0</v>
      </c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</row>
    <row r="778" spans="1:29" x14ac:dyDescent="0.2">
      <c r="A778" s="10">
        <v>32</v>
      </c>
      <c r="B778" s="11" t="str">
        <f>[1]Aseguradoras!B33</f>
        <v>Panal Compañía De Seguros Generales S.A.</v>
      </c>
      <c r="C778" s="12">
        <f>LOOKUP(411010100,[1]PlanCuentas!$A$2:$A$6092,[1]PlanCuentas!AH$2:AH$6092)</f>
        <v>17710749</v>
      </c>
      <c r="D778" s="12">
        <f>LOOKUP(411010200,[1]PlanCuentas!$A$2:$A$6092,[1]PlanCuentas!AH$2:AH$6092)</f>
        <v>0</v>
      </c>
      <c r="E778" s="12">
        <f>LOOKUP(411010300,[1]PlanCuentas!$A$2:$A$6092,[1]PlanCuentas!AH$2:AH$6092)</f>
        <v>0</v>
      </c>
      <c r="F778" s="12">
        <f>LOOKUP(411010400,[1]PlanCuentas!$A$2:$A$6092,[1]PlanCuentas!AH$2:AH$6092)</f>
        <v>0</v>
      </c>
      <c r="G778" s="12">
        <f>LOOKUP(411010500,[1]PlanCuentas!$A$2:$A$6092,[1]PlanCuentas!AH$2:AH$6092)</f>
        <v>0</v>
      </c>
      <c r="H778" s="12">
        <f>LOOKUP(411010600,[1]PlanCuentas!$A$2:$A$6092,[1]PlanCuentas!AH$2:AH$6092)</f>
        <v>2593112</v>
      </c>
      <c r="I778" s="12">
        <f>LOOKUP(411010700,[1]PlanCuentas!$A$2:$A$6092,[1]PlanCuentas!AH$2:AH$6092)</f>
        <v>0</v>
      </c>
      <c r="J778" s="12">
        <f>LOOKUP(411010800,[1]PlanCuentas!$A$2:$A$6092,[1]PlanCuentas!AH$2:AH$6092)</f>
        <v>0</v>
      </c>
      <c r="K778" s="12">
        <f>LOOKUP(411010900,[1]PlanCuentas!$A$2:$A$6092,[1]PlanCuentas!AH$2:AH$6092)</f>
        <v>0</v>
      </c>
      <c r="L778" s="12">
        <f>LOOKUP(411011000,[1]PlanCuentas!$A$2:$A$6092,[1]PlanCuentas!AH$2:AH$6092)</f>
        <v>0</v>
      </c>
      <c r="M778" s="12">
        <f>LOOKUP(411011100,[1]PlanCuentas!$A$2:$A$6092,[1]PlanCuentas!AH$2:AH$6092)</f>
        <v>0</v>
      </c>
      <c r="N778" s="12">
        <f>LOOKUP(411011200,[1]PlanCuentas!$A$2:$A$6092,[1]PlanCuentas!AH$2:AH$6092)</f>
        <v>17159392</v>
      </c>
      <c r="O778" s="12">
        <f>LOOKUP(411011300,[1]PlanCuentas!$A$2:$A$6092,[1]PlanCuentas!AH$2:AH$6092)</f>
        <v>0</v>
      </c>
      <c r="P778" s="12">
        <f>LOOKUP(411012000,[1]PlanCuentas!$A$2:$A$6092,[1]PlanCuentas!AH$2:AH$6092)</f>
        <v>0</v>
      </c>
      <c r="Q778" s="13">
        <f t="shared" si="38"/>
        <v>37463253</v>
      </c>
    </row>
    <row r="779" spans="1:29" x14ac:dyDescent="0.2">
      <c r="A779" s="14">
        <v>33</v>
      </c>
      <c r="B779" s="19" t="str">
        <f>[1]Aseguradoras!B34</f>
        <v>Sancor Seguros del Paraguay S.A.</v>
      </c>
      <c r="C779" s="12">
        <f>LOOKUP(411010100,[1]PlanCuentas!$A$2:$A$6092,[1]PlanCuentas!AI$2:AI$6092)</f>
        <v>7391465</v>
      </c>
      <c r="D779" s="12">
        <f>LOOKUP(411010200,[1]PlanCuentas!$A$2:$A$6092,[1]PlanCuentas!AI$2:AI$6092)</f>
        <v>0</v>
      </c>
      <c r="E779" s="12">
        <f>LOOKUP(411010300,[1]PlanCuentas!$A$2:$A$6092,[1]PlanCuentas!AI$2:AI$6092)</f>
        <v>441860</v>
      </c>
      <c r="F779" s="12">
        <f>LOOKUP(411010400,[1]PlanCuentas!$A$2:$A$6092,[1]PlanCuentas!AI$2:AI$6092)</f>
        <v>0</v>
      </c>
      <c r="G779" s="12">
        <f>LOOKUP(411010500,[1]PlanCuentas!$A$2:$A$6092,[1]PlanCuentas!AI$2:AI$6092)</f>
        <v>0</v>
      </c>
      <c r="H779" s="12">
        <f>LOOKUP(411010600,[1]PlanCuentas!$A$2:$A$6092,[1]PlanCuentas!AI$2:AI$6092)</f>
        <v>5943</v>
      </c>
      <c r="I779" s="12">
        <f>LOOKUP(411010700,[1]PlanCuentas!$A$2:$A$6092,[1]PlanCuentas!AI$2:AI$6092)</f>
        <v>0</v>
      </c>
      <c r="J779" s="12">
        <f>LOOKUP(411010800,[1]PlanCuentas!$A$2:$A$6092,[1]PlanCuentas!AI$2:AI$6092)</f>
        <v>1174400268</v>
      </c>
      <c r="K779" s="12">
        <f>LOOKUP(411010900,[1]PlanCuentas!$A$2:$A$6092,[1]PlanCuentas!AI$2:AI$6092)</f>
        <v>23021625</v>
      </c>
      <c r="L779" s="12">
        <f>LOOKUP(411011000,[1]PlanCuentas!$A$2:$A$6092,[1]PlanCuentas!AI$2:AI$6092)</f>
        <v>3765158</v>
      </c>
      <c r="M779" s="12">
        <f>LOOKUP(411011100,[1]PlanCuentas!$A$2:$A$6092,[1]PlanCuentas!AI$2:AI$6092)</f>
        <v>0</v>
      </c>
      <c r="N779" s="12">
        <f>LOOKUP(411011200,[1]PlanCuentas!$A$2:$A$6092,[1]PlanCuentas!AI$2:AI$6092)</f>
        <v>8417869</v>
      </c>
      <c r="O779" s="12">
        <f>LOOKUP(411011300,[1]PlanCuentas!$A$2:$A$6092,[1]PlanCuentas!AI$2:AI$6092)</f>
        <v>23511588</v>
      </c>
      <c r="P779" s="12">
        <f>LOOKUP(411012000,[1]PlanCuentas!$A$2:$A$6092,[1]PlanCuentas!AI$2:AI$6092)</f>
        <v>0</v>
      </c>
      <c r="Q779" s="13">
        <f>SUM(C779:P779)</f>
        <v>1240955776</v>
      </c>
    </row>
    <row r="780" spans="1:29" x14ac:dyDescent="0.2">
      <c r="A780" s="14"/>
      <c r="B780" s="15" t="s">
        <v>18</v>
      </c>
      <c r="C780" s="17">
        <f t="shared" ref="C780:Q780" si="39">SUBTOTAL(109,C747:C779)</f>
        <v>7925754254</v>
      </c>
      <c r="D780" s="17">
        <f t="shared" si="39"/>
        <v>2097301090</v>
      </c>
      <c r="E780" s="17">
        <f t="shared" si="39"/>
        <v>787136569</v>
      </c>
      <c r="F780" s="17">
        <f t="shared" si="39"/>
        <v>2537897100</v>
      </c>
      <c r="G780" s="17">
        <f t="shared" si="39"/>
        <v>0</v>
      </c>
      <c r="H780" s="17">
        <f t="shared" si="39"/>
        <v>1376797681</v>
      </c>
      <c r="I780" s="17">
        <f t="shared" si="39"/>
        <v>61618820</v>
      </c>
      <c r="J780" s="17">
        <f t="shared" si="39"/>
        <v>4678267827</v>
      </c>
      <c r="K780" s="17">
        <f t="shared" si="39"/>
        <v>1232982033</v>
      </c>
      <c r="L780" s="17">
        <f t="shared" si="39"/>
        <v>1824401798</v>
      </c>
      <c r="M780" s="17">
        <f t="shared" si="39"/>
        <v>182000523</v>
      </c>
      <c r="N780" s="17">
        <f t="shared" si="39"/>
        <v>986286387</v>
      </c>
      <c r="O780" s="17">
        <f t="shared" si="39"/>
        <v>3262031467</v>
      </c>
      <c r="P780" s="17">
        <f t="shared" si="39"/>
        <v>751898889</v>
      </c>
      <c r="Q780" s="17">
        <f t="shared" si="39"/>
        <v>27704374438</v>
      </c>
    </row>
    <row r="781" spans="1:29" x14ac:dyDescent="0.2"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</row>
    <row r="782" spans="1:29" ht="28.35" customHeight="1" x14ac:dyDescent="0.2">
      <c r="A782" s="1" t="s">
        <v>48</v>
      </c>
      <c r="B782" s="47" t="s">
        <v>50</v>
      </c>
      <c r="C782" s="47"/>
      <c r="D782" s="2"/>
      <c r="E782" s="30"/>
      <c r="F782" s="4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</row>
    <row r="783" spans="1:29" ht="24" x14ac:dyDescent="0.2">
      <c r="A783" s="7" t="s">
        <v>2</v>
      </c>
      <c r="B783" s="8" t="s">
        <v>3</v>
      </c>
      <c r="C783" s="9" t="s">
        <v>4</v>
      </c>
      <c r="D783" s="9" t="s">
        <v>5</v>
      </c>
      <c r="E783" s="9" t="s">
        <v>6</v>
      </c>
      <c r="F783" s="36" t="s">
        <v>7</v>
      </c>
      <c r="G783" s="9" t="s">
        <v>8</v>
      </c>
      <c r="H783" s="9" t="s">
        <v>9</v>
      </c>
      <c r="I783" s="9" t="s">
        <v>10</v>
      </c>
      <c r="J783" s="9" t="s">
        <v>11</v>
      </c>
      <c r="K783" s="9" t="s">
        <v>12</v>
      </c>
      <c r="L783" s="9" t="s">
        <v>13</v>
      </c>
      <c r="M783" s="9" t="s">
        <v>14</v>
      </c>
      <c r="N783" s="9" t="s">
        <v>15</v>
      </c>
      <c r="O783" s="9" t="s">
        <v>16</v>
      </c>
      <c r="P783" s="8" t="s">
        <v>17</v>
      </c>
      <c r="Q783" s="8" t="s">
        <v>18</v>
      </c>
    </row>
    <row r="784" spans="1:29" x14ac:dyDescent="0.2">
      <c r="A784" s="10">
        <v>1</v>
      </c>
      <c r="B784" s="11" t="str">
        <f>[1]Aseguradoras!B2</f>
        <v>El Comercio Paraguayo S.A. de Seguros</v>
      </c>
      <c r="C784" s="12">
        <f>LOOKUP(411040100,[1]PlanCuentas!$A$2:$A$6092,[1]PlanCuentas!C$2:C$6092)</f>
        <v>0</v>
      </c>
      <c r="D784" s="12">
        <f>LOOKUP(411040200,[1]PlanCuentas!$A$2:$A$6092,[1]PlanCuentas!C$2:C$6092)</f>
        <v>0</v>
      </c>
      <c r="E784" s="12">
        <f>LOOKUP(411040300,[1]PlanCuentas!$A$2:$A$6092,[1]PlanCuentas!C$2:C$6092)</f>
        <v>0</v>
      </c>
      <c r="F784" s="12">
        <f>LOOKUP(411040400,[1]PlanCuentas!$A$2:$A$6092,[1]PlanCuentas!C$2:C$6092)</f>
        <v>0</v>
      </c>
      <c r="G784" s="12">
        <f>LOOKUP(411040500,[1]PlanCuentas!$A$2:$A$6092,[1]PlanCuentas!C$2:C$6092)</f>
        <v>0</v>
      </c>
      <c r="H784" s="12">
        <f>LOOKUP(411040600,[1]PlanCuentas!$A$2:$A$6092,[1]PlanCuentas!C$2:C$6092)</f>
        <v>0</v>
      </c>
      <c r="I784" s="12">
        <f>LOOKUP(411040700,[1]PlanCuentas!$A$2:$A$6092,[1]PlanCuentas!C$2:C$6092)</f>
        <v>0</v>
      </c>
      <c r="J784" s="12">
        <f>LOOKUP(411040800,[1]PlanCuentas!$A$2:$A$6092,[1]PlanCuentas!C$2:C$6092)</f>
        <v>0</v>
      </c>
      <c r="K784" s="12">
        <f>LOOKUP(411040900,[1]PlanCuentas!$A$2:$A$6092,[1]PlanCuentas!C$2:C$6092)</f>
        <v>0</v>
      </c>
      <c r="L784" s="12">
        <f>LOOKUP(411041000,[1]PlanCuentas!$A$2:$A$6092,[1]PlanCuentas!C$2:C$6092)</f>
        <v>0</v>
      </c>
      <c r="M784" s="12">
        <f>LOOKUP(411041100,[1]PlanCuentas!$A$2:$A$6092,[1]PlanCuentas!C$2:C$6092)</f>
        <v>0</v>
      </c>
      <c r="N784" s="12">
        <f>LOOKUP(411041200,[1]PlanCuentas!$A$2:$A$6092,[1]PlanCuentas!C$2:C$6092)</f>
        <v>0</v>
      </c>
      <c r="O784" s="12">
        <f>LOOKUP(411041300,[1]PlanCuentas!$A$2:$A$6092,[1]PlanCuentas!C$2:C$6092)</f>
        <v>0</v>
      </c>
      <c r="P784" s="12">
        <f>LOOKUP(411042000,[1]PlanCuentas!$A$2:$A$6092,[1]PlanCuentas!C$2:C$6092)</f>
        <v>0</v>
      </c>
      <c r="Q784" s="13">
        <f t="shared" ref="Q784:Q815" si="40">SUM(C784:P784)</f>
        <v>0</v>
      </c>
    </row>
    <row r="785" spans="1:17" x14ac:dyDescent="0.2">
      <c r="A785" s="10">
        <v>2</v>
      </c>
      <c r="B785" s="11" t="str">
        <f>[1]Aseguradoras!B3</f>
        <v>La Rural S.A de Seguros</v>
      </c>
      <c r="C785" s="12">
        <f>LOOKUP(411040100,[1]PlanCuentas!$A$2:$A$6092,[1]PlanCuentas!D$2:D$6092)</f>
        <v>0</v>
      </c>
      <c r="D785" s="12">
        <f>LOOKUP(411040200,[1]PlanCuentas!$A$2:$A$6092,[1]PlanCuentas!D$2:D$6092)</f>
        <v>0</v>
      </c>
      <c r="E785" s="12">
        <f>LOOKUP(411040300,[1]PlanCuentas!$A$2:$A$6092,[1]PlanCuentas!D$2:D$6092)</f>
        <v>0</v>
      </c>
      <c r="F785" s="12">
        <f>LOOKUP(411040400,[1]PlanCuentas!$A$2:$A$6092,[1]PlanCuentas!D$2:D$6092)</f>
        <v>0</v>
      </c>
      <c r="G785" s="12">
        <f>LOOKUP(411040500,[1]PlanCuentas!$A$2:$A$6092,[1]PlanCuentas!D$2:D$6092)</f>
        <v>0</v>
      </c>
      <c r="H785" s="12">
        <f>LOOKUP(411040600,[1]PlanCuentas!$A$2:$A$6092,[1]PlanCuentas!D$2:D$6092)</f>
        <v>0</v>
      </c>
      <c r="I785" s="12">
        <f>LOOKUP(411040700,[1]PlanCuentas!$A$2:$A$6092,[1]PlanCuentas!D$2:D$6092)</f>
        <v>0</v>
      </c>
      <c r="J785" s="12">
        <f>LOOKUP(411040800,[1]PlanCuentas!$A$2:$A$6092,[1]PlanCuentas!D$2:D$6092)</f>
        <v>0</v>
      </c>
      <c r="K785" s="12">
        <f>LOOKUP(411040900,[1]PlanCuentas!$A$2:$A$6092,[1]PlanCuentas!D$2:D$6092)</f>
        <v>0</v>
      </c>
      <c r="L785" s="12">
        <f>LOOKUP(411041000,[1]PlanCuentas!$A$2:$A$6092,[1]PlanCuentas!D$2:D$6092)</f>
        <v>0</v>
      </c>
      <c r="M785" s="12">
        <f>LOOKUP(411041100,[1]PlanCuentas!$A$2:$A$6092,[1]PlanCuentas!D$2:D$6092)</f>
        <v>0</v>
      </c>
      <c r="N785" s="12">
        <f>LOOKUP(411041200,[1]PlanCuentas!$A$2:$A$6092,[1]PlanCuentas!D$2:D$6092)</f>
        <v>0</v>
      </c>
      <c r="O785" s="12">
        <f>LOOKUP(411041300,[1]PlanCuentas!$A$2:$A$6092,[1]PlanCuentas!D$2:D$6092)</f>
        <v>0</v>
      </c>
      <c r="P785" s="12">
        <f>LOOKUP(411042000,[1]PlanCuentas!$A$2:$A$6092,[1]PlanCuentas!D$2:D$6092)</f>
        <v>55165050</v>
      </c>
      <c r="Q785" s="13">
        <f t="shared" si="40"/>
        <v>55165050</v>
      </c>
    </row>
    <row r="786" spans="1:17" x14ac:dyDescent="0.2">
      <c r="A786" s="10">
        <v>3</v>
      </c>
      <c r="B786" s="11" t="str">
        <f>[1]Aseguradoras!B4</f>
        <v>La Paraguaya S.A de Seguros</v>
      </c>
      <c r="C786" s="12">
        <f>LOOKUP(411040100,[1]PlanCuentas!$A$2:$A$6092,[1]PlanCuentas!E$2:E$6092)</f>
        <v>0</v>
      </c>
      <c r="D786" s="12">
        <f>LOOKUP(411040200,[1]PlanCuentas!$A$2:$A$6092,[1]PlanCuentas!E$2:E$6092)</f>
        <v>0</v>
      </c>
      <c r="E786" s="12">
        <f>LOOKUP(411040300,[1]PlanCuentas!$A$2:$A$6092,[1]PlanCuentas!E$2:E$6092)</f>
        <v>0</v>
      </c>
      <c r="F786" s="12">
        <f>LOOKUP(411040400,[1]PlanCuentas!$A$2:$A$6092,[1]PlanCuentas!E$2:E$6092)</f>
        <v>0</v>
      </c>
      <c r="G786" s="12">
        <f>LOOKUP(411040500,[1]PlanCuentas!$A$2:$A$6092,[1]PlanCuentas!E$2:E$6092)</f>
        <v>0</v>
      </c>
      <c r="H786" s="12">
        <f>LOOKUP(411040600,[1]PlanCuentas!$A$2:$A$6092,[1]PlanCuentas!E$2:E$6092)</f>
        <v>0</v>
      </c>
      <c r="I786" s="12">
        <f>LOOKUP(411040700,[1]PlanCuentas!$A$2:$A$6092,[1]PlanCuentas!E$2:E$6092)</f>
        <v>0</v>
      </c>
      <c r="J786" s="12">
        <f>LOOKUP(411040800,[1]PlanCuentas!$A$2:$A$6092,[1]PlanCuentas!E$2:E$6092)</f>
        <v>0</v>
      </c>
      <c r="K786" s="12">
        <f>LOOKUP(411040900,[1]PlanCuentas!$A$2:$A$6092,[1]PlanCuentas!E$2:E$6092)</f>
        <v>0</v>
      </c>
      <c r="L786" s="12">
        <f>LOOKUP(411041000,[1]PlanCuentas!$A$2:$A$6092,[1]PlanCuentas!E$2:E$6092)</f>
        <v>0</v>
      </c>
      <c r="M786" s="12">
        <f>LOOKUP(411041100,[1]PlanCuentas!$A$2:$A$6092,[1]PlanCuentas!E$2:E$6092)</f>
        <v>0</v>
      </c>
      <c r="N786" s="12">
        <f>LOOKUP(411041200,[1]PlanCuentas!$A$2:$A$6092,[1]PlanCuentas!E$2:E$6092)</f>
        <v>0</v>
      </c>
      <c r="O786" s="12">
        <f>LOOKUP(411041300,[1]PlanCuentas!$A$2:$A$6092,[1]PlanCuentas!E$2:E$6092)</f>
        <v>0</v>
      </c>
      <c r="P786" s="12">
        <f>LOOKUP(411042000,[1]PlanCuentas!$A$2:$A$6092,[1]PlanCuentas!E$2:E$6092)</f>
        <v>140465304</v>
      </c>
      <c r="Q786" s="13">
        <f t="shared" si="40"/>
        <v>140465304</v>
      </c>
    </row>
    <row r="787" spans="1:17" x14ac:dyDescent="0.2">
      <c r="A787" s="10">
        <v>4</v>
      </c>
      <c r="B787" s="11" t="str">
        <f>[1]Aseguradoras!B5</f>
        <v>Seguros Generales S. A (SEGESA)</v>
      </c>
      <c r="C787" s="12">
        <f>LOOKUP(411040100,[1]PlanCuentas!$A$2:$A$6092,[1]PlanCuentas!F$2:F$6092)</f>
        <v>175471734</v>
      </c>
      <c r="D787" s="12">
        <f>LOOKUP(411040200,[1]PlanCuentas!$A$2:$A$6092,[1]PlanCuentas!F$2:F$6092)</f>
        <v>139309253</v>
      </c>
      <c r="E787" s="12">
        <f>LOOKUP(411040300,[1]PlanCuentas!$A$2:$A$6092,[1]PlanCuentas!F$2:F$6092)</f>
        <v>4598752</v>
      </c>
      <c r="F787" s="12">
        <f>LOOKUP(411040400,[1]PlanCuentas!$A$2:$A$6092,[1]PlanCuentas!F$2:F$6092)</f>
        <v>0</v>
      </c>
      <c r="G787" s="12">
        <f>LOOKUP(411040500,[1]PlanCuentas!$A$2:$A$6092,[1]PlanCuentas!F$2:F$6092)</f>
        <v>0</v>
      </c>
      <c r="H787" s="12">
        <f>LOOKUP(411040600,[1]PlanCuentas!$A$2:$A$6092,[1]PlanCuentas!F$2:F$6092)</f>
        <v>-27101204</v>
      </c>
      <c r="I787" s="12">
        <f>LOOKUP(411040700,[1]PlanCuentas!$A$2:$A$6092,[1]PlanCuentas!F$2:F$6092)</f>
        <v>-629954</v>
      </c>
      <c r="J787" s="12">
        <f>LOOKUP(411040800,[1]PlanCuentas!$A$2:$A$6092,[1]PlanCuentas!F$2:F$6092)</f>
        <v>0</v>
      </c>
      <c r="K787" s="12">
        <f>LOOKUP(411040900,[1]PlanCuentas!$A$2:$A$6092,[1]PlanCuentas!F$2:F$6092)</f>
        <v>22823729</v>
      </c>
      <c r="L787" s="12">
        <f>LOOKUP(411041000,[1]PlanCuentas!$A$2:$A$6092,[1]PlanCuentas!F$2:F$6092)</f>
        <v>10125113</v>
      </c>
      <c r="M787" s="12">
        <f>LOOKUP(411041100,[1]PlanCuentas!$A$2:$A$6092,[1]PlanCuentas!F$2:F$6092)</f>
        <v>0</v>
      </c>
      <c r="N787" s="12">
        <f>LOOKUP(411041200,[1]PlanCuentas!$A$2:$A$6092,[1]PlanCuentas!F$2:F$6092)</f>
        <v>-535004</v>
      </c>
      <c r="O787" s="12">
        <f>LOOKUP(411041300,[1]PlanCuentas!$A$2:$A$6092,[1]PlanCuentas!F$2:F$6092)</f>
        <v>170293571</v>
      </c>
      <c r="P787" s="12">
        <f>LOOKUP(411042000,[1]PlanCuentas!$A$2:$A$6092,[1]PlanCuentas!F$2:F$6092)</f>
        <v>10581836</v>
      </c>
      <c r="Q787" s="13">
        <f t="shared" si="40"/>
        <v>504937826</v>
      </c>
    </row>
    <row r="788" spans="1:17" x14ac:dyDescent="0.2">
      <c r="A788" s="10">
        <v>5</v>
      </c>
      <c r="B788" s="11" t="str">
        <f>[1]Aseguradoras!B6</f>
        <v>Rumbos S.A de Seguros</v>
      </c>
      <c r="C788" s="12">
        <f>LOOKUP(411040100,[1]PlanCuentas!$A$2:$A$6092,[1]PlanCuentas!G$2:G$6092)</f>
        <v>91030202</v>
      </c>
      <c r="D788" s="12">
        <f>LOOKUP(411040200,[1]PlanCuentas!$A$2:$A$6092,[1]PlanCuentas!G$2:G$6092)</f>
        <v>26028824</v>
      </c>
      <c r="E788" s="12">
        <f>LOOKUP(411040300,[1]PlanCuentas!$A$2:$A$6092,[1]PlanCuentas!G$2:G$6092)</f>
        <v>2516518</v>
      </c>
      <c r="F788" s="12">
        <f>LOOKUP(411040400,[1]PlanCuentas!$A$2:$A$6092,[1]PlanCuentas!G$2:G$6092)</f>
        <v>0</v>
      </c>
      <c r="G788" s="12">
        <f>LOOKUP(411040500,[1]PlanCuentas!$A$2:$A$6092,[1]PlanCuentas!G$2:G$6092)</f>
        <v>0</v>
      </c>
      <c r="H788" s="12">
        <f>LOOKUP(411040600,[1]PlanCuentas!$A$2:$A$6092,[1]PlanCuentas!G$2:G$6092)</f>
        <v>0</v>
      </c>
      <c r="I788" s="12">
        <f>LOOKUP(411040700,[1]PlanCuentas!$A$2:$A$6092,[1]PlanCuentas!G$2:G$6092)</f>
        <v>516477</v>
      </c>
      <c r="J788" s="12">
        <f>LOOKUP(411040800,[1]PlanCuentas!$A$2:$A$6092,[1]PlanCuentas!G$2:G$6092)</f>
        <v>0</v>
      </c>
      <c r="K788" s="12">
        <f>LOOKUP(411040900,[1]PlanCuentas!$A$2:$A$6092,[1]PlanCuentas!G$2:G$6092)</f>
        <v>28971</v>
      </c>
      <c r="L788" s="12">
        <f>LOOKUP(411041000,[1]PlanCuentas!$A$2:$A$6092,[1]PlanCuentas!G$2:G$6092)</f>
        <v>6555487</v>
      </c>
      <c r="M788" s="12">
        <f>LOOKUP(411041100,[1]PlanCuentas!$A$2:$A$6092,[1]PlanCuentas!G$2:G$6092)</f>
        <v>1697315</v>
      </c>
      <c r="N788" s="12">
        <f>LOOKUP(411041200,[1]PlanCuentas!$A$2:$A$6092,[1]PlanCuentas!G$2:G$6092)</f>
        <v>14312847</v>
      </c>
      <c r="O788" s="12">
        <f>LOOKUP(411041300,[1]PlanCuentas!$A$2:$A$6092,[1]PlanCuentas!G$2:G$6092)</f>
        <v>162584576</v>
      </c>
      <c r="P788" s="12">
        <f>LOOKUP(411042000,[1]PlanCuentas!$A$2:$A$6092,[1]PlanCuentas!G$2:G$6092)</f>
        <v>0</v>
      </c>
      <c r="Q788" s="13">
        <f t="shared" si="40"/>
        <v>305271217</v>
      </c>
    </row>
    <row r="789" spans="1:17" x14ac:dyDescent="0.2">
      <c r="A789" s="10">
        <v>6</v>
      </c>
      <c r="B789" s="11" t="str">
        <f>[1]Aseguradoras!B7</f>
        <v>La Consolidada S.A de Seguros</v>
      </c>
      <c r="C789" s="12">
        <f>LOOKUP(411040100,[1]PlanCuentas!$A$2:$A$6092,[1]PlanCuentas!H$2:H$6092)</f>
        <v>0</v>
      </c>
      <c r="D789" s="12">
        <f>LOOKUP(411040200,[1]PlanCuentas!$A$2:$A$6092,[1]PlanCuentas!H$2:H$6092)</f>
        <v>0</v>
      </c>
      <c r="E789" s="12">
        <f>LOOKUP(411040300,[1]PlanCuentas!$A$2:$A$6092,[1]PlanCuentas!H$2:H$6092)</f>
        <v>0</v>
      </c>
      <c r="F789" s="12">
        <f>LOOKUP(411040400,[1]PlanCuentas!$A$2:$A$6092,[1]PlanCuentas!H$2:H$6092)</f>
        <v>0</v>
      </c>
      <c r="G789" s="12">
        <f>LOOKUP(411040500,[1]PlanCuentas!$A$2:$A$6092,[1]PlanCuentas!H$2:H$6092)</f>
        <v>0</v>
      </c>
      <c r="H789" s="12">
        <f>LOOKUP(411040600,[1]PlanCuentas!$A$2:$A$6092,[1]PlanCuentas!H$2:H$6092)</f>
        <v>0</v>
      </c>
      <c r="I789" s="12">
        <f>LOOKUP(411040700,[1]PlanCuentas!$A$2:$A$6092,[1]PlanCuentas!H$2:H$6092)</f>
        <v>0</v>
      </c>
      <c r="J789" s="12">
        <f>LOOKUP(411040800,[1]PlanCuentas!$A$2:$A$6092,[1]PlanCuentas!H$2:H$6092)</f>
        <v>0</v>
      </c>
      <c r="K789" s="12">
        <f>LOOKUP(411040900,[1]PlanCuentas!$A$2:$A$6092,[1]PlanCuentas!H$2:H$6092)</f>
        <v>0</v>
      </c>
      <c r="L789" s="12">
        <f>LOOKUP(411041000,[1]PlanCuentas!$A$2:$A$6092,[1]PlanCuentas!H$2:H$6092)</f>
        <v>0</v>
      </c>
      <c r="M789" s="12">
        <f>LOOKUP(411041100,[1]PlanCuentas!$A$2:$A$6092,[1]PlanCuentas!H$2:H$6092)</f>
        <v>0</v>
      </c>
      <c r="N789" s="12">
        <f>LOOKUP(411041200,[1]PlanCuentas!$A$2:$A$6092,[1]PlanCuentas!H$2:H$6092)</f>
        <v>0</v>
      </c>
      <c r="O789" s="12">
        <f>LOOKUP(411041300,[1]PlanCuentas!$A$2:$A$6092,[1]PlanCuentas!H$2:H$6092)</f>
        <v>0</v>
      </c>
      <c r="P789" s="12">
        <f>LOOKUP(411042000,[1]PlanCuentas!$A$2:$A$6092,[1]PlanCuentas!H$2:H$6092)</f>
        <v>978779180</v>
      </c>
      <c r="Q789" s="13">
        <f t="shared" si="40"/>
        <v>978779180</v>
      </c>
    </row>
    <row r="790" spans="1:17" x14ac:dyDescent="0.2">
      <c r="A790" s="10">
        <v>7</v>
      </c>
      <c r="B790" s="11" t="str">
        <f>[1]Aseguradoras!B8</f>
        <v>El Productor S.A de Seguros y Reaseguros</v>
      </c>
      <c r="C790" s="12">
        <f>LOOKUP(411040100,[1]PlanCuentas!$A$2:$A$6092,[1]PlanCuentas!I$2:I$6092)</f>
        <v>26010371</v>
      </c>
      <c r="D790" s="12">
        <f>LOOKUP(411040200,[1]PlanCuentas!$A$2:$A$6092,[1]PlanCuentas!I$2:I$6092)</f>
        <v>48750285</v>
      </c>
      <c r="E790" s="12">
        <f>LOOKUP(411040300,[1]PlanCuentas!$A$2:$A$6092,[1]PlanCuentas!I$2:I$6092)</f>
        <v>5716863</v>
      </c>
      <c r="F790" s="12">
        <f>LOOKUP(411040400,[1]PlanCuentas!$A$2:$A$6092,[1]PlanCuentas!I$2:I$6092)</f>
        <v>0</v>
      </c>
      <c r="G790" s="12">
        <f>LOOKUP(411040500,[1]PlanCuentas!$A$2:$A$6092,[1]PlanCuentas!I$2:I$6092)</f>
        <v>0</v>
      </c>
      <c r="H790" s="12">
        <f>LOOKUP(411040600,[1]PlanCuentas!$A$2:$A$6092,[1]PlanCuentas!I$2:I$6092)</f>
        <v>78889922</v>
      </c>
      <c r="I790" s="12">
        <f>LOOKUP(411040700,[1]PlanCuentas!$A$2:$A$6092,[1]PlanCuentas!I$2:I$6092)</f>
        <v>8883298</v>
      </c>
      <c r="J790" s="12">
        <f>LOOKUP(411040800,[1]PlanCuentas!$A$2:$A$6092,[1]PlanCuentas!I$2:I$6092)</f>
        <v>0</v>
      </c>
      <c r="K790" s="12">
        <f>LOOKUP(411040900,[1]PlanCuentas!$A$2:$A$6092,[1]PlanCuentas!I$2:I$6092)</f>
        <v>0</v>
      </c>
      <c r="L790" s="12">
        <f>LOOKUP(411041000,[1]PlanCuentas!$A$2:$A$6092,[1]PlanCuentas!I$2:I$6092)</f>
        <v>31252593</v>
      </c>
      <c r="M790" s="12">
        <f>LOOKUP(411041100,[1]PlanCuentas!$A$2:$A$6092,[1]PlanCuentas!I$2:I$6092)</f>
        <v>1794260</v>
      </c>
      <c r="N790" s="12">
        <f>LOOKUP(411041200,[1]PlanCuentas!$A$2:$A$6092,[1]PlanCuentas!I$2:I$6092)</f>
        <v>24140388</v>
      </c>
      <c r="O790" s="12">
        <f>LOOKUP(411041300,[1]PlanCuentas!$A$2:$A$6092,[1]PlanCuentas!I$2:I$6092)</f>
        <v>10367104</v>
      </c>
      <c r="P790" s="12">
        <f>LOOKUP(411042000,[1]PlanCuentas!$A$2:$A$6092,[1]PlanCuentas!I$2:I$6092)</f>
        <v>33875286</v>
      </c>
      <c r="Q790" s="13">
        <f t="shared" si="40"/>
        <v>269680370</v>
      </c>
    </row>
    <row r="791" spans="1:17" x14ac:dyDescent="0.2">
      <c r="A791" s="10">
        <v>8</v>
      </c>
      <c r="B791" s="11" t="str">
        <f>[1]Aseguradoras!B9</f>
        <v>Atalaya S.A de Seguros Generales</v>
      </c>
      <c r="C791" s="12">
        <f>LOOKUP(411040100,[1]PlanCuentas!$A$2:$A$6092,[1]PlanCuentas!J$2:J$6092)</f>
        <v>0</v>
      </c>
      <c r="D791" s="12">
        <f>LOOKUP(411040200,[1]PlanCuentas!$A$2:$A$6092,[1]PlanCuentas!J$2:J$6092)</f>
        <v>0</v>
      </c>
      <c r="E791" s="12">
        <f>LOOKUP(411040300,[1]PlanCuentas!$A$2:$A$6092,[1]PlanCuentas!J$2:J$6092)</f>
        <v>0</v>
      </c>
      <c r="F791" s="12">
        <f>LOOKUP(411040400,[1]PlanCuentas!$A$2:$A$6092,[1]PlanCuentas!J$2:J$6092)</f>
        <v>0</v>
      </c>
      <c r="G791" s="12">
        <f>LOOKUP(411040500,[1]PlanCuentas!$A$2:$A$6092,[1]PlanCuentas!J$2:J$6092)</f>
        <v>0</v>
      </c>
      <c r="H791" s="12">
        <f>LOOKUP(411040600,[1]PlanCuentas!$A$2:$A$6092,[1]PlanCuentas!J$2:J$6092)</f>
        <v>0</v>
      </c>
      <c r="I791" s="12">
        <f>LOOKUP(411040700,[1]PlanCuentas!$A$2:$A$6092,[1]PlanCuentas!J$2:J$6092)</f>
        <v>0</v>
      </c>
      <c r="J791" s="12">
        <f>LOOKUP(411040800,[1]PlanCuentas!$A$2:$A$6092,[1]PlanCuentas!J$2:J$6092)</f>
        <v>0</v>
      </c>
      <c r="K791" s="12">
        <f>LOOKUP(411040900,[1]PlanCuentas!$A$2:$A$6092,[1]PlanCuentas!J$2:J$6092)</f>
        <v>0</v>
      </c>
      <c r="L791" s="12">
        <f>LOOKUP(411041000,[1]PlanCuentas!$A$2:$A$6092,[1]PlanCuentas!J$2:J$6092)</f>
        <v>0</v>
      </c>
      <c r="M791" s="12">
        <f>LOOKUP(411041100,[1]PlanCuentas!$A$2:$A$6092,[1]PlanCuentas!J$2:J$6092)</f>
        <v>0</v>
      </c>
      <c r="N791" s="12">
        <f>LOOKUP(411041200,[1]PlanCuentas!$A$2:$A$6092,[1]PlanCuentas!J$2:J$6092)</f>
        <v>0</v>
      </c>
      <c r="O791" s="12">
        <f>LOOKUP(411041300,[1]PlanCuentas!$A$2:$A$6092,[1]PlanCuentas!J$2:J$6092)</f>
        <v>0</v>
      </c>
      <c r="P791" s="12">
        <f>LOOKUP(411042000,[1]PlanCuentas!$A$2:$A$6092,[1]PlanCuentas!J$2:J$6092)</f>
        <v>0</v>
      </c>
      <c r="Q791" s="13">
        <f t="shared" si="40"/>
        <v>0</v>
      </c>
    </row>
    <row r="792" spans="1:17" x14ac:dyDescent="0.2">
      <c r="A792" s="10">
        <v>9</v>
      </c>
      <c r="B792" s="11" t="str">
        <f>[1]Aseguradoras!B10</f>
        <v>La Independencia de Seguros S.A.</v>
      </c>
      <c r="C792" s="12">
        <f>LOOKUP(411040100,[1]PlanCuentas!$A$2:$A$6092,[1]PlanCuentas!K$2:K$6092)</f>
        <v>0</v>
      </c>
      <c r="D792" s="12">
        <f>LOOKUP(411040200,[1]PlanCuentas!$A$2:$A$6092,[1]PlanCuentas!K$2:K$6092)</f>
        <v>0</v>
      </c>
      <c r="E792" s="12">
        <f>LOOKUP(411040300,[1]PlanCuentas!$A$2:$A$6092,[1]PlanCuentas!K$2:K$6092)</f>
        <v>0</v>
      </c>
      <c r="F792" s="12">
        <f>LOOKUP(411040400,[1]PlanCuentas!$A$2:$A$6092,[1]PlanCuentas!K$2:K$6092)</f>
        <v>0</v>
      </c>
      <c r="G792" s="12">
        <f>LOOKUP(411040500,[1]PlanCuentas!$A$2:$A$6092,[1]PlanCuentas!K$2:K$6092)</f>
        <v>0</v>
      </c>
      <c r="H792" s="12">
        <f>LOOKUP(411040600,[1]PlanCuentas!$A$2:$A$6092,[1]PlanCuentas!K$2:K$6092)</f>
        <v>0</v>
      </c>
      <c r="I792" s="12">
        <f>LOOKUP(411040700,[1]PlanCuentas!$A$2:$A$6092,[1]PlanCuentas!K$2:K$6092)</f>
        <v>0</v>
      </c>
      <c r="J792" s="12">
        <f>LOOKUP(411040800,[1]PlanCuentas!$A$2:$A$6092,[1]PlanCuentas!K$2:K$6092)</f>
        <v>0</v>
      </c>
      <c r="K792" s="12">
        <f>LOOKUP(411040900,[1]PlanCuentas!$A$2:$A$6092,[1]PlanCuentas!K$2:K$6092)</f>
        <v>0</v>
      </c>
      <c r="L792" s="12">
        <f>LOOKUP(411041000,[1]PlanCuentas!$A$2:$A$6092,[1]PlanCuentas!K$2:K$6092)</f>
        <v>0</v>
      </c>
      <c r="M792" s="12">
        <f>LOOKUP(411041100,[1]PlanCuentas!$A$2:$A$6092,[1]PlanCuentas!K$2:K$6092)</f>
        <v>0</v>
      </c>
      <c r="N792" s="12">
        <f>LOOKUP(411041200,[1]PlanCuentas!$A$2:$A$6092,[1]PlanCuentas!K$2:K$6092)</f>
        <v>0</v>
      </c>
      <c r="O792" s="12">
        <f>LOOKUP(411041300,[1]PlanCuentas!$A$2:$A$6092,[1]PlanCuentas!K$2:K$6092)</f>
        <v>0</v>
      </c>
      <c r="P792" s="12">
        <f>LOOKUP(411042000,[1]PlanCuentas!$A$2:$A$6092,[1]PlanCuentas!K$2:K$6092)</f>
        <v>146587175</v>
      </c>
      <c r="Q792" s="13">
        <f t="shared" si="40"/>
        <v>146587175</v>
      </c>
    </row>
    <row r="793" spans="1:17" x14ac:dyDescent="0.2">
      <c r="A793" s="10">
        <v>10</v>
      </c>
      <c r="B793" s="11" t="str">
        <f>[1]Aseguradoras!B11</f>
        <v>Patria S.A de Seguros y Reaseguros</v>
      </c>
      <c r="C793" s="12">
        <f>LOOKUP(411040100,[1]PlanCuentas!$A$2:$A$6092,[1]PlanCuentas!L$2:L$6092)</f>
        <v>0</v>
      </c>
      <c r="D793" s="12">
        <f>LOOKUP(411040200,[1]PlanCuentas!$A$2:$A$6092,[1]PlanCuentas!L$2:L$6092)</f>
        <v>0</v>
      </c>
      <c r="E793" s="12">
        <f>LOOKUP(411040300,[1]PlanCuentas!$A$2:$A$6092,[1]PlanCuentas!L$2:L$6092)</f>
        <v>0</v>
      </c>
      <c r="F793" s="12">
        <f>LOOKUP(411040400,[1]PlanCuentas!$A$2:$A$6092,[1]PlanCuentas!L$2:L$6092)</f>
        <v>0</v>
      </c>
      <c r="G793" s="12">
        <f>LOOKUP(411040500,[1]PlanCuentas!$A$2:$A$6092,[1]PlanCuentas!L$2:L$6092)</f>
        <v>0</v>
      </c>
      <c r="H793" s="12">
        <f>LOOKUP(411040600,[1]PlanCuentas!$A$2:$A$6092,[1]PlanCuentas!L$2:L$6092)</f>
        <v>0</v>
      </c>
      <c r="I793" s="12">
        <f>LOOKUP(411040700,[1]PlanCuentas!$A$2:$A$6092,[1]PlanCuentas!L$2:L$6092)</f>
        <v>0</v>
      </c>
      <c r="J793" s="12">
        <f>LOOKUP(411040800,[1]PlanCuentas!$A$2:$A$6092,[1]PlanCuentas!L$2:L$6092)</f>
        <v>0</v>
      </c>
      <c r="K793" s="12">
        <f>LOOKUP(411040900,[1]PlanCuentas!$A$2:$A$6092,[1]PlanCuentas!L$2:L$6092)</f>
        <v>0</v>
      </c>
      <c r="L793" s="12">
        <f>LOOKUP(411041000,[1]PlanCuentas!$A$2:$A$6092,[1]PlanCuentas!L$2:L$6092)</f>
        <v>0</v>
      </c>
      <c r="M793" s="12">
        <f>LOOKUP(411041100,[1]PlanCuentas!$A$2:$A$6092,[1]PlanCuentas!L$2:L$6092)</f>
        <v>0</v>
      </c>
      <c r="N793" s="12">
        <f>LOOKUP(411041200,[1]PlanCuentas!$A$2:$A$6092,[1]PlanCuentas!L$2:L$6092)</f>
        <v>0</v>
      </c>
      <c r="O793" s="12">
        <f>LOOKUP(411041300,[1]PlanCuentas!$A$2:$A$6092,[1]PlanCuentas!L$2:L$6092)</f>
        <v>0</v>
      </c>
      <c r="P793" s="12">
        <f>LOOKUP(411042000,[1]PlanCuentas!$A$2:$A$6092,[1]PlanCuentas!L$2:L$6092)</f>
        <v>0</v>
      </c>
      <c r="Q793" s="13">
        <f t="shared" si="40"/>
        <v>0</v>
      </c>
    </row>
    <row r="794" spans="1:17" x14ac:dyDescent="0.2">
      <c r="A794" s="10">
        <v>11</v>
      </c>
      <c r="B794" s="11" t="str">
        <f>[1]Aseguradoras!B12</f>
        <v>Garantía S.A de Seguros y Reaseguros</v>
      </c>
      <c r="C794" s="12">
        <f>LOOKUP(411040100,[1]PlanCuentas!$A$2:$A$6092,[1]PlanCuentas!M$2:M$6092)</f>
        <v>5532847</v>
      </c>
      <c r="D794" s="12">
        <f>LOOKUP(411040200,[1]PlanCuentas!$A$2:$A$6092,[1]PlanCuentas!M$2:M$6092)</f>
        <v>0</v>
      </c>
      <c r="E794" s="12">
        <f>LOOKUP(411040300,[1]PlanCuentas!$A$2:$A$6092,[1]PlanCuentas!M$2:M$6092)</f>
        <v>902339</v>
      </c>
      <c r="F794" s="12">
        <f>LOOKUP(411040400,[1]PlanCuentas!$A$2:$A$6092,[1]PlanCuentas!M$2:M$6092)</f>
        <v>0</v>
      </c>
      <c r="G794" s="12">
        <f>LOOKUP(411040500,[1]PlanCuentas!$A$2:$A$6092,[1]PlanCuentas!M$2:M$6092)</f>
        <v>0</v>
      </c>
      <c r="H794" s="12">
        <f>LOOKUP(411040600,[1]PlanCuentas!$A$2:$A$6092,[1]PlanCuentas!M$2:M$6092)</f>
        <v>0</v>
      </c>
      <c r="I794" s="12">
        <f>LOOKUP(411040700,[1]PlanCuentas!$A$2:$A$6092,[1]PlanCuentas!M$2:M$6092)</f>
        <v>325835</v>
      </c>
      <c r="J794" s="12">
        <f>LOOKUP(411040800,[1]PlanCuentas!$A$2:$A$6092,[1]PlanCuentas!M$2:M$6092)</f>
        <v>0</v>
      </c>
      <c r="K794" s="12">
        <f>LOOKUP(411040900,[1]PlanCuentas!$A$2:$A$6092,[1]PlanCuentas!M$2:M$6092)</f>
        <v>0</v>
      </c>
      <c r="L794" s="12">
        <f>LOOKUP(411041000,[1]PlanCuentas!$A$2:$A$6092,[1]PlanCuentas!M$2:M$6092)</f>
        <v>1262386</v>
      </c>
      <c r="M794" s="12">
        <f>LOOKUP(411041100,[1]PlanCuentas!$A$2:$A$6092,[1]PlanCuentas!M$2:M$6092)</f>
        <v>0</v>
      </c>
      <c r="N794" s="12">
        <f>LOOKUP(411041200,[1]PlanCuentas!$A$2:$A$6092,[1]PlanCuentas!M$2:M$6092)</f>
        <v>655454</v>
      </c>
      <c r="O794" s="12">
        <f>LOOKUP(411041300,[1]PlanCuentas!$A$2:$A$6092,[1]PlanCuentas!M$2:M$6092)</f>
        <v>1163152</v>
      </c>
      <c r="P794" s="12">
        <f>LOOKUP(411042000,[1]PlanCuentas!$A$2:$A$6092,[1]PlanCuentas!M$2:M$6092)</f>
        <v>0</v>
      </c>
      <c r="Q794" s="13">
        <f t="shared" si="40"/>
        <v>9842013</v>
      </c>
    </row>
    <row r="795" spans="1:17" x14ac:dyDescent="0.2">
      <c r="A795" s="10">
        <v>12</v>
      </c>
      <c r="B795" s="11" t="str">
        <f>[1]Aseguradoras!B13</f>
        <v>Aseguradora Paraguaya S.A.</v>
      </c>
      <c r="C795" s="12">
        <f>LOOKUP(411040100,[1]PlanCuentas!$A$2:$A$6092,[1]PlanCuentas!N$2:N$6092)</f>
        <v>134505052</v>
      </c>
      <c r="D795" s="12">
        <f>LOOKUP(411040200,[1]PlanCuentas!$A$2:$A$6092,[1]PlanCuentas!N$2:N$6092)</f>
        <v>57201031</v>
      </c>
      <c r="E795" s="12">
        <f>LOOKUP(411040300,[1]PlanCuentas!$A$2:$A$6092,[1]PlanCuentas!N$2:N$6092)</f>
        <v>11212890</v>
      </c>
      <c r="F795" s="12">
        <f>LOOKUP(411040400,[1]PlanCuentas!$A$2:$A$6092,[1]PlanCuentas!N$2:N$6092)</f>
        <v>0</v>
      </c>
      <c r="G795" s="12">
        <f>LOOKUP(411040500,[1]PlanCuentas!$A$2:$A$6092,[1]PlanCuentas!N$2:N$6092)</f>
        <v>0</v>
      </c>
      <c r="H795" s="12">
        <f>LOOKUP(411040600,[1]PlanCuentas!$A$2:$A$6092,[1]PlanCuentas!N$2:N$6092)</f>
        <v>49254700</v>
      </c>
      <c r="I795" s="12">
        <f>LOOKUP(411040700,[1]PlanCuentas!$A$2:$A$6092,[1]PlanCuentas!N$2:N$6092)</f>
        <v>5501527</v>
      </c>
      <c r="J795" s="12">
        <f>LOOKUP(411040800,[1]PlanCuentas!$A$2:$A$6092,[1]PlanCuentas!N$2:N$6092)</f>
        <v>0</v>
      </c>
      <c r="K795" s="12">
        <f>LOOKUP(411040900,[1]PlanCuentas!$A$2:$A$6092,[1]PlanCuentas!N$2:N$6092)</f>
        <v>0</v>
      </c>
      <c r="L795" s="12">
        <f>LOOKUP(411041000,[1]PlanCuentas!$A$2:$A$6092,[1]PlanCuentas!N$2:N$6092)</f>
        <v>21475115</v>
      </c>
      <c r="M795" s="12">
        <f>LOOKUP(411041100,[1]PlanCuentas!$A$2:$A$6092,[1]PlanCuentas!N$2:N$6092)</f>
        <v>7570567</v>
      </c>
      <c r="N795" s="12">
        <f>LOOKUP(411041200,[1]PlanCuentas!$A$2:$A$6092,[1]PlanCuentas!N$2:N$6092)</f>
        <v>9323046</v>
      </c>
      <c r="O795" s="12">
        <f>LOOKUP(411041300,[1]PlanCuentas!$A$2:$A$6092,[1]PlanCuentas!N$2:N$6092)</f>
        <v>170668907</v>
      </c>
      <c r="P795" s="12">
        <f>LOOKUP(411042000,[1]PlanCuentas!$A$2:$A$6092,[1]PlanCuentas!N$2:N$6092)</f>
        <v>49728181</v>
      </c>
      <c r="Q795" s="13">
        <f t="shared" si="40"/>
        <v>516441016</v>
      </c>
    </row>
    <row r="796" spans="1:17" x14ac:dyDescent="0.2">
      <c r="A796" s="10">
        <v>13</v>
      </c>
      <c r="B796" s="11" t="str">
        <f>[1]Aseguradoras!B14</f>
        <v>Fénix S.A de Seguros y Reaseguros</v>
      </c>
      <c r="C796" s="12">
        <f>LOOKUP(411040100,[1]PlanCuentas!$A$2:$A$6092,[1]PlanCuentas!O$2:O$6092)</f>
        <v>0</v>
      </c>
      <c r="D796" s="12">
        <f>LOOKUP(411040200,[1]PlanCuentas!$A$2:$A$6092,[1]PlanCuentas!O$2:O$6092)</f>
        <v>0</v>
      </c>
      <c r="E796" s="12">
        <f>LOOKUP(411040300,[1]PlanCuentas!$A$2:$A$6092,[1]PlanCuentas!O$2:O$6092)</f>
        <v>0</v>
      </c>
      <c r="F796" s="12">
        <f>LOOKUP(411040400,[1]PlanCuentas!$A$2:$A$6092,[1]PlanCuentas!O$2:O$6092)</f>
        <v>0</v>
      </c>
      <c r="G796" s="12">
        <f>LOOKUP(411040500,[1]PlanCuentas!$A$2:$A$6092,[1]PlanCuentas!O$2:O$6092)</f>
        <v>0</v>
      </c>
      <c r="H796" s="12">
        <f>LOOKUP(411040600,[1]PlanCuentas!$A$2:$A$6092,[1]PlanCuentas!O$2:O$6092)</f>
        <v>0</v>
      </c>
      <c r="I796" s="12">
        <f>LOOKUP(411040700,[1]PlanCuentas!$A$2:$A$6092,[1]PlanCuentas!O$2:O$6092)</f>
        <v>0</v>
      </c>
      <c r="J796" s="12">
        <f>LOOKUP(411040800,[1]PlanCuentas!$A$2:$A$6092,[1]PlanCuentas!O$2:O$6092)</f>
        <v>0</v>
      </c>
      <c r="K796" s="12">
        <f>LOOKUP(411040900,[1]PlanCuentas!$A$2:$A$6092,[1]PlanCuentas!O$2:O$6092)</f>
        <v>0</v>
      </c>
      <c r="L796" s="12">
        <f>LOOKUP(411041000,[1]PlanCuentas!$A$2:$A$6092,[1]PlanCuentas!O$2:O$6092)</f>
        <v>0</v>
      </c>
      <c r="M796" s="12">
        <f>LOOKUP(411041100,[1]PlanCuentas!$A$2:$A$6092,[1]PlanCuentas!O$2:O$6092)</f>
        <v>0</v>
      </c>
      <c r="N796" s="12">
        <f>LOOKUP(411041200,[1]PlanCuentas!$A$2:$A$6092,[1]PlanCuentas!O$2:O$6092)</f>
        <v>0</v>
      </c>
      <c r="O796" s="12">
        <f>LOOKUP(411041300,[1]PlanCuentas!$A$2:$A$6092,[1]PlanCuentas!O$2:O$6092)</f>
        <v>0</v>
      </c>
      <c r="P796" s="12">
        <f>LOOKUP(411042000,[1]PlanCuentas!$A$2:$A$6092,[1]PlanCuentas!O$2:O$6092)</f>
        <v>0</v>
      </c>
      <c r="Q796" s="13">
        <f t="shared" si="40"/>
        <v>0</v>
      </c>
    </row>
    <row r="797" spans="1:17" x14ac:dyDescent="0.2">
      <c r="A797" s="10">
        <v>14</v>
      </c>
      <c r="B797" s="11" t="str">
        <f>[1]Aseguradoras!B15</f>
        <v>Central S.A de Seguros</v>
      </c>
      <c r="C797" s="12">
        <f>LOOKUP(411040100,[1]PlanCuentas!$A$2:$A$6092,[1]PlanCuentas!P$2:P$6092)</f>
        <v>0</v>
      </c>
      <c r="D797" s="12">
        <f>LOOKUP(411040200,[1]PlanCuentas!$A$2:$A$6092,[1]PlanCuentas!P$2:P$6092)</f>
        <v>0</v>
      </c>
      <c r="E797" s="12">
        <f>LOOKUP(411040300,[1]PlanCuentas!$A$2:$A$6092,[1]PlanCuentas!P$2:P$6092)</f>
        <v>0</v>
      </c>
      <c r="F797" s="12">
        <f>LOOKUP(411040400,[1]PlanCuentas!$A$2:$A$6092,[1]PlanCuentas!P$2:P$6092)</f>
        <v>0</v>
      </c>
      <c r="G797" s="12">
        <f>LOOKUP(411040500,[1]PlanCuentas!$A$2:$A$6092,[1]PlanCuentas!P$2:P$6092)</f>
        <v>0</v>
      </c>
      <c r="H797" s="12">
        <f>LOOKUP(411040600,[1]PlanCuentas!$A$2:$A$6092,[1]PlanCuentas!P$2:P$6092)</f>
        <v>0</v>
      </c>
      <c r="I797" s="12">
        <f>LOOKUP(411040700,[1]PlanCuentas!$A$2:$A$6092,[1]PlanCuentas!P$2:P$6092)</f>
        <v>0</v>
      </c>
      <c r="J797" s="12">
        <f>LOOKUP(411040800,[1]PlanCuentas!$A$2:$A$6092,[1]PlanCuentas!P$2:P$6092)</f>
        <v>0</v>
      </c>
      <c r="K797" s="12">
        <f>LOOKUP(411040900,[1]PlanCuentas!$A$2:$A$6092,[1]PlanCuentas!P$2:P$6092)</f>
        <v>0</v>
      </c>
      <c r="L797" s="12">
        <f>LOOKUP(411041000,[1]PlanCuentas!$A$2:$A$6092,[1]PlanCuentas!P$2:P$6092)</f>
        <v>0</v>
      </c>
      <c r="M797" s="12">
        <f>LOOKUP(411041100,[1]PlanCuentas!$A$2:$A$6092,[1]PlanCuentas!P$2:P$6092)</f>
        <v>0</v>
      </c>
      <c r="N797" s="12">
        <f>LOOKUP(411041200,[1]PlanCuentas!$A$2:$A$6092,[1]PlanCuentas!P$2:P$6092)</f>
        <v>0</v>
      </c>
      <c r="O797" s="12">
        <f>LOOKUP(411041300,[1]PlanCuentas!$A$2:$A$6092,[1]PlanCuentas!P$2:P$6092)</f>
        <v>0</v>
      </c>
      <c r="P797" s="12">
        <f>LOOKUP(411042000,[1]PlanCuentas!$A$2:$A$6092,[1]PlanCuentas!P$2:P$6092)</f>
        <v>0</v>
      </c>
      <c r="Q797" s="13">
        <f t="shared" si="40"/>
        <v>0</v>
      </c>
    </row>
    <row r="798" spans="1:17" x14ac:dyDescent="0.2">
      <c r="A798" s="10">
        <v>15</v>
      </c>
      <c r="B798" s="11" t="str">
        <f>[1]Aseguradoras!B16</f>
        <v>Seguros Chaco S.A de Seguros y Reaseguros</v>
      </c>
      <c r="C798" s="12">
        <f>LOOKUP(411040100,[1]PlanCuentas!$A$2:$A$6092,[1]PlanCuentas!Q$2:Q$6092)</f>
        <v>0</v>
      </c>
      <c r="D798" s="12">
        <f>LOOKUP(411040200,[1]PlanCuentas!$A$2:$A$6092,[1]PlanCuentas!Q$2:Q$6092)</f>
        <v>0</v>
      </c>
      <c r="E798" s="12">
        <f>LOOKUP(411040300,[1]PlanCuentas!$A$2:$A$6092,[1]PlanCuentas!Q$2:Q$6092)</f>
        <v>0</v>
      </c>
      <c r="F798" s="12">
        <f>LOOKUP(411040400,[1]PlanCuentas!$A$2:$A$6092,[1]PlanCuentas!Q$2:Q$6092)</f>
        <v>0</v>
      </c>
      <c r="G798" s="12">
        <f>LOOKUP(411040500,[1]PlanCuentas!$A$2:$A$6092,[1]PlanCuentas!Q$2:Q$6092)</f>
        <v>0</v>
      </c>
      <c r="H798" s="12">
        <f>LOOKUP(411040600,[1]PlanCuentas!$A$2:$A$6092,[1]PlanCuentas!Q$2:Q$6092)</f>
        <v>0</v>
      </c>
      <c r="I798" s="12">
        <f>LOOKUP(411040700,[1]PlanCuentas!$A$2:$A$6092,[1]PlanCuentas!Q$2:Q$6092)</f>
        <v>0</v>
      </c>
      <c r="J798" s="12">
        <f>LOOKUP(411040800,[1]PlanCuentas!$A$2:$A$6092,[1]PlanCuentas!Q$2:Q$6092)</f>
        <v>0</v>
      </c>
      <c r="K798" s="12">
        <f>LOOKUP(411040900,[1]PlanCuentas!$A$2:$A$6092,[1]PlanCuentas!Q$2:Q$6092)</f>
        <v>0</v>
      </c>
      <c r="L798" s="12">
        <f>LOOKUP(411041000,[1]PlanCuentas!$A$2:$A$6092,[1]PlanCuentas!Q$2:Q$6092)</f>
        <v>0</v>
      </c>
      <c r="M798" s="12">
        <f>LOOKUP(411041100,[1]PlanCuentas!$A$2:$A$6092,[1]PlanCuentas!Q$2:Q$6092)</f>
        <v>0</v>
      </c>
      <c r="N798" s="12">
        <f>LOOKUP(411041200,[1]PlanCuentas!$A$2:$A$6092,[1]PlanCuentas!Q$2:Q$6092)</f>
        <v>0</v>
      </c>
      <c r="O798" s="12">
        <f>LOOKUP(411041300,[1]PlanCuentas!$A$2:$A$6092,[1]PlanCuentas!Q$2:Q$6092)</f>
        <v>0</v>
      </c>
      <c r="P798" s="12">
        <f>LOOKUP(411042000,[1]PlanCuentas!$A$2:$A$6092,[1]PlanCuentas!Q$2:Q$6092)</f>
        <v>0</v>
      </c>
      <c r="Q798" s="13">
        <f t="shared" si="40"/>
        <v>0</v>
      </c>
    </row>
    <row r="799" spans="1:17" x14ac:dyDescent="0.2">
      <c r="A799" s="10">
        <v>16</v>
      </c>
      <c r="B799" s="11" t="str">
        <f>[1]Aseguradoras!B17</f>
        <v>El Sol Del Paraguay Compañía de Seguros y Reaseguros S.A.</v>
      </c>
      <c r="C799" s="12">
        <f>LOOKUP(411040100,[1]PlanCuentas!$A$2:$A$6092,[1]PlanCuentas!R$2:R$6092)</f>
        <v>0</v>
      </c>
      <c r="D799" s="12">
        <f>LOOKUP(411040200,[1]PlanCuentas!$A$2:$A$6092,[1]PlanCuentas!R$2:R$6092)</f>
        <v>0</v>
      </c>
      <c r="E799" s="12">
        <f>LOOKUP(411040300,[1]PlanCuentas!$A$2:$A$6092,[1]PlanCuentas!R$2:R$6092)</f>
        <v>0</v>
      </c>
      <c r="F799" s="12">
        <f>LOOKUP(411040400,[1]PlanCuentas!$A$2:$A$6092,[1]PlanCuentas!R$2:R$6092)</f>
        <v>0</v>
      </c>
      <c r="G799" s="12">
        <f>LOOKUP(411040500,[1]PlanCuentas!$A$2:$A$6092,[1]PlanCuentas!R$2:R$6092)</f>
        <v>0</v>
      </c>
      <c r="H799" s="12">
        <f>LOOKUP(411040600,[1]PlanCuentas!$A$2:$A$6092,[1]PlanCuentas!R$2:R$6092)</f>
        <v>0</v>
      </c>
      <c r="I799" s="12">
        <f>LOOKUP(411040700,[1]PlanCuentas!$A$2:$A$6092,[1]PlanCuentas!R$2:R$6092)</f>
        <v>0</v>
      </c>
      <c r="J799" s="12">
        <f>LOOKUP(411040800,[1]PlanCuentas!$A$2:$A$6092,[1]PlanCuentas!R$2:R$6092)</f>
        <v>0</v>
      </c>
      <c r="K799" s="12">
        <f>LOOKUP(411040900,[1]PlanCuentas!$A$2:$A$6092,[1]PlanCuentas!R$2:R$6092)</f>
        <v>0</v>
      </c>
      <c r="L799" s="12">
        <f>LOOKUP(411041000,[1]PlanCuentas!$A$2:$A$6092,[1]PlanCuentas!R$2:R$6092)</f>
        <v>0</v>
      </c>
      <c r="M799" s="12">
        <f>LOOKUP(411041100,[1]PlanCuentas!$A$2:$A$6092,[1]PlanCuentas!R$2:R$6092)</f>
        <v>0</v>
      </c>
      <c r="N799" s="12">
        <f>LOOKUP(411041200,[1]PlanCuentas!$A$2:$A$6092,[1]PlanCuentas!R$2:R$6092)</f>
        <v>0</v>
      </c>
      <c r="O799" s="12">
        <f>LOOKUP(411041300,[1]PlanCuentas!$A$2:$A$6092,[1]PlanCuentas!R$2:R$6092)</f>
        <v>0</v>
      </c>
      <c r="P799" s="12">
        <f>LOOKUP(411042000,[1]PlanCuentas!$A$2:$A$6092,[1]PlanCuentas!R$2:R$6092)</f>
        <v>0</v>
      </c>
      <c r="Q799" s="13">
        <f t="shared" si="40"/>
        <v>0</v>
      </c>
    </row>
    <row r="800" spans="1:17" x14ac:dyDescent="0.2">
      <c r="A800" s="10">
        <v>17</v>
      </c>
      <c r="B800" s="11" t="str">
        <f>[1]Aseguradoras!B18</f>
        <v>Intercontinental de Seguros y Reaseguros S.A.</v>
      </c>
      <c r="C800" s="12">
        <f>LOOKUP(411040100,[1]PlanCuentas!$A$2:$A$6092,[1]PlanCuentas!S$2:S$6092)</f>
        <v>0</v>
      </c>
      <c r="D800" s="12">
        <f>LOOKUP(411040200,[1]PlanCuentas!$A$2:$A$6092,[1]PlanCuentas!S$2:S$6092)</f>
        <v>0</v>
      </c>
      <c r="E800" s="12">
        <f>LOOKUP(411040300,[1]PlanCuentas!$A$2:$A$6092,[1]PlanCuentas!S$2:S$6092)</f>
        <v>0</v>
      </c>
      <c r="F800" s="12">
        <f>LOOKUP(411040400,[1]PlanCuentas!$A$2:$A$6092,[1]PlanCuentas!S$2:S$6092)</f>
        <v>0</v>
      </c>
      <c r="G800" s="12">
        <f>LOOKUP(411040500,[1]PlanCuentas!$A$2:$A$6092,[1]PlanCuentas!S$2:S$6092)</f>
        <v>0</v>
      </c>
      <c r="H800" s="12">
        <f>LOOKUP(411040600,[1]PlanCuentas!$A$2:$A$6092,[1]PlanCuentas!S$2:S$6092)</f>
        <v>0</v>
      </c>
      <c r="I800" s="12">
        <f>LOOKUP(411040700,[1]PlanCuentas!$A$2:$A$6092,[1]PlanCuentas!S$2:S$6092)</f>
        <v>0</v>
      </c>
      <c r="J800" s="12">
        <f>LOOKUP(411040800,[1]PlanCuentas!$A$2:$A$6092,[1]PlanCuentas!S$2:S$6092)</f>
        <v>0</v>
      </c>
      <c r="K800" s="12">
        <f>LOOKUP(411040900,[1]PlanCuentas!$A$2:$A$6092,[1]PlanCuentas!S$2:S$6092)</f>
        <v>0</v>
      </c>
      <c r="L800" s="12">
        <f>LOOKUP(411041000,[1]PlanCuentas!$A$2:$A$6092,[1]PlanCuentas!S$2:S$6092)</f>
        <v>0</v>
      </c>
      <c r="M800" s="12">
        <f>LOOKUP(411041100,[1]PlanCuentas!$A$2:$A$6092,[1]PlanCuentas!S$2:S$6092)</f>
        <v>0</v>
      </c>
      <c r="N800" s="12">
        <f>LOOKUP(411041200,[1]PlanCuentas!$A$2:$A$6092,[1]PlanCuentas!S$2:S$6092)</f>
        <v>0</v>
      </c>
      <c r="O800" s="12">
        <f>LOOKUP(411041300,[1]PlanCuentas!$A$2:$A$6092,[1]PlanCuentas!S$2:S$6092)</f>
        <v>0</v>
      </c>
      <c r="P800" s="12">
        <f>LOOKUP(411042000,[1]PlanCuentas!$A$2:$A$6092,[1]PlanCuentas!S$2:S$6092)</f>
        <v>0</v>
      </c>
      <c r="Q800" s="13">
        <f t="shared" si="40"/>
        <v>0</v>
      </c>
    </row>
    <row r="801" spans="1:28" x14ac:dyDescent="0.2">
      <c r="A801" s="10">
        <v>18</v>
      </c>
      <c r="B801" s="11" t="str">
        <f>[1]Aseguradoras!B19</f>
        <v>Seguridad S.A Compañía de Seguros</v>
      </c>
      <c r="C801" s="12">
        <f>LOOKUP(411040100,[1]PlanCuentas!$A$2:$A$6092,[1]PlanCuentas!T$2:T$6092)</f>
        <v>0</v>
      </c>
      <c r="D801" s="12">
        <f>LOOKUP(411040200,[1]PlanCuentas!$A$2:$A$6092,[1]PlanCuentas!T$2:T$6092)</f>
        <v>0</v>
      </c>
      <c r="E801" s="12">
        <f>LOOKUP(411040300,[1]PlanCuentas!$A$2:$A$6092,[1]PlanCuentas!T$2:T$6092)</f>
        <v>0</v>
      </c>
      <c r="F801" s="12">
        <f>LOOKUP(411040400,[1]PlanCuentas!$A$2:$A$6092,[1]PlanCuentas!T$2:T$6092)</f>
        <v>0</v>
      </c>
      <c r="G801" s="12">
        <f>LOOKUP(411040500,[1]PlanCuentas!$A$2:$A$6092,[1]PlanCuentas!T$2:T$6092)</f>
        <v>0</v>
      </c>
      <c r="H801" s="12">
        <f>LOOKUP(411040600,[1]PlanCuentas!$A$2:$A$6092,[1]PlanCuentas!T$2:T$6092)</f>
        <v>0</v>
      </c>
      <c r="I801" s="12">
        <f>LOOKUP(411040700,[1]PlanCuentas!$A$2:$A$6092,[1]PlanCuentas!T$2:T$6092)</f>
        <v>0</v>
      </c>
      <c r="J801" s="12">
        <f>LOOKUP(411040800,[1]PlanCuentas!$A$2:$A$6092,[1]PlanCuentas!T$2:T$6092)</f>
        <v>0</v>
      </c>
      <c r="K801" s="12">
        <f>LOOKUP(411040900,[1]PlanCuentas!$A$2:$A$6092,[1]PlanCuentas!T$2:T$6092)</f>
        <v>0</v>
      </c>
      <c r="L801" s="12">
        <f>LOOKUP(411041000,[1]PlanCuentas!$A$2:$A$6092,[1]PlanCuentas!T$2:T$6092)</f>
        <v>0</v>
      </c>
      <c r="M801" s="12">
        <f>LOOKUP(411041100,[1]PlanCuentas!$A$2:$A$6092,[1]PlanCuentas!T$2:T$6092)</f>
        <v>0</v>
      </c>
      <c r="N801" s="12">
        <f>LOOKUP(411041200,[1]PlanCuentas!$A$2:$A$6092,[1]PlanCuentas!T$2:T$6092)</f>
        <v>0</v>
      </c>
      <c r="O801" s="12">
        <f>LOOKUP(411041300,[1]PlanCuentas!$A$2:$A$6092,[1]PlanCuentas!T$2:T$6092)</f>
        <v>0</v>
      </c>
      <c r="P801" s="12">
        <f>LOOKUP(411042000,[1]PlanCuentas!$A$2:$A$6092,[1]PlanCuentas!T$2:T$6092)</f>
        <v>0</v>
      </c>
      <c r="Q801" s="13">
        <f t="shared" si="40"/>
        <v>0</v>
      </c>
    </row>
    <row r="802" spans="1:28" x14ac:dyDescent="0.2">
      <c r="A802" s="10">
        <v>19</v>
      </c>
      <c r="B802" s="11" t="str">
        <f>[1]Aseguradoras!B20</f>
        <v>Universo de Seguros y Reaseguros S.A.</v>
      </c>
      <c r="C802" s="12">
        <f>LOOKUP(411040100,[1]PlanCuentas!$A$2:$A$6092,[1]PlanCuentas!U$2:U$6092)</f>
        <v>0</v>
      </c>
      <c r="D802" s="12">
        <f>LOOKUP(411040200,[1]PlanCuentas!$A$2:$A$6092,[1]PlanCuentas!U$2:U$6092)</f>
        <v>0</v>
      </c>
      <c r="E802" s="12">
        <f>LOOKUP(411040300,[1]PlanCuentas!$A$2:$A$6092,[1]PlanCuentas!U$2:U$6092)</f>
        <v>0</v>
      </c>
      <c r="F802" s="12">
        <f>LOOKUP(411040400,[1]PlanCuentas!$A$2:$A$6092,[1]PlanCuentas!U$2:U$6092)</f>
        <v>0</v>
      </c>
      <c r="G802" s="12">
        <f>LOOKUP(411040500,[1]PlanCuentas!$A$2:$A$6092,[1]PlanCuentas!U$2:U$6092)</f>
        <v>0</v>
      </c>
      <c r="H802" s="12">
        <f>LOOKUP(411040600,[1]PlanCuentas!$A$2:$A$6092,[1]PlanCuentas!U$2:U$6092)</f>
        <v>0</v>
      </c>
      <c r="I802" s="12">
        <f>LOOKUP(411040700,[1]PlanCuentas!$A$2:$A$6092,[1]PlanCuentas!U$2:U$6092)</f>
        <v>0</v>
      </c>
      <c r="J802" s="12">
        <f>LOOKUP(411040800,[1]PlanCuentas!$A$2:$A$6092,[1]PlanCuentas!U$2:U$6092)</f>
        <v>0</v>
      </c>
      <c r="K802" s="12">
        <f>LOOKUP(411040900,[1]PlanCuentas!$A$2:$A$6092,[1]PlanCuentas!U$2:U$6092)</f>
        <v>0</v>
      </c>
      <c r="L802" s="12">
        <f>LOOKUP(411041000,[1]PlanCuentas!$A$2:$A$6092,[1]PlanCuentas!U$2:U$6092)</f>
        <v>0</v>
      </c>
      <c r="M802" s="12">
        <f>LOOKUP(411041100,[1]PlanCuentas!$A$2:$A$6092,[1]PlanCuentas!U$2:U$6092)</f>
        <v>0</v>
      </c>
      <c r="N802" s="12">
        <f>LOOKUP(411041200,[1]PlanCuentas!$A$2:$A$6092,[1]PlanCuentas!U$2:U$6092)</f>
        <v>0</v>
      </c>
      <c r="O802" s="12">
        <f>LOOKUP(411041300,[1]PlanCuentas!$A$2:$A$6092,[1]PlanCuentas!U$2:U$6092)</f>
        <v>0</v>
      </c>
      <c r="P802" s="12">
        <f>LOOKUP(411042000,[1]PlanCuentas!$A$2:$A$6092,[1]PlanCuentas!U$2:U$6092)</f>
        <v>0</v>
      </c>
      <c r="Q802" s="13">
        <f t="shared" si="40"/>
        <v>0</v>
      </c>
    </row>
    <row r="803" spans="1:28" x14ac:dyDescent="0.2">
      <c r="A803" s="10">
        <v>20</v>
      </c>
      <c r="B803" s="11" t="str">
        <f>[1]Aseguradoras!B21</f>
        <v>Aseguradora Yacyreta S.A de Seguros y Reaseguros</v>
      </c>
      <c r="C803" s="12">
        <f>LOOKUP(411040100,[1]PlanCuentas!$A$2:$A$6092,[1]PlanCuentas!V$2:V$6092)</f>
        <v>24690935</v>
      </c>
      <c r="D803" s="12">
        <f>LOOKUP(411040200,[1]PlanCuentas!$A$2:$A$6092,[1]PlanCuentas!V$2:V$6092)</f>
        <v>53460794</v>
      </c>
      <c r="E803" s="12">
        <f>LOOKUP(411040300,[1]PlanCuentas!$A$2:$A$6092,[1]PlanCuentas!V$2:V$6092)</f>
        <v>49358741</v>
      </c>
      <c r="F803" s="12">
        <f>LOOKUP(411040400,[1]PlanCuentas!$A$2:$A$6092,[1]PlanCuentas!V$2:V$6092)</f>
        <v>2876145671</v>
      </c>
      <c r="G803" s="12">
        <f>LOOKUP(411040500,[1]PlanCuentas!$A$2:$A$6092,[1]PlanCuentas!V$2:V$6092)</f>
        <v>0</v>
      </c>
      <c r="H803" s="12">
        <f>LOOKUP(411040600,[1]PlanCuentas!$A$2:$A$6092,[1]PlanCuentas!V$2:V$6092)</f>
        <v>50615708</v>
      </c>
      <c r="I803" s="12">
        <f>LOOKUP(411040700,[1]PlanCuentas!$A$2:$A$6092,[1]PlanCuentas!V$2:V$6092)</f>
        <v>-2050659</v>
      </c>
      <c r="J803" s="12">
        <f>LOOKUP(411040800,[1]PlanCuentas!$A$2:$A$6092,[1]PlanCuentas!V$2:V$6092)</f>
        <v>0</v>
      </c>
      <c r="K803" s="12">
        <f>LOOKUP(411040900,[1]PlanCuentas!$A$2:$A$6092,[1]PlanCuentas!V$2:V$6092)</f>
        <v>-14458141</v>
      </c>
      <c r="L803" s="12">
        <f>LOOKUP(411041000,[1]PlanCuentas!$A$2:$A$6092,[1]PlanCuentas!V$2:V$6092)</f>
        <v>17882046</v>
      </c>
      <c r="M803" s="12">
        <f>LOOKUP(411041100,[1]PlanCuentas!$A$2:$A$6092,[1]PlanCuentas!V$2:V$6092)</f>
        <v>10929557</v>
      </c>
      <c r="N803" s="12">
        <f>LOOKUP(411041200,[1]PlanCuentas!$A$2:$A$6092,[1]PlanCuentas!V$2:V$6092)</f>
        <v>76275945</v>
      </c>
      <c r="O803" s="12">
        <f>LOOKUP(411041300,[1]PlanCuentas!$A$2:$A$6092,[1]PlanCuentas!V$2:V$6092)</f>
        <v>78361948</v>
      </c>
      <c r="P803" s="12">
        <f>LOOKUP(411042000,[1]PlanCuentas!$A$2:$A$6092,[1]PlanCuentas!V$2:V$6092)</f>
        <v>60243164</v>
      </c>
      <c r="Q803" s="13">
        <f t="shared" si="40"/>
        <v>3281455709</v>
      </c>
    </row>
    <row r="804" spans="1:28" x14ac:dyDescent="0.2">
      <c r="A804" s="10">
        <v>21</v>
      </c>
      <c r="B804" s="11" t="str">
        <f>[1]Aseguradoras!B22</f>
        <v>La Agricola S.A de Seguros y Reaseguros</v>
      </c>
      <c r="C804" s="12">
        <f>LOOKUP(411040100,[1]PlanCuentas!$A$2:$A$6092,[1]PlanCuentas!W$2:W$6092)</f>
        <v>0</v>
      </c>
      <c r="D804" s="12">
        <f>LOOKUP(411040200,[1]PlanCuentas!$A$2:$A$6092,[1]PlanCuentas!W$2:W$6092)</f>
        <v>0</v>
      </c>
      <c r="E804" s="12">
        <f>LOOKUP(411040300,[1]PlanCuentas!$A$2:$A$6092,[1]PlanCuentas!W$2:W$6092)</f>
        <v>0</v>
      </c>
      <c r="F804" s="12">
        <f>LOOKUP(411040400,[1]PlanCuentas!$A$2:$A$6092,[1]PlanCuentas!W$2:W$6092)</f>
        <v>0</v>
      </c>
      <c r="G804" s="12">
        <f>LOOKUP(411040500,[1]PlanCuentas!$A$2:$A$6092,[1]PlanCuentas!W$2:W$6092)</f>
        <v>0</v>
      </c>
      <c r="H804" s="12">
        <f>LOOKUP(411040600,[1]PlanCuentas!$A$2:$A$6092,[1]PlanCuentas!W$2:W$6092)</f>
        <v>0</v>
      </c>
      <c r="I804" s="12">
        <f>LOOKUP(411040700,[1]PlanCuentas!$A$2:$A$6092,[1]PlanCuentas!W$2:W$6092)</f>
        <v>0</v>
      </c>
      <c r="J804" s="12">
        <f>LOOKUP(411040800,[1]PlanCuentas!$A$2:$A$6092,[1]PlanCuentas!W$2:W$6092)</f>
        <v>0</v>
      </c>
      <c r="K804" s="12">
        <f>LOOKUP(411040900,[1]PlanCuentas!$A$2:$A$6092,[1]PlanCuentas!W$2:W$6092)</f>
        <v>0</v>
      </c>
      <c r="L804" s="12">
        <f>LOOKUP(411041000,[1]PlanCuentas!$A$2:$A$6092,[1]PlanCuentas!W$2:W$6092)</f>
        <v>0</v>
      </c>
      <c r="M804" s="12">
        <f>LOOKUP(411041100,[1]PlanCuentas!$A$2:$A$6092,[1]PlanCuentas!W$2:W$6092)</f>
        <v>0</v>
      </c>
      <c r="N804" s="12">
        <f>LOOKUP(411041200,[1]PlanCuentas!$A$2:$A$6092,[1]PlanCuentas!W$2:W$6092)</f>
        <v>0</v>
      </c>
      <c r="O804" s="12">
        <f>LOOKUP(411041300,[1]PlanCuentas!$A$2:$A$6092,[1]PlanCuentas!W$2:W$6092)</f>
        <v>0</v>
      </c>
      <c r="P804" s="12">
        <f>LOOKUP(411042000,[1]PlanCuentas!$A$2:$A$6092,[1]PlanCuentas!W$2:W$6092)</f>
        <v>0</v>
      </c>
      <c r="Q804" s="13">
        <f t="shared" si="40"/>
        <v>0</v>
      </c>
    </row>
    <row r="805" spans="1:28" x14ac:dyDescent="0.2">
      <c r="A805" s="10">
        <v>22</v>
      </c>
      <c r="B805" s="11" t="str">
        <f>[1]Aseguradoras!B23</f>
        <v>Grupo General de Seguros y Reaseguros S.A.</v>
      </c>
      <c r="C805" s="12">
        <f>LOOKUP(411040100,[1]PlanCuentas!$A$2:$A$6092,[1]PlanCuentas!X$2:X$6092)</f>
        <v>0</v>
      </c>
      <c r="D805" s="12">
        <f>LOOKUP(411040200,[1]PlanCuentas!$A$2:$A$6092,[1]PlanCuentas!X$2:X$6092)</f>
        <v>0</v>
      </c>
      <c r="E805" s="12">
        <f>LOOKUP(411040300,[1]PlanCuentas!$A$2:$A$6092,[1]PlanCuentas!X$2:X$6092)</f>
        <v>0</v>
      </c>
      <c r="F805" s="12">
        <f>LOOKUP(411040400,[1]PlanCuentas!$A$2:$A$6092,[1]PlanCuentas!X$2:X$6092)</f>
        <v>0</v>
      </c>
      <c r="G805" s="12">
        <f>LOOKUP(411040500,[1]PlanCuentas!$A$2:$A$6092,[1]PlanCuentas!X$2:X$6092)</f>
        <v>0</v>
      </c>
      <c r="H805" s="12">
        <f>LOOKUP(411040600,[1]PlanCuentas!$A$2:$A$6092,[1]PlanCuentas!X$2:X$6092)</f>
        <v>0</v>
      </c>
      <c r="I805" s="12">
        <f>LOOKUP(411040700,[1]PlanCuentas!$A$2:$A$6092,[1]PlanCuentas!X$2:X$6092)</f>
        <v>0</v>
      </c>
      <c r="J805" s="12">
        <f>LOOKUP(411040800,[1]PlanCuentas!$A$2:$A$6092,[1]PlanCuentas!X$2:X$6092)</f>
        <v>0</v>
      </c>
      <c r="K805" s="12">
        <f>LOOKUP(411040900,[1]PlanCuentas!$A$2:$A$6092,[1]PlanCuentas!X$2:X$6092)</f>
        <v>0</v>
      </c>
      <c r="L805" s="12">
        <f>LOOKUP(411041000,[1]PlanCuentas!$A$2:$A$6092,[1]PlanCuentas!X$2:X$6092)</f>
        <v>0</v>
      </c>
      <c r="M805" s="12">
        <f>LOOKUP(411041100,[1]PlanCuentas!$A$2:$A$6092,[1]PlanCuentas!X$2:X$6092)</f>
        <v>0</v>
      </c>
      <c r="N805" s="12">
        <f>LOOKUP(411041200,[1]PlanCuentas!$A$2:$A$6092,[1]PlanCuentas!X$2:X$6092)</f>
        <v>0</v>
      </c>
      <c r="O805" s="12">
        <f>LOOKUP(411041300,[1]PlanCuentas!$A$2:$A$6092,[1]PlanCuentas!X$2:X$6092)</f>
        <v>0</v>
      </c>
      <c r="P805" s="12">
        <f>LOOKUP(411042000,[1]PlanCuentas!$A$2:$A$6092,[1]PlanCuentas!X$2:X$6092)</f>
        <v>0</v>
      </c>
      <c r="Q805" s="13">
        <f t="shared" si="40"/>
        <v>0</v>
      </c>
    </row>
    <row r="806" spans="1:28" x14ac:dyDescent="0.2">
      <c r="A806" s="10">
        <v>23</v>
      </c>
      <c r="B806" s="11" t="str">
        <f>[1]Aseguradoras!B24</f>
        <v>Alfa S.A de Seguros y Reaseguros</v>
      </c>
      <c r="C806" s="12">
        <f>LOOKUP(411040100,[1]PlanCuentas!$A$2:$A$6092,[1]PlanCuentas!Y$2:Y$6092)</f>
        <v>0</v>
      </c>
      <c r="D806" s="12">
        <f>LOOKUP(411040200,[1]PlanCuentas!$A$2:$A$6092,[1]PlanCuentas!Y$2:Y$6092)</f>
        <v>0</v>
      </c>
      <c r="E806" s="12">
        <f>LOOKUP(411040300,[1]PlanCuentas!$A$2:$A$6092,[1]PlanCuentas!Y$2:Y$6092)</f>
        <v>0</v>
      </c>
      <c r="F806" s="12">
        <f>LOOKUP(411040400,[1]PlanCuentas!$A$2:$A$6092,[1]PlanCuentas!Y$2:Y$6092)</f>
        <v>0</v>
      </c>
      <c r="G806" s="12">
        <f>LOOKUP(411040500,[1]PlanCuentas!$A$2:$A$6092,[1]PlanCuentas!Y$2:Y$6092)</f>
        <v>0</v>
      </c>
      <c r="H806" s="12">
        <f>LOOKUP(411040600,[1]PlanCuentas!$A$2:$A$6092,[1]PlanCuentas!Y$2:Y$6092)</f>
        <v>0</v>
      </c>
      <c r="I806" s="12">
        <f>LOOKUP(411040700,[1]PlanCuentas!$A$2:$A$6092,[1]PlanCuentas!Y$2:Y$6092)</f>
        <v>0</v>
      </c>
      <c r="J806" s="12">
        <f>LOOKUP(411040800,[1]PlanCuentas!$A$2:$A$6092,[1]PlanCuentas!Y$2:Y$6092)</f>
        <v>0</v>
      </c>
      <c r="K806" s="12">
        <f>LOOKUP(411040900,[1]PlanCuentas!$A$2:$A$6092,[1]PlanCuentas!Y$2:Y$6092)</f>
        <v>0</v>
      </c>
      <c r="L806" s="12">
        <f>LOOKUP(411041000,[1]PlanCuentas!$A$2:$A$6092,[1]PlanCuentas!Y$2:Y$6092)</f>
        <v>0</v>
      </c>
      <c r="M806" s="12">
        <f>LOOKUP(411041100,[1]PlanCuentas!$A$2:$A$6092,[1]PlanCuentas!Y$2:Y$6092)</f>
        <v>0</v>
      </c>
      <c r="N806" s="12">
        <f>LOOKUP(411041200,[1]PlanCuentas!$A$2:$A$6092,[1]PlanCuentas!Y$2:Y$6092)</f>
        <v>0</v>
      </c>
      <c r="O806" s="12">
        <f>LOOKUP(411041300,[1]PlanCuentas!$A$2:$A$6092,[1]PlanCuentas!Y$2:Y$6092)</f>
        <v>0</v>
      </c>
      <c r="P806" s="12">
        <f>LOOKUP(411042000,[1]PlanCuentas!$A$2:$A$6092,[1]PlanCuentas!Y$2:Y$6092)</f>
        <v>0</v>
      </c>
      <c r="Q806" s="13">
        <f t="shared" si="40"/>
        <v>0</v>
      </c>
    </row>
    <row r="807" spans="1:28" x14ac:dyDescent="0.2">
      <c r="A807" s="10">
        <v>24</v>
      </c>
      <c r="B807" s="11" t="str">
        <f>[1]Aseguradoras!B25</f>
        <v>Cenit de Seguros S.A.</v>
      </c>
      <c r="C807" s="12">
        <f>LOOKUP(411040100,[1]PlanCuentas!$A$2:$A$6092,[1]PlanCuentas!Z$2:Z$6092)</f>
        <v>0</v>
      </c>
      <c r="D807" s="12">
        <f>LOOKUP(411040200,[1]PlanCuentas!$A$2:$A$6092,[1]PlanCuentas!Z$2:Z$6092)</f>
        <v>0</v>
      </c>
      <c r="E807" s="12">
        <f>LOOKUP(411040300,[1]PlanCuentas!$A$2:$A$6092,[1]PlanCuentas!Z$2:Z$6092)</f>
        <v>0</v>
      </c>
      <c r="F807" s="12">
        <f>LOOKUP(411040400,[1]PlanCuentas!$A$2:$A$6092,[1]PlanCuentas!Z$2:Z$6092)</f>
        <v>0</v>
      </c>
      <c r="G807" s="12">
        <f>LOOKUP(411040500,[1]PlanCuentas!$A$2:$A$6092,[1]PlanCuentas!Z$2:Z$6092)</f>
        <v>0</v>
      </c>
      <c r="H807" s="12">
        <f>LOOKUP(411040600,[1]PlanCuentas!$A$2:$A$6092,[1]PlanCuentas!Z$2:Z$6092)</f>
        <v>0</v>
      </c>
      <c r="I807" s="12">
        <f>LOOKUP(411040700,[1]PlanCuentas!$A$2:$A$6092,[1]PlanCuentas!Z$2:Z$6092)</f>
        <v>0</v>
      </c>
      <c r="J807" s="12">
        <f>LOOKUP(411040800,[1]PlanCuentas!$A$2:$A$6092,[1]PlanCuentas!Z$2:Z$6092)</f>
        <v>0</v>
      </c>
      <c r="K807" s="12">
        <f>LOOKUP(411040900,[1]PlanCuentas!$A$2:$A$6092,[1]PlanCuentas!Z$2:Z$6092)</f>
        <v>0</v>
      </c>
      <c r="L807" s="12">
        <f>LOOKUP(411041000,[1]PlanCuentas!$A$2:$A$6092,[1]PlanCuentas!Z$2:Z$6092)</f>
        <v>0</v>
      </c>
      <c r="M807" s="12">
        <f>LOOKUP(411041100,[1]PlanCuentas!$A$2:$A$6092,[1]PlanCuentas!Z$2:Z$6092)</f>
        <v>0</v>
      </c>
      <c r="N807" s="12">
        <f>LOOKUP(411041200,[1]PlanCuentas!$A$2:$A$6092,[1]PlanCuentas!Z$2:Z$6092)</f>
        <v>0</v>
      </c>
      <c r="O807" s="12">
        <f>LOOKUP(411041300,[1]PlanCuentas!$A$2:$A$6092,[1]PlanCuentas!Z$2:Z$6092)</f>
        <v>0</v>
      </c>
      <c r="P807" s="12">
        <f>LOOKUP(411042000,[1]PlanCuentas!$A$2:$A$6092,[1]PlanCuentas!Z$2:Z$6092)</f>
        <v>0</v>
      </c>
      <c r="Q807" s="13">
        <f t="shared" si="40"/>
        <v>0</v>
      </c>
    </row>
    <row r="808" spans="1:28" x14ac:dyDescent="0.2">
      <c r="A808" s="10">
        <v>25</v>
      </c>
      <c r="B808" s="11" t="str">
        <f>[1]Aseguradoras!B26</f>
        <v>La Meridional Paraguaya S.A de Seguros</v>
      </c>
      <c r="C808" s="12">
        <f>LOOKUP(411040100,[1]PlanCuentas!$A$2:$A$6092,[1]PlanCuentas!AA$2:AA$6092)</f>
        <v>73008368</v>
      </c>
      <c r="D808" s="12">
        <f>LOOKUP(411040200,[1]PlanCuentas!$A$2:$A$6092,[1]PlanCuentas!AA$2:AA$6092)</f>
        <v>51027990</v>
      </c>
      <c r="E808" s="12">
        <f>LOOKUP(411040300,[1]PlanCuentas!$A$2:$A$6092,[1]PlanCuentas!AA$2:AA$6092)</f>
        <v>5916755</v>
      </c>
      <c r="F808" s="12">
        <f>LOOKUP(411040400,[1]PlanCuentas!$A$2:$A$6092,[1]PlanCuentas!AA$2:AA$6092)</f>
        <v>0</v>
      </c>
      <c r="G808" s="12">
        <f>LOOKUP(411040500,[1]PlanCuentas!$A$2:$A$6092,[1]PlanCuentas!AA$2:AA$6092)</f>
        <v>0</v>
      </c>
      <c r="H808" s="12">
        <f>LOOKUP(411040600,[1]PlanCuentas!$A$2:$A$6092,[1]PlanCuentas!AA$2:AA$6092)</f>
        <v>10122074</v>
      </c>
      <c r="I808" s="12">
        <f>LOOKUP(411040700,[1]PlanCuentas!$A$2:$A$6092,[1]PlanCuentas!AA$2:AA$6092)</f>
        <v>0</v>
      </c>
      <c r="J808" s="12">
        <f>LOOKUP(411040800,[1]PlanCuentas!$A$2:$A$6092,[1]PlanCuentas!AA$2:AA$6092)</f>
        <v>0</v>
      </c>
      <c r="K808" s="12">
        <f>LOOKUP(411040900,[1]PlanCuentas!$A$2:$A$6092,[1]PlanCuentas!AA$2:AA$6092)</f>
        <v>5551568</v>
      </c>
      <c r="L808" s="12">
        <f>LOOKUP(411041000,[1]PlanCuentas!$A$2:$A$6092,[1]PlanCuentas!AA$2:AA$6092)</f>
        <v>0</v>
      </c>
      <c r="M808" s="12">
        <f>LOOKUP(411041100,[1]PlanCuentas!$A$2:$A$6092,[1]PlanCuentas!AA$2:AA$6092)</f>
        <v>0</v>
      </c>
      <c r="N808" s="12">
        <f>LOOKUP(411041200,[1]PlanCuentas!$A$2:$A$6092,[1]PlanCuentas!AA$2:AA$6092)</f>
        <v>414264</v>
      </c>
      <c r="O808" s="12">
        <f>LOOKUP(411041300,[1]PlanCuentas!$A$2:$A$6092,[1]PlanCuentas!AA$2:AA$6092)</f>
        <v>15053371</v>
      </c>
      <c r="P808" s="12">
        <f>LOOKUP(411042000,[1]PlanCuentas!$A$2:$A$6092,[1]PlanCuentas!AA$2:AA$6092)</f>
        <v>1098509</v>
      </c>
      <c r="Q808" s="13">
        <f t="shared" si="40"/>
        <v>162192899</v>
      </c>
    </row>
    <row r="809" spans="1:28" x14ac:dyDescent="0.2">
      <c r="A809" s="10">
        <v>26</v>
      </c>
      <c r="B809" s="11" t="str">
        <f>[1]Aseguradoras!B27</f>
        <v>Aseguradora Del Este S.A de Seguros y Reaseguros</v>
      </c>
      <c r="C809" s="12">
        <f>LOOKUP(411040100,[1]PlanCuentas!$A$2:$A$6092,[1]PlanCuentas!AB$2:AB$6092)</f>
        <v>0</v>
      </c>
      <c r="D809" s="12">
        <f>LOOKUP(411040200,[1]PlanCuentas!$A$2:$A$6092,[1]PlanCuentas!AB$2:AB$6092)</f>
        <v>0</v>
      </c>
      <c r="E809" s="12">
        <f>LOOKUP(411040300,[1]PlanCuentas!$A$2:$A$6092,[1]PlanCuentas!AB$2:AB$6092)</f>
        <v>0</v>
      </c>
      <c r="F809" s="12">
        <f>LOOKUP(411040400,[1]PlanCuentas!$A$2:$A$6092,[1]PlanCuentas!AB$2:AB$6092)</f>
        <v>0</v>
      </c>
      <c r="G809" s="12">
        <f>LOOKUP(411040500,[1]PlanCuentas!$A$2:$A$6092,[1]PlanCuentas!AB$2:AB$6092)</f>
        <v>0</v>
      </c>
      <c r="H809" s="12">
        <f>LOOKUP(411040600,[1]PlanCuentas!$A$2:$A$6092,[1]PlanCuentas!AB$2:AB$6092)</f>
        <v>0</v>
      </c>
      <c r="I809" s="12">
        <f>LOOKUP(411040700,[1]PlanCuentas!$A$2:$A$6092,[1]PlanCuentas!AB$2:AB$6092)</f>
        <v>0</v>
      </c>
      <c r="J809" s="12">
        <f>LOOKUP(411040800,[1]PlanCuentas!$A$2:$A$6092,[1]PlanCuentas!AB$2:AB$6092)</f>
        <v>0</v>
      </c>
      <c r="K809" s="12">
        <f>LOOKUP(411040900,[1]PlanCuentas!$A$2:$A$6092,[1]PlanCuentas!AB$2:AB$6092)</f>
        <v>0</v>
      </c>
      <c r="L809" s="12">
        <f>LOOKUP(411041000,[1]PlanCuentas!$A$2:$A$6092,[1]PlanCuentas!AB$2:AB$6092)</f>
        <v>0</v>
      </c>
      <c r="M809" s="12">
        <f>LOOKUP(411041100,[1]PlanCuentas!$A$2:$A$6092,[1]PlanCuentas!AB$2:AB$6092)</f>
        <v>0</v>
      </c>
      <c r="N809" s="12">
        <f>LOOKUP(411041200,[1]PlanCuentas!$A$2:$A$6092,[1]PlanCuentas!AB$2:AB$6092)</f>
        <v>0</v>
      </c>
      <c r="O809" s="12">
        <f>LOOKUP(411041300,[1]PlanCuentas!$A$2:$A$6092,[1]PlanCuentas!AB$2:AB$6092)</f>
        <v>0</v>
      </c>
      <c r="P809" s="12">
        <f>LOOKUP(411042000,[1]PlanCuentas!$A$2:$A$6092,[1]PlanCuentas!AB$2:AB$6092)</f>
        <v>0</v>
      </c>
      <c r="Q809" s="13">
        <f t="shared" si="40"/>
        <v>0</v>
      </c>
    </row>
    <row r="810" spans="1:28" x14ac:dyDescent="0.2">
      <c r="A810" s="10">
        <v>27</v>
      </c>
      <c r="B810" s="11" t="str">
        <f>[1]Aseguradoras!B28</f>
        <v>Imperio S.A de Seguros y Reaseguros</v>
      </c>
      <c r="C810" s="12">
        <f>LOOKUP(411040100,[1]PlanCuentas!$A$2:$A$6092,[1]PlanCuentas!AC$2:AC$6092)</f>
        <v>0</v>
      </c>
      <c r="D810" s="12">
        <f>LOOKUP(411040200,[1]PlanCuentas!$A$2:$A$6092,[1]PlanCuentas!AC$2:AC$6092)</f>
        <v>0</v>
      </c>
      <c r="E810" s="12">
        <f>LOOKUP(411040300,[1]PlanCuentas!$A$2:$A$6092,[1]PlanCuentas!AC$2:AC$6092)</f>
        <v>0</v>
      </c>
      <c r="F810" s="12">
        <f>LOOKUP(411040400,[1]PlanCuentas!$A$2:$A$6092,[1]PlanCuentas!AC$2:AC$6092)</f>
        <v>0</v>
      </c>
      <c r="G810" s="12">
        <f>LOOKUP(411040500,[1]PlanCuentas!$A$2:$A$6092,[1]PlanCuentas!AC$2:AC$6092)</f>
        <v>0</v>
      </c>
      <c r="H810" s="12">
        <f>LOOKUP(411040600,[1]PlanCuentas!$A$2:$A$6092,[1]PlanCuentas!AC$2:AC$6092)</f>
        <v>0</v>
      </c>
      <c r="I810" s="12">
        <f>LOOKUP(411040700,[1]PlanCuentas!$A$2:$A$6092,[1]PlanCuentas!AC$2:AC$6092)</f>
        <v>0</v>
      </c>
      <c r="J810" s="12">
        <f>LOOKUP(411040800,[1]PlanCuentas!$A$2:$A$6092,[1]PlanCuentas!AC$2:AC$6092)</f>
        <v>0</v>
      </c>
      <c r="K810" s="12">
        <f>LOOKUP(411040900,[1]PlanCuentas!$A$2:$A$6092,[1]PlanCuentas!AC$2:AC$6092)</f>
        <v>0</v>
      </c>
      <c r="L810" s="12">
        <f>LOOKUP(411041000,[1]PlanCuentas!$A$2:$A$6092,[1]PlanCuentas!AC$2:AC$6092)</f>
        <v>0</v>
      </c>
      <c r="M810" s="12">
        <f>LOOKUP(411041100,[1]PlanCuentas!$A$2:$A$6092,[1]PlanCuentas!AC$2:AC$6092)</f>
        <v>0</v>
      </c>
      <c r="N810" s="12">
        <f>LOOKUP(411041200,[1]PlanCuentas!$A$2:$A$6092,[1]PlanCuentas!AC$2:AC$6092)</f>
        <v>0</v>
      </c>
      <c r="O810" s="12">
        <f>LOOKUP(411041300,[1]PlanCuentas!$A$2:$A$6092,[1]PlanCuentas!AC$2:AC$6092)</f>
        <v>0</v>
      </c>
      <c r="P810" s="12">
        <f>LOOKUP(411042000,[1]PlanCuentas!$A$2:$A$6092,[1]PlanCuentas!AC$2:AC$6092)</f>
        <v>0</v>
      </c>
      <c r="Q810" s="13">
        <f t="shared" si="40"/>
        <v>0</v>
      </c>
    </row>
    <row r="811" spans="1:28" x14ac:dyDescent="0.2">
      <c r="A811" s="10">
        <v>28</v>
      </c>
      <c r="B811" s="11" t="str">
        <f>[1]Aseguradoras!B29</f>
        <v>Regional S.A de Seguros y Reaseguros</v>
      </c>
      <c r="C811" s="12">
        <f>LOOKUP(411040100,[1]PlanCuentas!$A$2:$A$6092,[1]PlanCuentas!AD$2:AD$6092)</f>
        <v>0</v>
      </c>
      <c r="D811" s="12">
        <f>LOOKUP(411040200,[1]PlanCuentas!$A$2:$A$6092,[1]PlanCuentas!AD$2:AD$6092)</f>
        <v>0</v>
      </c>
      <c r="E811" s="12">
        <f>LOOKUP(411040300,[1]PlanCuentas!$A$2:$A$6092,[1]PlanCuentas!AD$2:AD$6092)</f>
        <v>0</v>
      </c>
      <c r="F811" s="12">
        <f>LOOKUP(411040400,[1]PlanCuentas!$A$2:$A$6092,[1]PlanCuentas!AD$2:AD$6092)</f>
        <v>0</v>
      </c>
      <c r="G811" s="12">
        <f>LOOKUP(411040500,[1]PlanCuentas!$A$2:$A$6092,[1]PlanCuentas!AD$2:AD$6092)</f>
        <v>0</v>
      </c>
      <c r="H811" s="12">
        <f>LOOKUP(411040600,[1]PlanCuentas!$A$2:$A$6092,[1]PlanCuentas!AD$2:AD$6092)</f>
        <v>0</v>
      </c>
      <c r="I811" s="12">
        <f>LOOKUP(411040700,[1]PlanCuentas!$A$2:$A$6092,[1]PlanCuentas!AD$2:AD$6092)</f>
        <v>0</v>
      </c>
      <c r="J811" s="12">
        <f>LOOKUP(411040800,[1]PlanCuentas!$A$2:$A$6092,[1]PlanCuentas!AD$2:AD$6092)</f>
        <v>0</v>
      </c>
      <c r="K811" s="12">
        <f>LOOKUP(411040900,[1]PlanCuentas!$A$2:$A$6092,[1]PlanCuentas!AD$2:AD$6092)</f>
        <v>0</v>
      </c>
      <c r="L811" s="12">
        <f>LOOKUP(411041000,[1]PlanCuentas!$A$2:$A$6092,[1]PlanCuentas!AD$2:AD$6092)</f>
        <v>0</v>
      </c>
      <c r="M811" s="12">
        <f>LOOKUP(411041100,[1]PlanCuentas!$A$2:$A$6092,[1]PlanCuentas!AD$2:AD$6092)</f>
        <v>0</v>
      </c>
      <c r="N811" s="12">
        <f>LOOKUP(411041200,[1]PlanCuentas!$A$2:$A$6092,[1]PlanCuentas!AD$2:AD$6092)</f>
        <v>0</v>
      </c>
      <c r="O811" s="12">
        <f>LOOKUP(411041300,[1]PlanCuentas!$A$2:$A$6092,[1]PlanCuentas!AD$2:AD$6092)</f>
        <v>0</v>
      </c>
      <c r="P811" s="12">
        <f>LOOKUP(411042000,[1]PlanCuentas!$A$2:$A$6092,[1]PlanCuentas!AD$2:AD$6092)</f>
        <v>0</v>
      </c>
      <c r="Q811" s="13">
        <f t="shared" si="40"/>
        <v>0</v>
      </c>
    </row>
    <row r="812" spans="1:28" s="37" customFormat="1" x14ac:dyDescent="0.2">
      <c r="A812" s="10">
        <v>29</v>
      </c>
      <c r="B812" s="11" t="str">
        <f>[1]Aseguradoras!B30</f>
        <v>Mapfre Paraguay Compañía de Seguros S.A.</v>
      </c>
      <c r="C812" s="12">
        <f>LOOKUP(411040100,[1]PlanCuentas!$A$2:$A$6092,[1]PlanCuentas!AE$2:AE$6092)</f>
        <v>0</v>
      </c>
      <c r="D812" s="12">
        <f>LOOKUP(411040200,[1]PlanCuentas!$A$2:$A$6092,[1]PlanCuentas!AE$2:AE$6092)</f>
        <v>0</v>
      </c>
      <c r="E812" s="12">
        <f>LOOKUP(411040300,[1]PlanCuentas!$A$2:$A$6092,[1]PlanCuentas!AE$2:AE$6092)</f>
        <v>0</v>
      </c>
      <c r="F812" s="12">
        <f>LOOKUP(411040400,[1]PlanCuentas!$A$2:$A$6092,[1]PlanCuentas!AE$2:AE$6092)</f>
        <v>0</v>
      </c>
      <c r="G812" s="12">
        <f>LOOKUP(411040500,[1]PlanCuentas!$A$2:$A$6092,[1]PlanCuentas!AE$2:AE$6092)</f>
        <v>0</v>
      </c>
      <c r="H812" s="12">
        <f>LOOKUP(411040600,[1]PlanCuentas!$A$2:$A$6092,[1]PlanCuentas!AE$2:AE$6092)</f>
        <v>0</v>
      </c>
      <c r="I812" s="12">
        <f>LOOKUP(411040700,[1]PlanCuentas!$A$2:$A$6092,[1]PlanCuentas!AE$2:AE$6092)</f>
        <v>0</v>
      </c>
      <c r="J812" s="12">
        <f>LOOKUP(411040800,[1]PlanCuentas!$A$2:$A$6092,[1]PlanCuentas!AE$2:AE$6092)</f>
        <v>0</v>
      </c>
      <c r="K812" s="12">
        <f>LOOKUP(411040900,[1]PlanCuentas!$A$2:$A$6092,[1]PlanCuentas!AE$2:AE$6092)</f>
        <v>0</v>
      </c>
      <c r="L812" s="12">
        <f>LOOKUP(411041000,[1]PlanCuentas!$A$2:$A$6092,[1]PlanCuentas!AE$2:AE$6092)</f>
        <v>0</v>
      </c>
      <c r="M812" s="12">
        <f>LOOKUP(411041100,[1]PlanCuentas!$A$2:$A$6092,[1]PlanCuentas!AE$2:AE$6092)</f>
        <v>0</v>
      </c>
      <c r="N812" s="12">
        <f>LOOKUP(411041200,[1]PlanCuentas!$A$2:$A$6092,[1]PlanCuentas!AE$2:AE$6092)</f>
        <v>0</v>
      </c>
      <c r="O812" s="12">
        <f>LOOKUP(411041300,[1]PlanCuentas!$A$2:$A$6092,[1]PlanCuentas!AE$2:AE$6092)</f>
        <v>0</v>
      </c>
      <c r="P812" s="12">
        <f>LOOKUP(411042000,[1]PlanCuentas!$A$2:$A$6092,[1]PlanCuentas!AE$2:AE$6092)</f>
        <v>0</v>
      </c>
      <c r="Q812" s="13">
        <f t="shared" si="40"/>
        <v>0</v>
      </c>
    </row>
    <row r="813" spans="1:28" x14ac:dyDescent="0.2">
      <c r="A813" s="10">
        <v>30</v>
      </c>
      <c r="B813" s="11" t="str">
        <f>[1]Aseguradoras!B31</f>
        <v>Aseguradora Tajy Propiedad Cooperativa S.A. de Seguros</v>
      </c>
      <c r="C813" s="12">
        <f>LOOKUP(411040100,[1]PlanCuentas!$A$2:$A$6092,[1]PlanCuentas!AF$2:AF$6092)</f>
        <v>0</v>
      </c>
      <c r="D813" s="12">
        <f>LOOKUP(411040200,[1]PlanCuentas!$A$2:$A$6092,[1]PlanCuentas!AF$2:AF$6092)</f>
        <v>0</v>
      </c>
      <c r="E813" s="12">
        <f>LOOKUP(411040300,[1]PlanCuentas!$A$2:$A$6092,[1]PlanCuentas!AF$2:AF$6092)</f>
        <v>0</v>
      </c>
      <c r="F813" s="12">
        <f>LOOKUP(411040400,[1]PlanCuentas!$A$2:$A$6092,[1]PlanCuentas!AF$2:AF$6092)</f>
        <v>0</v>
      </c>
      <c r="G813" s="12">
        <f>LOOKUP(411040500,[1]PlanCuentas!$A$2:$A$6092,[1]PlanCuentas!AF$2:AF$6092)</f>
        <v>0</v>
      </c>
      <c r="H813" s="12">
        <f>LOOKUP(411040600,[1]PlanCuentas!$A$2:$A$6092,[1]PlanCuentas!AF$2:AF$6092)</f>
        <v>0</v>
      </c>
      <c r="I813" s="12">
        <f>LOOKUP(411040700,[1]PlanCuentas!$A$2:$A$6092,[1]PlanCuentas!AF$2:AF$6092)</f>
        <v>0</v>
      </c>
      <c r="J813" s="12">
        <f>LOOKUP(411040800,[1]PlanCuentas!$A$2:$A$6092,[1]PlanCuentas!AF$2:AF$6092)</f>
        <v>0</v>
      </c>
      <c r="K813" s="12">
        <f>LOOKUP(411040900,[1]PlanCuentas!$A$2:$A$6092,[1]PlanCuentas!AF$2:AF$6092)</f>
        <v>0</v>
      </c>
      <c r="L813" s="12">
        <f>LOOKUP(411041000,[1]PlanCuentas!$A$2:$A$6092,[1]PlanCuentas!AF$2:AF$6092)</f>
        <v>0</v>
      </c>
      <c r="M813" s="12">
        <f>LOOKUP(411041100,[1]PlanCuentas!$A$2:$A$6092,[1]PlanCuentas!AF$2:AF$6092)</f>
        <v>0</v>
      </c>
      <c r="N813" s="12">
        <f>LOOKUP(411041200,[1]PlanCuentas!$A$2:$A$6092,[1]PlanCuentas!AF$2:AF$6092)</f>
        <v>0</v>
      </c>
      <c r="O813" s="12">
        <f>LOOKUP(411041300,[1]PlanCuentas!$A$2:$A$6092,[1]PlanCuentas!AF$2:AF$6092)</f>
        <v>0</v>
      </c>
      <c r="P813" s="12">
        <f>LOOKUP(411042000,[1]PlanCuentas!$A$2:$A$6092,[1]PlanCuentas!AF$2:AF$6092)</f>
        <v>0</v>
      </c>
      <c r="Q813" s="13">
        <f t="shared" si="40"/>
        <v>0</v>
      </c>
    </row>
    <row r="814" spans="1:28" x14ac:dyDescent="0.2">
      <c r="A814" s="10">
        <v>31</v>
      </c>
      <c r="B814" s="11" t="str">
        <f>[1]Aseguradoras!B32</f>
        <v>Aseguradora del Sur S.A. Seguros Generales - ASUR</v>
      </c>
      <c r="C814" s="12">
        <f>LOOKUP(411040100,[1]PlanCuentas!$A$2:$A$6092,[1]PlanCuentas!AG$2:AG$6092)</f>
        <v>0</v>
      </c>
      <c r="D814" s="12">
        <f>LOOKUP(411040200,[1]PlanCuentas!$A$2:$A$6092,[1]PlanCuentas!AG$2:AG$6092)</f>
        <v>0</v>
      </c>
      <c r="E814" s="12">
        <f>LOOKUP(411040300,[1]PlanCuentas!$A$2:$A$6092,[1]PlanCuentas!AG$2:AG$6092)</f>
        <v>0</v>
      </c>
      <c r="F814" s="12">
        <f>LOOKUP(411040400,[1]PlanCuentas!$A$2:$A$6092,[1]PlanCuentas!AG$2:AG$6092)</f>
        <v>0</v>
      </c>
      <c r="G814" s="12">
        <f>LOOKUP(411040500,[1]PlanCuentas!$A$2:$A$6092,[1]PlanCuentas!AG$2:AG$6092)</f>
        <v>0</v>
      </c>
      <c r="H814" s="12">
        <f>LOOKUP(411040600,[1]PlanCuentas!$A$2:$A$6092,[1]PlanCuentas!AG$2:AG$6092)</f>
        <v>0</v>
      </c>
      <c r="I814" s="12">
        <f>LOOKUP(411040700,[1]PlanCuentas!$A$2:$A$6092,[1]PlanCuentas!AG$2:AG$6092)</f>
        <v>0</v>
      </c>
      <c r="J814" s="12">
        <f>LOOKUP(411040800,[1]PlanCuentas!$A$2:$A$6092,[1]PlanCuentas!AG$2:AG$6092)</f>
        <v>0</v>
      </c>
      <c r="K814" s="12">
        <f>LOOKUP(411040900,[1]PlanCuentas!$A$2:$A$6092,[1]PlanCuentas!AG$2:AG$6092)</f>
        <v>0</v>
      </c>
      <c r="L814" s="12">
        <f>LOOKUP(411041000,[1]PlanCuentas!$A$2:$A$6092,[1]PlanCuentas!AG$2:AG$6092)</f>
        <v>0</v>
      </c>
      <c r="M814" s="12">
        <f>LOOKUP(411041100,[1]PlanCuentas!$A$2:$A$6092,[1]PlanCuentas!AG$2:AG$6092)</f>
        <v>0</v>
      </c>
      <c r="N814" s="12">
        <f>LOOKUP(411041200,[1]PlanCuentas!$A$2:$A$6092,[1]PlanCuentas!AG$2:AG$6092)</f>
        <v>0</v>
      </c>
      <c r="O814" s="12">
        <f>LOOKUP(411041300,[1]PlanCuentas!$A$2:$A$6092,[1]PlanCuentas!AG$2:AG$6092)</f>
        <v>0</v>
      </c>
      <c r="P814" s="12">
        <f>LOOKUP(411042000,[1]PlanCuentas!$A$2:$A$6092,[1]PlanCuentas!AG$2:AG$6092)</f>
        <v>0</v>
      </c>
      <c r="Q814" s="13">
        <f t="shared" si="40"/>
        <v>0</v>
      </c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</row>
    <row r="815" spans="1:28" x14ac:dyDescent="0.2">
      <c r="A815" s="10">
        <v>32</v>
      </c>
      <c r="B815" s="11" t="str">
        <f>[1]Aseguradoras!B33</f>
        <v>Panal Compañía De Seguros Generales S.A.</v>
      </c>
      <c r="C815" s="12">
        <f>LOOKUP(411040100,[1]PlanCuentas!$A$2:$A$6092,[1]PlanCuentas!AH$2:AH$6092)</f>
        <v>0</v>
      </c>
      <c r="D815" s="12">
        <f>LOOKUP(411040200,[1]PlanCuentas!$A$2:$A$6092,[1]PlanCuentas!AH$2:AH$6092)</f>
        <v>0</v>
      </c>
      <c r="E815" s="12">
        <f>LOOKUP(411040300,[1]PlanCuentas!$A$2:$A$6092,[1]PlanCuentas!AH$2:AH$6092)</f>
        <v>0</v>
      </c>
      <c r="F815" s="12">
        <f>LOOKUP(411040400,[1]PlanCuentas!$A$2:$A$6092,[1]PlanCuentas!AH$2:AH$6092)</f>
        <v>0</v>
      </c>
      <c r="G815" s="12">
        <f>LOOKUP(411040500,[1]PlanCuentas!$A$2:$A$6092,[1]PlanCuentas!AH$2:AH$6092)</f>
        <v>0</v>
      </c>
      <c r="H815" s="12">
        <f>LOOKUP(411040600,[1]PlanCuentas!$A$2:$A$6092,[1]PlanCuentas!AH$2:AH$6092)</f>
        <v>0</v>
      </c>
      <c r="I815" s="12">
        <f>LOOKUP(411040700,[1]PlanCuentas!$A$2:$A$6092,[1]PlanCuentas!AH$2:AH$6092)</f>
        <v>0</v>
      </c>
      <c r="J815" s="12">
        <f>LOOKUP(411040800,[1]PlanCuentas!$A$2:$A$6092,[1]PlanCuentas!AH$2:AH$6092)</f>
        <v>0</v>
      </c>
      <c r="K815" s="12">
        <f>LOOKUP(411040900,[1]PlanCuentas!$A$2:$A$6092,[1]PlanCuentas!AH$2:AH$6092)</f>
        <v>0</v>
      </c>
      <c r="L815" s="12">
        <f>LOOKUP(411041000,[1]PlanCuentas!$A$2:$A$6092,[1]PlanCuentas!AH$2:AH$6092)</f>
        <v>0</v>
      </c>
      <c r="M815" s="12">
        <f>LOOKUP(411041100,[1]PlanCuentas!$A$2:$A$6092,[1]PlanCuentas!AH$2:AH$6092)</f>
        <v>0</v>
      </c>
      <c r="N815" s="12">
        <f>LOOKUP(411041200,[1]PlanCuentas!$A$2:$A$6092,[1]PlanCuentas!AH$2:AH$6092)</f>
        <v>0</v>
      </c>
      <c r="O815" s="12">
        <f>LOOKUP(411041300,[1]PlanCuentas!$A$2:$A$6092,[1]PlanCuentas!AH$2:AH$6092)</f>
        <v>0</v>
      </c>
      <c r="P815" s="12">
        <f>LOOKUP(411042000,[1]PlanCuentas!$A$2:$A$6092,[1]PlanCuentas!AH$2:AH$6092)</f>
        <v>676641334</v>
      </c>
      <c r="Q815" s="13">
        <f t="shared" si="40"/>
        <v>676641334</v>
      </c>
    </row>
    <row r="816" spans="1:28" x14ac:dyDescent="0.2">
      <c r="A816" s="14">
        <v>33</v>
      </c>
      <c r="B816" s="19" t="str">
        <f>[1]Aseguradoras!B34</f>
        <v>Sancor Seguros del Paraguay S.A.</v>
      </c>
      <c r="C816" s="12">
        <f>LOOKUP(411040100,[1]PlanCuentas!$A$2:$A$6092,[1]PlanCuentas!AI$2:AI$6092)</f>
        <v>0</v>
      </c>
      <c r="D816" s="12">
        <f>LOOKUP(411040200,[1]PlanCuentas!$A$2:$A$6092,[1]PlanCuentas!AI$2:AI$6092)</f>
        <v>0</v>
      </c>
      <c r="E816" s="12">
        <f>LOOKUP(411040300,[1]PlanCuentas!$A$2:$A$6092,[1]PlanCuentas!AI$2:AI$6092)</f>
        <v>0</v>
      </c>
      <c r="F816" s="12">
        <f>LOOKUP(411040400,[1]PlanCuentas!$A$2:$A$6092,[1]PlanCuentas!AI$2:AI$6092)</f>
        <v>0</v>
      </c>
      <c r="G816" s="12">
        <f>LOOKUP(411040500,[1]PlanCuentas!$A$2:$A$6092,[1]PlanCuentas!AI$2:AI$6092)</f>
        <v>0</v>
      </c>
      <c r="H816" s="12">
        <f>LOOKUP(411040600,[1]PlanCuentas!$A$2:$A$6092,[1]PlanCuentas!AI$2:AI$6092)</f>
        <v>0</v>
      </c>
      <c r="I816" s="12">
        <f>LOOKUP(411040700,[1]PlanCuentas!$A$2:$A$6092,[1]PlanCuentas!AI$2:AI$6092)</f>
        <v>0</v>
      </c>
      <c r="J816" s="12">
        <f>LOOKUP(411040800,[1]PlanCuentas!$A$2:$A$6092,[1]PlanCuentas!AI$2:AI$6092)</f>
        <v>0</v>
      </c>
      <c r="K816" s="12">
        <f>LOOKUP(411040900,[1]PlanCuentas!$A$2:$A$6092,[1]PlanCuentas!AI$2:AI$6092)</f>
        <v>0</v>
      </c>
      <c r="L816" s="12">
        <f>LOOKUP(411041000,[1]PlanCuentas!$A$2:$A$6092,[1]PlanCuentas!AI$2:AI$6092)</f>
        <v>0</v>
      </c>
      <c r="M816" s="12">
        <f>LOOKUP(411041100,[1]PlanCuentas!$A$2:$A$6092,[1]PlanCuentas!AI$2:AI$6092)</f>
        <v>0</v>
      </c>
      <c r="N816" s="12">
        <f>LOOKUP(411041200,[1]PlanCuentas!$A$2:$A$6092,[1]PlanCuentas!AI$2:AI$6092)</f>
        <v>0</v>
      </c>
      <c r="O816" s="12">
        <f>LOOKUP(411041300,[1]PlanCuentas!$A$2:$A$6092,[1]PlanCuentas!AI$2:AI$6092)</f>
        <v>0</v>
      </c>
      <c r="P816" s="12">
        <f>LOOKUP(411042000,[1]PlanCuentas!$A$2:$A$6092,[1]PlanCuentas!AI$2:AI$6092)</f>
        <v>0</v>
      </c>
      <c r="Q816" s="13">
        <f>SUM(C816:P816)</f>
        <v>0</v>
      </c>
    </row>
    <row r="817" spans="1:17" x14ac:dyDescent="0.2">
      <c r="A817" s="14"/>
      <c r="B817" s="15" t="s">
        <v>18</v>
      </c>
      <c r="C817" s="17">
        <f t="shared" ref="C817:Q817" si="41">SUBTOTAL(109,C784:C816)</f>
        <v>530249509</v>
      </c>
      <c r="D817" s="17">
        <f t="shared" si="41"/>
        <v>375778177</v>
      </c>
      <c r="E817" s="17">
        <f t="shared" si="41"/>
        <v>80222858</v>
      </c>
      <c r="F817" s="17">
        <f t="shared" si="41"/>
        <v>2876145671</v>
      </c>
      <c r="G817" s="17">
        <f t="shared" si="41"/>
        <v>0</v>
      </c>
      <c r="H817" s="17">
        <f t="shared" si="41"/>
        <v>161781200</v>
      </c>
      <c r="I817" s="17">
        <f t="shared" si="41"/>
        <v>12546524</v>
      </c>
      <c r="J817" s="17">
        <f t="shared" si="41"/>
        <v>0</v>
      </c>
      <c r="K817" s="17">
        <f t="shared" si="41"/>
        <v>13946127</v>
      </c>
      <c r="L817" s="17">
        <f t="shared" si="41"/>
        <v>88552740</v>
      </c>
      <c r="M817" s="17">
        <f t="shared" si="41"/>
        <v>21991699</v>
      </c>
      <c r="N817" s="17">
        <f t="shared" si="41"/>
        <v>124586940</v>
      </c>
      <c r="O817" s="17">
        <f t="shared" si="41"/>
        <v>608492629</v>
      </c>
      <c r="P817" s="17">
        <f t="shared" si="41"/>
        <v>2153165019</v>
      </c>
      <c r="Q817" s="17">
        <f t="shared" si="41"/>
        <v>7047459093</v>
      </c>
    </row>
    <row r="818" spans="1:17" x14ac:dyDescent="0.2"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</row>
    <row r="819" spans="1:17" ht="28.35" customHeight="1" x14ac:dyDescent="0.2">
      <c r="A819" s="1" t="s">
        <v>48</v>
      </c>
      <c r="B819" s="47" t="s">
        <v>51</v>
      </c>
      <c r="C819" s="47"/>
      <c r="D819" s="2"/>
      <c r="E819" s="30"/>
      <c r="F819" s="4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</row>
    <row r="820" spans="1:17" ht="24" x14ac:dyDescent="0.2">
      <c r="A820" s="7" t="s">
        <v>2</v>
      </c>
      <c r="B820" s="8" t="s">
        <v>3</v>
      </c>
      <c r="C820" s="9" t="s">
        <v>4</v>
      </c>
      <c r="D820" s="9" t="s">
        <v>5</v>
      </c>
      <c r="E820" s="9" t="s">
        <v>6</v>
      </c>
      <c r="F820" s="36" t="s">
        <v>7</v>
      </c>
      <c r="G820" s="9" t="s">
        <v>8</v>
      </c>
      <c r="H820" s="9" t="s">
        <v>9</v>
      </c>
      <c r="I820" s="9" t="s">
        <v>10</v>
      </c>
      <c r="J820" s="9" t="s">
        <v>11</v>
      </c>
      <c r="K820" s="9" t="s">
        <v>12</v>
      </c>
      <c r="L820" s="9" t="s">
        <v>13</v>
      </c>
      <c r="M820" s="9" t="s">
        <v>14</v>
      </c>
      <c r="N820" s="9" t="s">
        <v>15</v>
      </c>
      <c r="O820" s="9" t="s">
        <v>16</v>
      </c>
      <c r="P820" s="8" t="s">
        <v>17</v>
      </c>
      <c r="Q820" s="8" t="s">
        <v>18</v>
      </c>
    </row>
    <row r="821" spans="1:17" x14ac:dyDescent="0.2">
      <c r="A821" s="10">
        <v>1</v>
      </c>
      <c r="B821" s="11" t="str">
        <f>[1]Aseguradoras!B2</f>
        <v>El Comercio Paraguayo S.A. de Seguros</v>
      </c>
      <c r="C821" s="12">
        <f>LOOKUP(411050100,[1]PlanCuentas!$A$2:$A$6092,[1]PlanCuentas!C$2:C$6092)</f>
        <v>0</v>
      </c>
      <c r="D821" s="12">
        <f>LOOKUP(411050200,[1]PlanCuentas!$A$2:$A$6092,[1]PlanCuentas!C$2:C$6092)</f>
        <v>0</v>
      </c>
      <c r="E821" s="12">
        <f>LOOKUP(411050300,[1]PlanCuentas!$A$2:$A$6092,[1]PlanCuentas!C$2:C$6092)</f>
        <v>0</v>
      </c>
      <c r="F821" s="12">
        <f>LOOKUP(411050400,[1]PlanCuentas!$A$2:$A$6092,[1]PlanCuentas!C$2:C$6092)</f>
        <v>0</v>
      </c>
      <c r="G821" s="12">
        <f>LOOKUP(411050500,[1]PlanCuentas!$A$2:$A$6092,[1]PlanCuentas!C$2:C$6092)</f>
        <v>0</v>
      </c>
      <c r="H821" s="12">
        <f>LOOKUP(411050600,[1]PlanCuentas!$A$2:$A$6092,[1]PlanCuentas!C$2:C$6092)</f>
        <v>0</v>
      </c>
      <c r="I821" s="12">
        <f>LOOKUP(411050700,[1]PlanCuentas!$A$2:$A$6092,[1]PlanCuentas!C$2:C$6092)</f>
        <v>0</v>
      </c>
      <c r="J821" s="12">
        <f>LOOKUP(411050800,[1]PlanCuentas!$A$2:$A$6092,[1]PlanCuentas!C$2:C$6092)</f>
        <v>0</v>
      </c>
      <c r="K821" s="12">
        <f>LOOKUP(411050900,[1]PlanCuentas!$A$2:$A$6092,[1]PlanCuentas!C$2:C$6092)</f>
        <v>0</v>
      </c>
      <c r="L821" s="12">
        <f>LOOKUP(411051000,[1]PlanCuentas!$A$2:$A$6092,[1]PlanCuentas!C$2:C$6092)</f>
        <v>0</v>
      </c>
      <c r="M821" s="12">
        <f>LOOKUP(411051100,[1]PlanCuentas!$A$2:$A$6092,[1]PlanCuentas!C$2:C$6092)</f>
        <v>0</v>
      </c>
      <c r="N821" s="12">
        <f>LOOKUP(411051200,[1]PlanCuentas!$A$2:$A$6092,[1]PlanCuentas!C$2:C$6092)</f>
        <v>0</v>
      </c>
      <c r="O821" s="12">
        <f>LOOKUP(411051300,[1]PlanCuentas!$A$2:$A$6092,[1]PlanCuentas!C$2:C$6092)</f>
        <v>0</v>
      </c>
      <c r="P821" s="12">
        <f>LOOKUP(411052000,[1]PlanCuentas!$A$2:$A$6092,[1]PlanCuentas!C$2:C$6092)</f>
        <v>0</v>
      </c>
      <c r="Q821" s="13">
        <f t="shared" ref="Q821:Q852" si="42">SUM(C821:P821)</f>
        <v>0</v>
      </c>
    </row>
    <row r="822" spans="1:17" x14ac:dyDescent="0.2">
      <c r="A822" s="10">
        <v>2</v>
      </c>
      <c r="B822" s="11" t="str">
        <f>[1]Aseguradoras!B3</f>
        <v>La Rural S.A de Seguros</v>
      </c>
      <c r="C822" s="12">
        <f>LOOKUP(411050100,[1]PlanCuentas!$A$2:$A$6092,[1]PlanCuentas!D$2:D$6092)</f>
        <v>0</v>
      </c>
      <c r="D822" s="12">
        <f>LOOKUP(411050200,[1]PlanCuentas!$A$2:$A$6092,[1]PlanCuentas!D$2:D$6092)</f>
        <v>0</v>
      </c>
      <c r="E822" s="12">
        <f>LOOKUP(411050300,[1]PlanCuentas!$A$2:$A$6092,[1]PlanCuentas!D$2:D$6092)</f>
        <v>0</v>
      </c>
      <c r="F822" s="12">
        <f>LOOKUP(411050400,[1]PlanCuentas!$A$2:$A$6092,[1]PlanCuentas!D$2:D$6092)</f>
        <v>0</v>
      </c>
      <c r="G822" s="12">
        <f>LOOKUP(411050500,[1]PlanCuentas!$A$2:$A$6092,[1]PlanCuentas!D$2:D$6092)</f>
        <v>0</v>
      </c>
      <c r="H822" s="12">
        <f>LOOKUP(411050600,[1]PlanCuentas!$A$2:$A$6092,[1]PlanCuentas!D$2:D$6092)</f>
        <v>0</v>
      </c>
      <c r="I822" s="12">
        <f>LOOKUP(411050700,[1]PlanCuentas!$A$2:$A$6092,[1]PlanCuentas!D$2:D$6092)</f>
        <v>0</v>
      </c>
      <c r="J822" s="12">
        <f>LOOKUP(411050800,[1]PlanCuentas!$A$2:$A$6092,[1]PlanCuentas!D$2:D$6092)</f>
        <v>0</v>
      </c>
      <c r="K822" s="12">
        <f>LOOKUP(411050900,[1]PlanCuentas!$A$2:$A$6092,[1]PlanCuentas!D$2:D$6092)</f>
        <v>0</v>
      </c>
      <c r="L822" s="12">
        <f>LOOKUP(411051000,[1]PlanCuentas!$A$2:$A$6092,[1]PlanCuentas!D$2:D$6092)</f>
        <v>0</v>
      </c>
      <c r="M822" s="12">
        <f>LOOKUP(411051100,[1]PlanCuentas!$A$2:$A$6092,[1]PlanCuentas!D$2:D$6092)</f>
        <v>0</v>
      </c>
      <c r="N822" s="12">
        <f>LOOKUP(411051200,[1]PlanCuentas!$A$2:$A$6092,[1]PlanCuentas!D$2:D$6092)</f>
        <v>0</v>
      </c>
      <c r="O822" s="12">
        <f>LOOKUP(411051300,[1]PlanCuentas!$A$2:$A$6092,[1]PlanCuentas!D$2:D$6092)</f>
        <v>0</v>
      </c>
      <c r="P822" s="12">
        <f>LOOKUP(411052000,[1]PlanCuentas!$A$2:$A$6092,[1]PlanCuentas!D$2:D$6092)</f>
        <v>0</v>
      </c>
      <c r="Q822" s="13">
        <f t="shared" si="42"/>
        <v>0</v>
      </c>
    </row>
    <row r="823" spans="1:17" x14ac:dyDescent="0.2">
      <c r="A823" s="10">
        <v>3</v>
      </c>
      <c r="B823" s="11" t="str">
        <f>[1]Aseguradoras!B4</f>
        <v>La Paraguaya S.A de Seguros</v>
      </c>
      <c r="C823" s="12">
        <f>LOOKUP(411050100,[1]PlanCuentas!$A$2:$A$6092,[1]PlanCuentas!E$2:E$6092)</f>
        <v>0</v>
      </c>
      <c r="D823" s="12">
        <f>LOOKUP(411050200,[1]PlanCuentas!$A$2:$A$6092,[1]PlanCuentas!E$2:E$6092)</f>
        <v>0</v>
      </c>
      <c r="E823" s="12">
        <f>LOOKUP(411050300,[1]PlanCuentas!$A$2:$A$6092,[1]PlanCuentas!E$2:E$6092)</f>
        <v>0</v>
      </c>
      <c r="F823" s="12">
        <f>LOOKUP(411050400,[1]PlanCuentas!$A$2:$A$6092,[1]PlanCuentas!E$2:E$6092)</f>
        <v>0</v>
      </c>
      <c r="G823" s="12">
        <f>LOOKUP(411050500,[1]PlanCuentas!$A$2:$A$6092,[1]PlanCuentas!E$2:E$6092)</f>
        <v>0</v>
      </c>
      <c r="H823" s="12">
        <f>LOOKUP(411050600,[1]PlanCuentas!$A$2:$A$6092,[1]PlanCuentas!E$2:E$6092)</f>
        <v>0</v>
      </c>
      <c r="I823" s="12">
        <f>LOOKUP(411050700,[1]PlanCuentas!$A$2:$A$6092,[1]PlanCuentas!E$2:E$6092)</f>
        <v>0</v>
      </c>
      <c r="J823" s="12">
        <f>LOOKUP(411050800,[1]PlanCuentas!$A$2:$A$6092,[1]PlanCuentas!E$2:E$6092)</f>
        <v>0</v>
      </c>
      <c r="K823" s="12">
        <f>LOOKUP(411050900,[1]PlanCuentas!$A$2:$A$6092,[1]PlanCuentas!E$2:E$6092)</f>
        <v>0</v>
      </c>
      <c r="L823" s="12">
        <f>LOOKUP(411051000,[1]PlanCuentas!$A$2:$A$6092,[1]PlanCuentas!E$2:E$6092)</f>
        <v>0</v>
      </c>
      <c r="M823" s="12">
        <f>LOOKUP(411051100,[1]PlanCuentas!$A$2:$A$6092,[1]PlanCuentas!E$2:E$6092)</f>
        <v>0</v>
      </c>
      <c r="N823" s="12">
        <f>LOOKUP(411051200,[1]PlanCuentas!$A$2:$A$6092,[1]PlanCuentas!E$2:E$6092)</f>
        <v>0</v>
      </c>
      <c r="O823" s="12">
        <f>LOOKUP(411051300,[1]PlanCuentas!$A$2:$A$6092,[1]PlanCuentas!E$2:E$6092)</f>
        <v>0</v>
      </c>
      <c r="P823" s="12">
        <f>LOOKUP(411052000,[1]PlanCuentas!$A$2:$A$6092,[1]PlanCuentas!E$2:E$6092)</f>
        <v>0</v>
      </c>
      <c r="Q823" s="13">
        <f t="shared" si="42"/>
        <v>0</v>
      </c>
    </row>
    <row r="824" spans="1:17" x14ac:dyDescent="0.2">
      <c r="A824" s="10">
        <v>4</v>
      </c>
      <c r="B824" s="11" t="str">
        <f>[1]Aseguradoras!B5</f>
        <v>Seguros Generales S. A (SEGESA)</v>
      </c>
      <c r="C824" s="12">
        <f>LOOKUP(411050100,[1]PlanCuentas!$A$2:$A$6092,[1]PlanCuentas!F$2:F$6092)</f>
        <v>0</v>
      </c>
      <c r="D824" s="12">
        <f>LOOKUP(411050200,[1]PlanCuentas!$A$2:$A$6092,[1]PlanCuentas!F$2:F$6092)</f>
        <v>0</v>
      </c>
      <c r="E824" s="12">
        <f>LOOKUP(411050300,[1]PlanCuentas!$A$2:$A$6092,[1]PlanCuentas!F$2:F$6092)</f>
        <v>0</v>
      </c>
      <c r="F824" s="12">
        <f>LOOKUP(411050400,[1]PlanCuentas!$A$2:$A$6092,[1]PlanCuentas!F$2:F$6092)</f>
        <v>0</v>
      </c>
      <c r="G824" s="12">
        <f>LOOKUP(411050500,[1]PlanCuentas!$A$2:$A$6092,[1]PlanCuentas!F$2:F$6092)</f>
        <v>0</v>
      </c>
      <c r="H824" s="12">
        <f>LOOKUP(411050600,[1]PlanCuentas!$A$2:$A$6092,[1]PlanCuentas!F$2:F$6092)</f>
        <v>0</v>
      </c>
      <c r="I824" s="12">
        <f>LOOKUP(411050700,[1]PlanCuentas!$A$2:$A$6092,[1]PlanCuentas!F$2:F$6092)</f>
        <v>0</v>
      </c>
      <c r="J824" s="12">
        <f>LOOKUP(411050800,[1]PlanCuentas!$A$2:$A$6092,[1]PlanCuentas!F$2:F$6092)</f>
        <v>0</v>
      </c>
      <c r="K824" s="12">
        <f>LOOKUP(411050900,[1]PlanCuentas!$A$2:$A$6092,[1]PlanCuentas!F$2:F$6092)</f>
        <v>0</v>
      </c>
      <c r="L824" s="12">
        <f>LOOKUP(411051000,[1]PlanCuentas!$A$2:$A$6092,[1]PlanCuentas!F$2:F$6092)</f>
        <v>0</v>
      </c>
      <c r="M824" s="12">
        <f>LOOKUP(411051100,[1]PlanCuentas!$A$2:$A$6092,[1]PlanCuentas!F$2:F$6092)</f>
        <v>0</v>
      </c>
      <c r="N824" s="12">
        <f>LOOKUP(411051200,[1]PlanCuentas!$A$2:$A$6092,[1]PlanCuentas!F$2:F$6092)</f>
        <v>0</v>
      </c>
      <c r="O824" s="12">
        <f>LOOKUP(411051300,[1]PlanCuentas!$A$2:$A$6092,[1]PlanCuentas!F$2:F$6092)</f>
        <v>0</v>
      </c>
      <c r="P824" s="12">
        <f>LOOKUP(411052000,[1]PlanCuentas!$A$2:$A$6092,[1]PlanCuentas!F$2:F$6092)</f>
        <v>0</v>
      </c>
      <c r="Q824" s="13">
        <f t="shared" si="42"/>
        <v>0</v>
      </c>
    </row>
    <row r="825" spans="1:17" x14ac:dyDescent="0.2">
      <c r="A825" s="10">
        <v>5</v>
      </c>
      <c r="B825" s="11" t="str">
        <f>[1]Aseguradoras!B6</f>
        <v>Rumbos S.A de Seguros</v>
      </c>
      <c r="C825" s="12">
        <f>LOOKUP(411050100,[1]PlanCuentas!$A$2:$A$6092,[1]PlanCuentas!G$2:G$6092)</f>
        <v>0</v>
      </c>
      <c r="D825" s="12">
        <f>LOOKUP(411050200,[1]PlanCuentas!$A$2:$A$6092,[1]PlanCuentas!G$2:G$6092)</f>
        <v>0</v>
      </c>
      <c r="E825" s="12">
        <f>LOOKUP(411050300,[1]PlanCuentas!$A$2:$A$6092,[1]PlanCuentas!G$2:G$6092)</f>
        <v>0</v>
      </c>
      <c r="F825" s="12">
        <f>LOOKUP(411050400,[1]PlanCuentas!$A$2:$A$6092,[1]PlanCuentas!G$2:G$6092)</f>
        <v>0</v>
      </c>
      <c r="G825" s="12">
        <f>LOOKUP(411050500,[1]PlanCuentas!$A$2:$A$6092,[1]PlanCuentas!G$2:G$6092)</f>
        <v>0</v>
      </c>
      <c r="H825" s="12">
        <f>LOOKUP(411050600,[1]PlanCuentas!$A$2:$A$6092,[1]PlanCuentas!G$2:G$6092)</f>
        <v>0</v>
      </c>
      <c r="I825" s="12">
        <f>LOOKUP(411050700,[1]PlanCuentas!$A$2:$A$6092,[1]PlanCuentas!G$2:G$6092)</f>
        <v>0</v>
      </c>
      <c r="J825" s="12">
        <f>LOOKUP(411050800,[1]PlanCuentas!$A$2:$A$6092,[1]PlanCuentas!G$2:G$6092)</f>
        <v>0</v>
      </c>
      <c r="K825" s="12">
        <f>LOOKUP(411050900,[1]PlanCuentas!$A$2:$A$6092,[1]PlanCuentas!G$2:G$6092)</f>
        <v>0</v>
      </c>
      <c r="L825" s="12">
        <f>LOOKUP(411051000,[1]PlanCuentas!$A$2:$A$6092,[1]PlanCuentas!G$2:G$6092)</f>
        <v>0</v>
      </c>
      <c r="M825" s="12">
        <f>LOOKUP(411051100,[1]PlanCuentas!$A$2:$A$6092,[1]PlanCuentas!G$2:G$6092)</f>
        <v>0</v>
      </c>
      <c r="N825" s="12">
        <f>LOOKUP(411051200,[1]PlanCuentas!$A$2:$A$6092,[1]PlanCuentas!G$2:G$6092)</f>
        <v>0</v>
      </c>
      <c r="O825" s="12">
        <f>LOOKUP(411051300,[1]PlanCuentas!$A$2:$A$6092,[1]PlanCuentas!G$2:G$6092)</f>
        <v>0</v>
      </c>
      <c r="P825" s="12">
        <f>LOOKUP(411052000,[1]PlanCuentas!$A$2:$A$6092,[1]PlanCuentas!G$2:G$6092)</f>
        <v>0</v>
      </c>
      <c r="Q825" s="13">
        <f t="shared" si="42"/>
        <v>0</v>
      </c>
    </row>
    <row r="826" spans="1:17" x14ac:dyDescent="0.2">
      <c r="A826" s="10">
        <v>6</v>
      </c>
      <c r="B826" s="11" t="str">
        <f>[1]Aseguradoras!B7</f>
        <v>La Consolidada S.A de Seguros</v>
      </c>
      <c r="C826" s="12">
        <f>LOOKUP(411050100,[1]PlanCuentas!$A$2:$A$6092,[1]PlanCuentas!H$2:H$6092)</f>
        <v>0</v>
      </c>
      <c r="D826" s="12">
        <f>LOOKUP(411050200,[1]PlanCuentas!$A$2:$A$6092,[1]PlanCuentas!H$2:H$6092)</f>
        <v>0</v>
      </c>
      <c r="E826" s="12">
        <f>LOOKUP(411050300,[1]PlanCuentas!$A$2:$A$6092,[1]PlanCuentas!H$2:H$6092)</f>
        <v>0</v>
      </c>
      <c r="F826" s="12">
        <f>LOOKUP(411050400,[1]PlanCuentas!$A$2:$A$6092,[1]PlanCuentas!H$2:H$6092)</f>
        <v>0</v>
      </c>
      <c r="G826" s="12">
        <f>LOOKUP(411050500,[1]PlanCuentas!$A$2:$A$6092,[1]PlanCuentas!H$2:H$6092)</f>
        <v>0</v>
      </c>
      <c r="H826" s="12">
        <f>LOOKUP(411050600,[1]PlanCuentas!$A$2:$A$6092,[1]PlanCuentas!H$2:H$6092)</f>
        <v>0</v>
      </c>
      <c r="I826" s="12">
        <f>LOOKUP(411050700,[1]PlanCuentas!$A$2:$A$6092,[1]PlanCuentas!H$2:H$6092)</f>
        <v>0</v>
      </c>
      <c r="J826" s="12">
        <f>LOOKUP(411050800,[1]PlanCuentas!$A$2:$A$6092,[1]PlanCuentas!H$2:H$6092)</f>
        <v>0</v>
      </c>
      <c r="K826" s="12">
        <f>LOOKUP(411050900,[1]PlanCuentas!$A$2:$A$6092,[1]PlanCuentas!H$2:H$6092)</f>
        <v>0</v>
      </c>
      <c r="L826" s="12">
        <f>LOOKUP(411051000,[1]PlanCuentas!$A$2:$A$6092,[1]PlanCuentas!H$2:H$6092)</f>
        <v>0</v>
      </c>
      <c r="M826" s="12">
        <f>LOOKUP(411051100,[1]PlanCuentas!$A$2:$A$6092,[1]PlanCuentas!H$2:H$6092)</f>
        <v>0</v>
      </c>
      <c r="N826" s="12">
        <f>LOOKUP(411051200,[1]PlanCuentas!$A$2:$A$6092,[1]PlanCuentas!H$2:H$6092)</f>
        <v>0</v>
      </c>
      <c r="O826" s="12">
        <f>LOOKUP(411051300,[1]PlanCuentas!$A$2:$A$6092,[1]PlanCuentas!H$2:H$6092)</f>
        <v>0</v>
      </c>
      <c r="P826" s="12">
        <f>LOOKUP(411052000,[1]PlanCuentas!$A$2:$A$6092,[1]PlanCuentas!H$2:H$6092)</f>
        <v>0</v>
      </c>
      <c r="Q826" s="13">
        <f t="shared" si="42"/>
        <v>0</v>
      </c>
    </row>
    <row r="827" spans="1:17" x14ac:dyDescent="0.2">
      <c r="A827" s="10">
        <v>7</v>
      </c>
      <c r="B827" s="11" t="str">
        <f>[1]Aseguradoras!B8</f>
        <v>El Productor S.A de Seguros y Reaseguros</v>
      </c>
      <c r="C827" s="12">
        <f>LOOKUP(411050100,[1]PlanCuentas!$A$2:$A$6092,[1]PlanCuentas!I$2:I$6092)</f>
        <v>0</v>
      </c>
      <c r="D827" s="12">
        <f>LOOKUP(411050200,[1]PlanCuentas!$A$2:$A$6092,[1]PlanCuentas!I$2:I$6092)</f>
        <v>0</v>
      </c>
      <c r="E827" s="12">
        <f>LOOKUP(411050300,[1]PlanCuentas!$A$2:$A$6092,[1]PlanCuentas!I$2:I$6092)</f>
        <v>0</v>
      </c>
      <c r="F827" s="12">
        <f>LOOKUP(411050400,[1]PlanCuentas!$A$2:$A$6092,[1]PlanCuentas!I$2:I$6092)</f>
        <v>0</v>
      </c>
      <c r="G827" s="12">
        <f>LOOKUP(411050500,[1]PlanCuentas!$A$2:$A$6092,[1]PlanCuentas!I$2:I$6092)</f>
        <v>0</v>
      </c>
      <c r="H827" s="12">
        <f>LOOKUP(411050600,[1]PlanCuentas!$A$2:$A$6092,[1]PlanCuentas!I$2:I$6092)</f>
        <v>0</v>
      </c>
      <c r="I827" s="12">
        <f>LOOKUP(411050700,[1]PlanCuentas!$A$2:$A$6092,[1]PlanCuentas!I$2:I$6092)</f>
        <v>0</v>
      </c>
      <c r="J827" s="12">
        <f>LOOKUP(411050800,[1]PlanCuentas!$A$2:$A$6092,[1]PlanCuentas!I$2:I$6092)</f>
        <v>0</v>
      </c>
      <c r="K827" s="12">
        <f>LOOKUP(411050900,[1]PlanCuentas!$A$2:$A$6092,[1]PlanCuentas!I$2:I$6092)</f>
        <v>0</v>
      </c>
      <c r="L827" s="12">
        <f>LOOKUP(411051000,[1]PlanCuentas!$A$2:$A$6092,[1]PlanCuentas!I$2:I$6092)</f>
        <v>0</v>
      </c>
      <c r="M827" s="12">
        <f>LOOKUP(411051100,[1]PlanCuentas!$A$2:$A$6092,[1]PlanCuentas!I$2:I$6092)</f>
        <v>0</v>
      </c>
      <c r="N827" s="12">
        <f>LOOKUP(411051200,[1]PlanCuentas!$A$2:$A$6092,[1]PlanCuentas!I$2:I$6092)</f>
        <v>0</v>
      </c>
      <c r="O827" s="12">
        <f>LOOKUP(411051300,[1]PlanCuentas!$A$2:$A$6092,[1]PlanCuentas!I$2:I$6092)</f>
        <v>0</v>
      </c>
      <c r="P827" s="12">
        <f>LOOKUP(411052000,[1]PlanCuentas!$A$2:$A$6092,[1]PlanCuentas!I$2:I$6092)</f>
        <v>0</v>
      </c>
      <c r="Q827" s="13">
        <f t="shared" si="42"/>
        <v>0</v>
      </c>
    </row>
    <row r="828" spans="1:17" x14ac:dyDescent="0.2">
      <c r="A828" s="10">
        <v>8</v>
      </c>
      <c r="B828" s="11" t="str">
        <f>[1]Aseguradoras!B9</f>
        <v>Atalaya S.A de Seguros Generales</v>
      </c>
      <c r="C828" s="12">
        <f>LOOKUP(411050100,[1]PlanCuentas!$A$2:$A$6092,[1]PlanCuentas!J$2:J$6092)</f>
        <v>0</v>
      </c>
      <c r="D828" s="12">
        <f>LOOKUP(411050200,[1]PlanCuentas!$A$2:$A$6092,[1]PlanCuentas!J$2:J$6092)</f>
        <v>0</v>
      </c>
      <c r="E828" s="12">
        <f>LOOKUP(411050300,[1]PlanCuentas!$A$2:$A$6092,[1]PlanCuentas!J$2:J$6092)</f>
        <v>0</v>
      </c>
      <c r="F828" s="12">
        <f>LOOKUP(411050400,[1]PlanCuentas!$A$2:$A$6092,[1]PlanCuentas!J$2:J$6092)</f>
        <v>0</v>
      </c>
      <c r="G828" s="12">
        <f>LOOKUP(411050500,[1]PlanCuentas!$A$2:$A$6092,[1]PlanCuentas!J$2:J$6092)</f>
        <v>0</v>
      </c>
      <c r="H828" s="12">
        <f>LOOKUP(411050600,[1]PlanCuentas!$A$2:$A$6092,[1]PlanCuentas!J$2:J$6092)</f>
        <v>0</v>
      </c>
      <c r="I828" s="12">
        <f>LOOKUP(411050700,[1]PlanCuentas!$A$2:$A$6092,[1]PlanCuentas!J$2:J$6092)</f>
        <v>0</v>
      </c>
      <c r="J828" s="12">
        <f>LOOKUP(411050800,[1]PlanCuentas!$A$2:$A$6092,[1]PlanCuentas!J$2:J$6092)</f>
        <v>0</v>
      </c>
      <c r="K828" s="12">
        <f>LOOKUP(411050900,[1]PlanCuentas!$A$2:$A$6092,[1]PlanCuentas!J$2:J$6092)</f>
        <v>0</v>
      </c>
      <c r="L828" s="12">
        <f>LOOKUP(411051000,[1]PlanCuentas!$A$2:$A$6092,[1]PlanCuentas!J$2:J$6092)</f>
        <v>0</v>
      </c>
      <c r="M828" s="12">
        <f>LOOKUP(411051100,[1]PlanCuentas!$A$2:$A$6092,[1]PlanCuentas!J$2:J$6092)</f>
        <v>0</v>
      </c>
      <c r="N828" s="12">
        <f>LOOKUP(411051200,[1]PlanCuentas!$A$2:$A$6092,[1]PlanCuentas!J$2:J$6092)</f>
        <v>0</v>
      </c>
      <c r="O828" s="12">
        <f>LOOKUP(411051300,[1]PlanCuentas!$A$2:$A$6092,[1]PlanCuentas!J$2:J$6092)</f>
        <v>0</v>
      </c>
      <c r="P828" s="12">
        <f>LOOKUP(411052000,[1]PlanCuentas!$A$2:$A$6092,[1]PlanCuentas!J$2:J$6092)</f>
        <v>0</v>
      </c>
      <c r="Q828" s="13">
        <f t="shared" si="42"/>
        <v>0</v>
      </c>
    </row>
    <row r="829" spans="1:17" x14ac:dyDescent="0.2">
      <c r="A829" s="10">
        <v>9</v>
      </c>
      <c r="B829" s="11" t="str">
        <f>[1]Aseguradoras!B10</f>
        <v>La Independencia de Seguros S.A.</v>
      </c>
      <c r="C829" s="12">
        <f>LOOKUP(411050100,[1]PlanCuentas!$A$2:$A$6092,[1]PlanCuentas!K$2:K$6092)</f>
        <v>0</v>
      </c>
      <c r="D829" s="12">
        <f>LOOKUP(411050200,[1]PlanCuentas!$A$2:$A$6092,[1]PlanCuentas!K$2:K$6092)</f>
        <v>0</v>
      </c>
      <c r="E829" s="12">
        <f>LOOKUP(411050300,[1]PlanCuentas!$A$2:$A$6092,[1]PlanCuentas!K$2:K$6092)</f>
        <v>0</v>
      </c>
      <c r="F829" s="12">
        <f>LOOKUP(411050400,[1]PlanCuentas!$A$2:$A$6092,[1]PlanCuentas!K$2:K$6092)</f>
        <v>0</v>
      </c>
      <c r="G829" s="12">
        <f>LOOKUP(411050500,[1]PlanCuentas!$A$2:$A$6092,[1]PlanCuentas!K$2:K$6092)</f>
        <v>0</v>
      </c>
      <c r="H829" s="12">
        <f>LOOKUP(411050600,[1]PlanCuentas!$A$2:$A$6092,[1]PlanCuentas!K$2:K$6092)</f>
        <v>0</v>
      </c>
      <c r="I829" s="12">
        <f>LOOKUP(411050700,[1]PlanCuentas!$A$2:$A$6092,[1]PlanCuentas!K$2:K$6092)</f>
        <v>0</v>
      </c>
      <c r="J829" s="12">
        <f>LOOKUP(411050800,[1]PlanCuentas!$A$2:$A$6092,[1]PlanCuentas!K$2:K$6092)</f>
        <v>0</v>
      </c>
      <c r="K829" s="12">
        <f>LOOKUP(411050900,[1]PlanCuentas!$A$2:$A$6092,[1]PlanCuentas!K$2:K$6092)</f>
        <v>0</v>
      </c>
      <c r="L829" s="12">
        <f>LOOKUP(411051000,[1]PlanCuentas!$A$2:$A$6092,[1]PlanCuentas!K$2:K$6092)</f>
        <v>0</v>
      </c>
      <c r="M829" s="12">
        <f>LOOKUP(411051100,[1]PlanCuentas!$A$2:$A$6092,[1]PlanCuentas!K$2:K$6092)</f>
        <v>0</v>
      </c>
      <c r="N829" s="12">
        <f>LOOKUP(411051200,[1]PlanCuentas!$A$2:$A$6092,[1]PlanCuentas!K$2:K$6092)</f>
        <v>0</v>
      </c>
      <c r="O829" s="12">
        <f>LOOKUP(411051300,[1]PlanCuentas!$A$2:$A$6092,[1]PlanCuentas!K$2:K$6092)</f>
        <v>0</v>
      </c>
      <c r="P829" s="12">
        <f>LOOKUP(411052000,[1]PlanCuentas!$A$2:$A$6092,[1]PlanCuentas!K$2:K$6092)</f>
        <v>0</v>
      </c>
      <c r="Q829" s="13">
        <f t="shared" si="42"/>
        <v>0</v>
      </c>
    </row>
    <row r="830" spans="1:17" x14ac:dyDescent="0.2">
      <c r="A830" s="10">
        <v>10</v>
      </c>
      <c r="B830" s="11" t="str">
        <f>[1]Aseguradoras!B11</f>
        <v>Patria S.A de Seguros y Reaseguros</v>
      </c>
      <c r="C830" s="12">
        <f>LOOKUP(411050100,[1]PlanCuentas!$A$2:$A$6092,[1]PlanCuentas!L$2:L$6092)</f>
        <v>0</v>
      </c>
      <c r="D830" s="12">
        <f>LOOKUP(411050200,[1]PlanCuentas!$A$2:$A$6092,[1]PlanCuentas!L$2:L$6092)</f>
        <v>0</v>
      </c>
      <c r="E830" s="12">
        <f>LOOKUP(411050300,[1]PlanCuentas!$A$2:$A$6092,[1]PlanCuentas!L$2:L$6092)</f>
        <v>0</v>
      </c>
      <c r="F830" s="12">
        <f>LOOKUP(411050400,[1]PlanCuentas!$A$2:$A$6092,[1]PlanCuentas!L$2:L$6092)</f>
        <v>0</v>
      </c>
      <c r="G830" s="12">
        <f>LOOKUP(411050500,[1]PlanCuentas!$A$2:$A$6092,[1]PlanCuentas!L$2:L$6092)</f>
        <v>0</v>
      </c>
      <c r="H830" s="12">
        <f>LOOKUP(411050600,[1]PlanCuentas!$A$2:$A$6092,[1]PlanCuentas!L$2:L$6092)</f>
        <v>0</v>
      </c>
      <c r="I830" s="12">
        <f>LOOKUP(411050700,[1]PlanCuentas!$A$2:$A$6092,[1]PlanCuentas!L$2:L$6092)</f>
        <v>0</v>
      </c>
      <c r="J830" s="12">
        <f>LOOKUP(411050800,[1]PlanCuentas!$A$2:$A$6092,[1]PlanCuentas!L$2:L$6092)</f>
        <v>0</v>
      </c>
      <c r="K830" s="12">
        <f>LOOKUP(411050900,[1]PlanCuentas!$A$2:$A$6092,[1]PlanCuentas!L$2:L$6092)</f>
        <v>0</v>
      </c>
      <c r="L830" s="12">
        <f>LOOKUP(411051000,[1]PlanCuentas!$A$2:$A$6092,[1]PlanCuentas!L$2:L$6092)</f>
        <v>0</v>
      </c>
      <c r="M830" s="12">
        <f>LOOKUP(411051100,[1]PlanCuentas!$A$2:$A$6092,[1]PlanCuentas!L$2:L$6092)</f>
        <v>0</v>
      </c>
      <c r="N830" s="12">
        <f>LOOKUP(411051200,[1]PlanCuentas!$A$2:$A$6092,[1]PlanCuentas!L$2:L$6092)</f>
        <v>0</v>
      </c>
      <c r="O830" s="12">
        <f>LOOKUP(411051300,[1]PlanCuentas!$A$2:$A$6092,[1]PlanCuentas!L$2:L$6092)</f>
        <v>0</v>
      </c>
      <c r="P830" s="12">
        <f>LOOKUP(411052000,[1]PlanCuentas!$A$2:$A$6092,[1]PlanCuentas!L$2:L$6092)</f>
        <v>0</v>
      </c>
      <c r="Q830" s="13">
        <f t="shared" si="42"/>
        <v>0</v>
      </c>
    </row>
    <row r="831" spans="1:17" x14ac:dyDescent="0.2">
      <c r="A831" s="10">
        <v>11</v>
      </c>
      <c r="B831" s="11" t="str">
        <f>[1]Aseguradoras!B12</f>
        <v>Garantía S.A de Seguros y Reaseguros</v>
      </c>
      <c r="C831" s="12">
        <f>LOOKUP(411050100,[1]PlanCuentas!$A$2:$A$6092,[1]PlanCuentas!M$2:M$6092)</f>
        <v>0</v>
      </c>
      <c r="D831" s="12">
        <f>LOOKUP(411050200,[1]PlanCuentas!$A$2:$A$6092,[1]PlanCuentas!M$2:M$6092)</f>
        <v>0</v>
      </c>
      <c r="E831" s="12">
        <f>LOOKUP(411050300,[1]PlanCuentas!$A$2:$A$6092,[1]PlanCuentas!M$2:M$6092)</f>
        <v>0</v>
      </c>
      <c r="F831" s="12">
        <f>LOOKUP(411050400,[1]PlanCuentas!$A$2:$A$6092,[1]PlanCuentas!M$2:M$6092)</f>
        <v>0</v>
      </c>
      <c r="G831" s="12">
        <f>LOOKUP(411050500,[1]PlanCuentas!$A$2:$A$6092,[1]PlanCuentas!M$2:M$6092)</f>
        <v>0</v>
      </c>
      <c r="H831" s="12">
        <f>LOOKUP(411050600,[1]PlanCuentas!$A$2:$A$6092,[1]PlanCuentas!M$2:M$6092)</f>
        <v>0</v>
      </c>
      <c r="I831" s="12">
        <f>LOOKUP(411050700,[1]PlanCuentas!$A$2:$A$6092,[1]PlanCuentas!M$2:M$6092)</f>
        <v>0</v>
      </c>
      <c r="J831" s="12">
        <f>LOOKUP(411050800,[1]PlanCuentas!$A$2:$A$6092,[1]PlanCuentas!M$2:M$6092)</f>
        <v>0</v>
      </c>
      <c r="K831" s="12">
        <f>LOOKUP(411050900,[1]PlanCuentas!$A$2:$A$6092,[1]PlanCuentas!M$2:M$6092)</f>
        <v>0</v>
      </c>
      <c r="L831" s="12">
        <f>LOOKUP(411051000,[1]PlanCuentas!$A$2:$A$6092,[1]PlanCuentas!M$2:M$6092)</f>
        <v>0</v>
      </c>
      <c r="M831" s="12">
        <f>LOOKUP(411051100,[1]PlanCuentas!$A$2:$A$6092,[1]PlanCuentas!M$2:M$6092)</f>
        <v>0</v>
      </c>
      <c r="N831" s="12">
        <f>LOOKUP(411051200,[1]PlanCuentas!$A$2:$A$6092,[1]PlanCuentas!M$2:M$6092)</f>
        <v>0</v>
      </c>
      <c r="O831" s="12">
        <f>LOOKUP(411051300,[1]PlanCuentas!$A$2:$A$6092,[1]PlanCuentas!M$2:M$6092)</f>
        <v>0</v>
      </c>
      <c r="P831" s="12">
        <f>LOOKUP(411052000,[1]PlanCuentas!$A$2:$A$6092,[1]PlanCuentas!M$2:M$6092)</f>
        <v>0</v>
      </c>
      <c r="Q831" s="13">
        <f t="shared" si="42"/>
        <v>0</v>
      </c>
    </row>
    <row r="832" spans="1:17" x14ac:dyDescent="0.2">
      <c r="A832" s="10">
        <v>12</v>
      </c>
      <c r="B832" s="11" t="str">
        <f>[1]Aseguradoras!B13</f>
        <v>Aseguradora Paraguaya S.A.</v>
      </c>
      <c r="C832" s="12">
        <f>LOOKUP(411050100,[1]PlanCuentas!$A$2:$A$6092,[1]PlanCuentas!N$2:N$6092)</f>
        <v>0</v>
      </c>
      <c r="D832" s="12">
        <f>LOOKUP(411050200,[1]PlanCuentas!$A$2:$A$6092,[1]PlanCuentas!N$2:N$6092)</f>
        <v>0</v>
      </c>
      <c r="E832" s="12">
        <f>LOOKUP(411050300,[1]PlanCuentas!$A$2:$A$6092,[1]PlanCuentas!N$2:N$6092)</f>
        <v>0</v>
      </c>
      <c r="F832" s="12">
        <f>LOOKUP(411050400,[1]PlanCuentas!$A$2:$A$6092,[1]PlanCuentas!N$2:N$6092)</f>
        <v>0</v>
      </c>
      <c r="G832" s="12">
        <f>LOOKUP(411050500,[1]PlanCuentas!$A$2:$A$6092,[1]PlanCuentas!N$2:N$6092)</f>
        <v>0</v>
      </c>
      <c r="H832" s="12">
        <f>LOOKUP(411050600,[1]PlanCuentas!$A$2:$A$6092,[1]PlanCuentas!N$2:N$6092)</f>
        <v>0</v>
      </c>
      <c r="I832" s="12">
        <f>LOOKUP(411050700,[1]PlanCuentas!$A$2:$A$6092,[1]PlanCuentas!N$2:N$6092)</f>
        <v>0</v>
      </c>
      <c r="J832" s="12">
        <f>LOOKUP(411050800,[1]PlanCuentas!$A$2:$A$6092,[1]PlanCuentas!N$2:N$6092)</f>
        <v>0</v>
      </c>
      <c r="K832" s="12">
        <f>LOOKUP(411050900,[1]PlanCuentas!$A$2:$A$6092,[1]PlanCuentas!N$2:N$6092)</f>
        <v>0</v>
      </c>
      <c r="L832" s="12">
        <f>LOOKUP(411051000,[1]PlanCuentas!$A$2:$A$6092,[1]PlanCuentas!N$2:N$6092)</f>
        <v>0</v>
      </c>
      <c r="M832" s="12">
        <f>LOOKUP(411051100,[1]PlanCuentas!$A$2:$A$6092,[1]PlanCuentas!N$2:N$6092)</f>
        <v>0</v>
      </c>
      <c r="N832" s="12">
        <f>LOOKUP(411051200,[1]PlanCuentas!$A$2:$A$6092,[1]PlanCuentas!N$2:N$6092)</f>
        <v>0</v>
      </c>
      <c r="O832" s="12">
        <f>LOOKUP(411051300,[1]PlanCuentas!$A$2:$A$6092,[1]PlanCuentas!N$2:N$6092)</f>
        <v>0</v>
      </c>
      <c r="P832" s="12">
        <f>LOOKUP(411052000,[1]PlanCuentas!$A$2:$A$6092,[1]PlanCuentas!N$2:N$6092)</f>
        <v>0</v>
      </c>
      <c r="Q832" s="13">
        <f t="shared" si="42"/>
        <v>0</v>
      </c>
    </row>
    <row r="833" spans="1:17" x14ac:dyDescent="0.2">
      <c r="A833" s="10">
        <v>13</v>
      </c>
      <c r="B833" s="11" t="str">
        <f>[1]Aseguradoras!B14</f>
        <v>Fénix S.A de Seguros y Reaseguros</v>
      </c>
      <c r="C833" s="12">
        <f>LOOKUP(411050100,[1]PlanCuentas!$A$2:$A$6092,[1]PlanCuentas!O$2:O$6092)</f>
        <v>0</v>
      </c>
      <c r="D833" s="12">
        <f>LOOKUP(411050200,[1]PlanCuentas!$A$2:$A$6092,[1]PlanCuentas!O$2:O$6092)</f>
        <v>0</v>
      </c>
      <c r="E833" s="12">
        <f>LOOKUP(411050300,[1]PlanCuentas!$A$2:$A$6092,[1]PlanCuentas!O$2:O$6092)</f>
        <v>0</v>
      </c>
      <c r="F833" s="12">
        <f>LOOKUP(411050400,[1]PlanCuentas!$A$2:$A$6092,[1]PlanCuentas!O$2:O$6092)</f>
        <v>0</v>
      </c>
      <c r="G833" s="12">
        <f>LOOKUP(411050500,[1]PlanCuentas!$A$2:$A$6092,[1]PlanCuentas!O$2:O$6092)</f>
        <v>0</v>
      </c>
      <c r="H833" s="12">
        <f>LOOKUP(411050600,[1]PlanCuentas!$A$2:$A$6092,[1]PlanCuentas!O$2:O$6092)</f>
        <v>0</v>
      </c>
      <c r="I833" s="12">
        <f>LOOKUP(411050700,[1]PlanCuentas!$A$2:$A$6092,[1]PlanCuentas!O$2:O$6092)</f>
        <v>0</v>
      </c>
      <c r="J833" s="12">
        <f>LOOKUP(411050800,[1]PlanCuentas!$A$2:$A$6092,[1]PlanCuentas!O$2:O$6092)</f>
        <v>0</v>
      </c>
      <c r="K833" s="12">
        <f>LOOKUP(411050900,[1]PlanCuentas!$A$2:$A$6092,[1]PlanCuentas!O$2:O$6092)</f>
        <v>0</v>
      </c>
      <c r="L833" s="12">
        <f>LOOKUP(411051000,[1]PlanCuentas!$A$2:$A$6092,[1]PlanCuentas!O$2:O$6092)</f>
        <v>0</v>
      </c>
      <c r="M833" s="12">
        <f>LOOKUP(411051100,[1]PlanCuentas!$A$2:$A$6092,[1]PlanCuentas!O$2:O$6092)</f>
        <v>0</v>
      </c>
      <c r="N833" s="12">
        <f>LOOKUP(411051200,[1]PlanCuentas!$A$2:$A$6092,[1]PlanCuentas!O$2:O$6092)</f>
        <v>0</v>
      </c>
      <c r="O833" s="12">
        <f>LOOKUP(411051300,[1]PlanCuentas!$A$2:$A$6092,[1]PlanCuentas!O$2:O$6092)</f>
        <v>0</v>
      </c>
      <c r="P833" s="12">
        <f>LOOKUP(411052000,[1]PlanCuentas!$A$2:$A$6092,[1]PlanCuentas!O$2:O$6092)</f>
        <v>0</v>
      </c>
      <c r="Q833" s="13">
        <f t="shared" si="42"/>
        <v>0</v>
      </c>
    </row>
    <row r="834" spans="1:17" x14ac:dyDescent="0.2">
      <c r="A834" s="10">
        <v>14</v>
      </c>
      <c r="B834" s="11" t="str">
        <f>[1]Aseguradoras!B15</f>
        <v>Central S.A de Seguros</v>
      </c>
      <c r="C834" s="12">
        <f>LOOKUP(411050100,[1]PlanCuentas!$A$2:$A$6092,[1]PlanCuentas!P$2:P$6092)</f>
        <v>0</v>
      </c>
      <c r="D834" s="12">
        <f>LOOKUP(411050200,[1]PlanCuentas!$A$2:$A$6092,[1]PlanCuentas!P$2:P$6092)</f>
        <v>0</v>
      </c>
      <c r="E834" s="12">
        <f>LOOKUP(411050300,[1]PlanCuentas!$A$2:$A$6092,[1]PlanCuentas!P$2:P$6092)</f>
        <v>0</v>
      </c>
      <c r="F834" s="12">
        <f>LOOKUP(411050400,[1]PlanCuentas!$A$2:$A$6092,[1]PlanCuentas!P$2:P$6092)</f>
        <v>0</v>
      </c>
      <c r="G834" s="12">
        <f>LOOKUP(411050500,[1]PlanCuentas!$A$2:$A$6092,[1]PlanCuentas!P$2:P$6092)</f>
        <v>0</v>
      </c>
      <c r="H834" s="12">
        <f>LOOKUP(411050600,[1]PlanCuentas!$A$2:$A$6092,[1]PlanCuentas!P$2:P$6092)</f>
        <v>0</v>
      </c>
      <c r="I834" s="12">
        <f>LOOKUP(411050700,[1]PlanCuentas!$A$2:$A$6092,[1]PlanCuentas!P$2:P$6092)</f>
        <v>0</v>
      </c>
      <c r="J834" s="12">
        <f>LOOKUP(411050800,[1]PlanCuentas!$A$2:$A$6092,[1]PlanCuentas!P$2:P$6092)</f>
        <v>0</v>
      </c>
      <c r="K834" s="12">
        <f>LOOKUP(411050900,[1]PlanCuentas!$A$2:$A$6092,[1]PlanCuentas!P$2:P$6092)</f>
        <v>0</v>
      </c>
      <c r="L834" s="12">
        <f>LOOKUP(411051000,[1]PlanCuentas!$A$2:$A$6092,[1]PlanCuentas!P$2:P$6092)</f>
        <v>0</v>
      </c>
      <c r="M834" s="12">
        <f>LOOKUP(411051100,[1]PlanCuentas!$A$2:$A$6092,[1]PlanCuentas!P$2:P$6092)</f>
        <v>0</v>
      </c>
      <c r="N834" s="12">
        <f>LOOKUP(411051200,[1]PlanCuentas!$A$2:$A$6092,[1]PlanCuentas!P$2:P$6092)</f>
        <v>0</v>
      </c>
      <c r="O834" s="12">
        <f>LOOKUP(411051300,[1]PlanCuentas!$A$2:$A$6092,[1]PlanCuentas!P$2:P$6092)</f>
        <v>0</v>
      </c>
      <c r="P834" s="12">
        <f>LOOKUP(411052000,[1]PlanCuentas!$A$2:$A$6092,[1]PlanCuentas!P$2:P$6092)</f>
        <v>0</v>
      </c>
      <c r="Q834" s="13">
        <f t="shared" si="42"/>
        <v>0</v>
      </c>
    </row>
    <row r="835" spans="1:17" x14ac:dyDescent="0.2">
      <c r="A835" s="10">
        <v>15</v>
      </c>
      <c r="B835" s="11" t="str">
        <f>[1]Aseguradoras!B16</f>
        <v>Seguros Chaco S.A de Seguros y Reaseguros</v>
      </c>
      <c r="C835" s="12">
        <f>LOOKUP(411050100,[1]PlanCuentas!$A$2:$A$6092,[1]PlanCuentas!Q$2:Q$6092)</f>
        <v>0</v>
      </c>
      <c r="D835" s="12">
        <f>LOOKUP(411050200,[1]PlanCuentas!$A$2:$A$6092,[1]PlanCuentas!Q$2:Q$6092)</f>
        <v>0</v>
      </c>
      <c r="E835" s="12">
        <f>LOOKUP(411050300,[1]PlanCuentas!$A$2:$A$6092,[1]PlanCuentas!Q$2:Q$6092)</f>
        <v>0</v>
      </c>
      <c r="F835" s="12">
        <f>LOOKUP(411050400,[1]PlanCuentas!$A$2:$A$6092,[1]PlanCuentas!Q$2:Q$6092)</f>
        <v>0</v>
      </c>
      <c r="G835" s="12">
        <f>LOOKUP(411050500,[1]PlanCuentas!$A$2:$A$6092,[1]PlanCuentas!Q$2:Q$6092)</f>
        <v>0</v>
      </c>
      <c r="H835" s="12">
        <f>LOOKUP(411050600,[1]PlanCuentas!$A$2:$A$6092,[1]PlanCuentas!Q$2:Q$6092)</f>
        <v>0</v>
      </c>
      <c r="I835" s="12">
        <f>LOOKUP(411050700,[1]PlanCuentas!$A$2:$A$6092,[1]PlanCuentas!Q$2:Q$6092)</f>
        <v>0</v>
      </c>
      <c r="J835" s="12">
        <f>LOOKUP(411050800,[1]PlanCuentas!$A$2:$A$6092,[1]PlanCuentas!Q$2:Q$6092)</f>
        <v>0</v>
      </c>
      <c r="K835" s="12">
        <f>LOOKUP(411050900,[1]PlanCuentas!$A$2:$A$6092,[1]PlanCuentas!Q$2:Q$6092)</f>
        <v>0</v>
      </c>
      <c r="L835" s="12">
        <f>LOOKUP(411051000,[1]PlanCuentas!$A$2:$A$6092,[1]PlanCuentas!Q$2:Q$6092)</f>
        <v>0</v>
      </c>
      <c r="M835" s="12">
        <f>LOOKUP(411051100,[1]PlanCuentas!$A$2:$A$6092,[1]PlanCuentas!Q$2:Q$6092)</f>
        <v>0</v>
      </c>
      <c r="N835" s="12">
        <f>LOOKUP(411051200,[1]PlanCuentas!$A$2:$A$6092,[1]PlanCuentas!Q$2:Q$6092)</f>
        <v>0</v>
      </c>
      <c r="O835" s="12">
        <f>LOOKUP(411051300,[1]PlanCuentas!$A$2:$A$6092,[1]PlanCuentas!Q$2:Q$6092)</f>
        <v>0</v>
      </c>
      <c r="P835" s="12">
        <f>LOOKUP(411052000,[1]PlanCuentas!$A$2:$A$6092,[1]PlanCuentas!Q$2:Q$6092)</f>
        <v>0</v>
      </c>
      <c r="Q835" s="13">
        <f t="shared" si="42"/>
        <v>0</v>
      </c>
    </row>
    <row r="836" spans="1:17" x14ac:dyDescent="0.2">
      <c r="A836" s="10">
        <v>16</v>
      </c>
      <c r="B836" s="11" t="str">
        <f>[1]Aseguradoras!B17</f>
        <v>El Sol Del Paraguay Compañía de Seguros y Reaseguros S.A.</v>
      </c>
      <c r="C836" s="12">
        <f>LOOKUP(411050100,[1]PlanCuentas!$A$2:$A$6092,[1]PlanCuentas!R$2:R$6092)</f>
        <v>0</v>
      </c>
      <c r="D836" s="12">
        <f>LOOKUP(411050200,[1]PlanCuentas!$A$2:$A$6092,[1]PlanCuentas!R$2:R$6092)</f>
        <v>0</v>
      </c>
      <c r="E836" s="12">
        <f>LOOKUP(411050300,[1]PlanCuentas!$A$2:$A$6092,[1]PlanCuentas!R$2:R$6092)</f>
        <v>0</v>
      </c>
      <c r="F836" s="12">
        <f>LOOKUP(411050400,[1]PlanCuentas!$A$2:$A$6092,[1]PlanCuentas!R$2:R$6092)</f>
        <v>0</v>
      </c>
      <c r="G836" s="12">
        <f>LOOKUP(411050500,[1]PlanCuentas!$A$2:$A$6092,[1]PlanCuentas!R$2:R$6092)</f>
        <v>0</v>
      </c>
      <c r="H836" s="12">
        <f>LOOKUP(411050600,[1]PlanCuentas!$A$2:$A$6092,[1]PlanCuentas!R$2:R$6092)</f>
        <v>0</v>
      </c>
      <c r="I836" s="12">
        <f>LOOKUP(411050700,[1]PlanCuentas!$A$2:$A$6092,[1]PlanCuentas!R$2:R$6092)</f>
        <v>0</v>
      </c>
      <c r="J836" s="12">
        <f>LOOKUP(411050800,[1]PlanCuentas!$A$2:$A$6092,[1]PlanCuentas!R$2:R$6092)</f>
        <v>0</v>
      </c>
      <c r="K836" s="12">
        <f>LOOKUP(411050900,[1]PlanCuentas!$A$2:$A$6092,[1]PlanCuentas!R$2:R$6092)</f>
        <v>0</v>
      </c>
      <c r="L836" s="12">
        <f>LOOKUP(411051000,[1]PlanCuentas!$A$2:$A$6092,[1]PlanCuentas!R$2:R$6092)</f>
        <v>0</v>
      </c>
      <c r="M836" s="12">
        <f>LOOKUP(411051100,[1]PlanCuentas!$A$2:$A$6092,[1]PlanCuentas!R$2:R$6092)</f>
        <v>0</v>
      </c>
      <c r="N836" s="12">
        <f>LOOKUP(411051200,[1]PlanCuentas!$A$2:$A$6092,[1]PlanCuentas!R$2:R$6092)</f>
        <v>0</v>
      </c>
      <c r="O836" s="12">
        <f>LOOKUP(411051300,[1]PlanCuentas!$A$2:$A$6092,[1]PlanCuentas!R$2:R$6092)</f>
        <v>0</v>
      </c>
      <c r="P836" s="12">
        <f>LOOKUP(411052000,[1]PlanCuentas!$A$2:$A$6092,[1]PlanCuentas!R$2:R$6092)</f>
        <v>0</v>
      </c>
      <c r="Q836" s="13">
        <f t="shared" si="42"/>
        <v>0</v>
      </c>
    </row>
    <row r="837" spans="1:17" x14ac:dyDescent="0.2">
      <c r="A837" s="10">
        <v>17</v>
      </c>
      <c r="B837" s="11" t="str">
        <f>[1]Aseguradoras!B18</f>
        <v>Intercontinental de Seguros y Reaseguros S.A.</v>
      </c>
      <c r="C837" s="12">
        <f>LOOKUP(411050100,[1]PlanCuentas!$A$2:$A$6092,[1]PlanCuentas!S$2:S$6092)</f>
        <v>0</v>
      </c>
      <c r="D837" s="12">
        <f>LOOKUP(411050200,[1]PlanCuentas!$A$2:$A$6092,[1]PlanCuentas!S$2:S$6092)</f>
        <v>0</v>
      </c>
      <c r="E837" s="12">
        <f>LOOKUP(411050300,[1]PlanCuentas!$A$2:$A$6092,[1]PlanCuentas!S$2:S$6092)</f>
        <v>0</v>
      </c>
      <c r="F837" s="12">
        <f>LOOKUP(411050400,[1]PlanCuentas!$A$2:$A$6092,[1]PlanCuentas!S$2:S$6092)</f>
        <v>0</v>
      </c>
      <c r="G837" s="12">
        <f>LOOKUP(411050500,[1]PlanCuentas!$A$2:$A$6092,[1]PlanCuentas!S$2:S$6092)</f>
        <v>0</v>
      </c>
      <c r="H837" s="12">
        <f>LOOKUP(411050600,[1]PlanCuentas!$A$2:$A$6092,[1]PlanCuentas!S$2:S$6092)</f>
        <v>0</v>
      </c>
      <c r="I837" s="12">
        <f>LOOKUP(411050700,[1]PlanCuentas!$A$2:$A$6092,[1]PlanCuentas!S$2:S$6092)</f>
        <v>0</v>
      </c>
      <c r="J837" s="12">
        <f>LOOKUP(411050800,[1]PlanCuentas!$A$2:$A$6092,[1]PlanCuentas!S$2:S$6092)</f>
        <v>0</v>
      </c>
      <c r="K837" s="12">
        <f>LOOKUP(411050900,[1]PlanCuentas!$A$2:$A$6092,[1]PlanCuentas!S$2:S$6092)</f>
        <v>0</v>
      </c>
      <c r="L837" s="12">
        <f>LOOKUP(411051000,[1]PlanCuentas!$A$2:$A$6092,[1]PlanCuentas!S$2:S$6092)</f>
        <v>0</v>
      </c>
      <c r="M837" s="12">
        <f>LOOKUP(411051100,[1]PlanCuentas!$A$2:$A$6092,[1]PlanCuentas!S$2:S$6092)</f>
        <v>0</v>
      </c>
      <c r="N837" s="12">
        <f>LOOKUP(411051200,[1]PlanCuentas!$A$2:$A$6092,[1]PlanCuentas!S$2:S$6092)</f>
        <v>0</v>
      </c>
      <c r="O837" s="12">
        <f>LOOKUP(411051300,[1]PlanCuentas!$A$2:$A$6092,[1]PlanCuentas!S$2:S$6092)</f>
        <v>0</v>
      </c>
      <c r="P837" s="12">
        <f>LOOKUP(411052000,[1]PlanCuentas!$A$2:$A$6092,[1]PlanCuentas!S$2:S$6092)</f>
        <v>0</v>
      </c>
      <c r="Q837" s="13">
        <f t="shared" si="42"/>
        <v>0</v>
      </c>
    </row>
    <row r="838" spans="1:17" x14ac:dyDescent="0.2">
      <c r="A838" s="10">
        <v>18</v>
      </c>
      <c r="B838" s="11" t="str">
        <f>[1]Aseguradoras!B19</f>
        <v>Seguridad S.A Compañía de Seguros</v>
      </c>
      <c r="C838" s="12">
        <f>LOOKUP(411050100,[1]PlanCuentas!$A$2:$A$6092,[1]PlanCuentas!T$2:T$6092)</f>
        <v>51762330</v>
      </c>
      <c r="D838" s="12">
        <f>LOOKUP(411050200,[1]PlanCuentas!$A$2:$A$6092,[1]PlanCuentas!T$2:T$6092)</f>
        <v>51762330</v>
      </c>
      <c r="E838" s="12">
        <f>LOOKUP(411050300,[1]PlanCuentas!$A$2:$A$6092,[1]PlanCuentas!T$2:T$6092)</f>
        <v>0</v>
      </c>
      <c r="F838" s="12">
        <f>LOOKUP(411050400,[1]PlanCuentas!$A$2:$A$6092,[1]PlanCuentas!T$2:T$6092)</f>
        <v>18406145</v>
      </c>
      <c r="G838" s="12">
        <f>LOOKUP(411050500,[1]PlanCuentas!$A$2:$A$6092,[1]PlanCuentas!T$2:T$6092)</f>
        <v>0</v>
      </c>
      <c r="H838" s="12">
        <f>LOOKUP(411050600,[1]PlanCuentas!$A$2:$A$6092,[1]PlanCuentas!T$2:T$6092)</f>
        <v>0</v>
      </c>
      <c r="I838" s="12">
        <f>LOOKUP(411050700,[1]PlanCuentas!$A$2:$A$6092,[1]PlanCuentas!T$2:T$6092)</f>
        <v>0</v>
      </c>
      <c r="J838" s="12">
        <f>LOOKUP(411050800,[1]PlanCuentas!$A$2:$A$6092,[1]PlanCuentas!T$2:T$6092)</f>
        <v>0</v>
      </c>
      <c r="K838" s="12">
        <f>LOOKUP(411050900,[1]PlanCuentas!$A$2:$A$6092,[1]PlanCuentas!T$2:T$6092)</f>
        <v>51762332</v>
      </c>
      <c r="L838" s="12">
        <f>LOOKUP(411051000,[1]PlanCuentas!$A$2:$A$6092,[1]PlanCuentas!T$2:T$6092)</f>
        <v>0</v>
      </c>
      <c r="M838" s="12">
        <f>LOOKUP(411051100,[1]PlanCuentas!$A$2:$A$6092,[1]PlanCuentas!T$2:T$6092)</f>
        <v>0</v>
      </c>
      <c r="N838" s="12">
        <f>LOOKUP(411051200,[1]PlanCuentas!$A$2:$A$6092,[1]PlanCuentas!T$2:T$6092)</f>
        <v>0</v>
      </c>
      <c r="O838" s="12">
        <f>LOOKUP(411051300,[1]PlanCuentas!$A$2:$A$6092,[1]PlanCuentas!T$2:T$6092)</f>
        <v>0</v>
      </c>
      <c r="P838" s="12">
        <f>LOOKUP(411052000,[1]PlanCuentas!$A$2:$A$6092,[1]PlanCuentas!T$2:T$6092)</f>
        <v>0</v>
      </c>
      <c r="Q838" s="13">
        <f t="shared" si="42"/>
        <v>173693137</v>
      </c>
    </row>
    <row r="839" spans="1:17" x14ac:dyDescent="0.2">
      <c r="A839" s="10">
        <v>19</v>
      </c>
      <c r="B839" s="11" t="str">
        <f>[1]Aseguradoras!B20</f>
        <v>Universo de Seguros y Reaseguros S.A.</v>
      </c>
      <c r="C839" s="12">
        <f>LOOKUP(411050100,[1]PlanCuentas!$A$2:$A$6092,[1]PlanCuentas!U$2:U$6092)</f>
        <v>0</v>
      </c>
      <c r="D839" s="12">
        <f>LOOKUP(411050200,[1]PlanCuentas!$A$2:$A$6092,[1]PlanCuentas!U$2:U$6092)</f>
        <v>0</v>
      </c>
      <c r="E839" s="12">
        <f>LOOKUP(411050300,[1]PlanCuentas!$A$2:$A$6092,[1]PlanCuentas!U$2:U$6092)</f>
        <v>0</v>
      </c>
      <c r="F839" s="12">
        <f>LOOKUP(411050400,[1]PlanCuentas!$A$2:$A$6092,[1]PlanCuentas!U$2:U$6092)</f>
        <v>0</v>
      </c>
      <c r="G839" s="12">
        <f>LOOKUP(411050500,[1]PlanCuentas!$A$2:$A$6092,[1]PlanCuentas!U$2:U$6092)</f>
        <v>0</v>
      </c>
      <c r="H839" s="12">
        <f>LOOKUP(411050600,[1]PlanCuentas!$A$2:$A$6092,[1]PlanCuentas!U$2:U$6092)</f>
        <v>0</v>
      </c>
      <c r="I839" s="12">
        <f>LOOKUP(411050700,[1]PlanCuentas!$A$2:$A$6092,[1]PlanCuentas!U$2:U$6092)</f>
        <v>0</v>
      </c>
      <c r="J839" s="12">
        <f>LOOKUP(411050800,[1]PlanCuentas!$A$2:$A$6092,[1]PlanCuentas!U$2:U$6092)</f>
        <v>0</v>
      </c>
      <c r="K839" s="12">
        <f>LOOKUP(411050900,[1]PlanCuentas!$A$2:$A$6092,[1]PlanCuentas!U$2:U$6092)</f>
        <v>0</v>
      </c>
      <c r="L839" s="12">
        <f>LOOKUP(411051000,[1]PlanCuentas!$A$2:$A$6092,[1]PlanCuentas!U$2:U$6092)</f>
        <v>0</v>
      </c>
      <c r="M839" s="12">
        <f>LOOKUP(411051100,[1]PlanCuentas!$A$2:$A$6092,[1]PlanCuentas!U$2:U$6092)</f>
        <v>0</v>
      </c>
      <c r="N839" s="12">
        <f>LOOKUP(411051200,[1]PlanCuentas!$A$2:$A$6092,[1]PlanCuentas!U$2:U$6092)</f>
        <v>0</v>
      </c>
      <c r="O839" s="12">
        <f>LOOKUP(411051300,[1]PlanCuentas!$A$2:$A$6092,[1]PlanCuentas!U$2:U$6092)</f>
        <v>0</v>
      </c>
      <c r="P839" s="12">
        <f>LOOKUP(411052000,[1]PlanCuentas!$A$2:$A$6092,[1]PlanCuentas!U$2:U$6092)</f>
        <v>0</v>
      </c>
      <c r="Q839" s="13">
        <f t="shared" si="42"/>
        <v>0</v>
      </c>
    </row>
    <row r="840" spans="1:17" x14ac:dyDescent="0.2">
      <c r="A840" s="10">
        <v>20</v>
      </c>
      <c r="B840" s="11" t="str">
        <f>[1]Aseguradoras!B21</f>
        <v>Aseguradora Yacyreta S.A de Seguros y Reaseguros</v>
      </c>
      <c r="C840" s="12">
        <f>LOOKUP(411050100,[1]PlanCuentas!$A$2:$A$6092,[1]PlanCuentas!V$2:V$6092)</f>
        <v>0</v>
      </c>
      <c r="D840" s="12">
        <f>LOOKUP(411050200,[1]PlanCuentas!$A$2:$A$6092,[1]PlanCuentas!V$2:V$6092)</f>
        <v>0</v>
      </c>
      <c r="E840" s="12">
        <f>LOOKUP(411050300,[1]PlanCuentas!$A$2:$A$6092,[1]PlanCuentas!V$2:V$6092)</f>
        <v>0</v>
      </c>
      <c r="F840" s="12">
        <f>LOOKUP(411050400,[1]PlanCuentas!$A$2:$A$6092,[1]PlanCuentas!V$2:V$6092)</f>
        <v>0</v>
      </c>
      <c r="G840" s="12">
        <f>LOOKUP(411050500,[1]PlanCuentas!$A$2:$A$6092,[1]PlanCuentas!V$2:V$6092)</f>
        <v>0</v>
      </c>
      <c r="H840" s="12">
        <f>LOOKUP(411050600,[1]PlanCuentas!$A$2:$A$6092,[1]PlanCuentas!V$2:V$6092)</f>
        <v>0</v>
      </c>
      <c r="I840" s="12">
        <f>LOOKUP(411050700,[1]PlanCuentas!$A$2:$A$6092,[1]PlanCuentas!V$2:V$6092)</f>
        <v>0</v>
      </c>
      <c r="J840" s="12">
        <f>LOOKUP(411050800,[1]PlanCuentas!$A$2:$A$6092,[1]PlanCuentas!V$2:V$6092)</f>
        <v>0</v>
      </c>
      <c r="K840" s="12">
        <f>LOOKUP(411050900,[1]PlanCuentas!$A$2:$A$6092,[1]PlanCuentas!V$2:V$6092)</f>
        <v>0</v>
      </c>
      <c r="L840" s="12">
        <f>LOOKUP(411051000,[1]PlanCuentas!$A$2:$A$6092,[1]PlanCuentas!V$2:V$6092)</f>
        <v>75409186</v>
      </c>
      <c r="M840" s="12">
        <f>LOOKUP(411051100,[1]PlanCuentas!$A$2:$A$6092,[1]PlanCuentas!V$2:V$6092)</f>
        <v>0</v>
      </c>
      <c r="N840" s="12">
        <f>LOOKUP(411051200,[1]PlanCuentas!$A$2:$A$6092,[1]PlanCuentas!V$2:V$6092)</f>
        <v>0</v>
      </c>
      <c r="O840" s="12">
        <f>LOOKUP(411051300,[1]PlanCuentas!$A$2:$A$6092,[1]PlanCuentas!V$2:V$6092)</f>
        <v>0</v>
      </c>
      <c r="P840" s="12">
        <f>LOOKUP(411052000,[1]PlanCuentas!$A$2:$A$6092,[1]PlanCuentas!V$2:V$6092)</f>
        <v>0</v>
      </c>
      <c r="Q840" s="13">
        <f t="shared" si="42"/>
        <v>75409186</v>
      </c>
    </row>
    <row r="841" spans="1:17" x14ac:dyDescent="0.2">
      <c r="A841" s="10">
        <v>21</v>
      </c>
      <c r="B841" s="11" t="str">
        <f>[1]Aseguradoras!B22</f>
        <v>La Agricola S.A de Seguros y Reaseguros</v>
      </c>
      <c r="C841" s="12">
        <f>LOOKUP(411050100,[1]PlanCuentas!$A$2:$A$6092,[1]PlanCuentas!W$2:W$6092)</f>
        <v>0</v>
      </c>
      <c r="D841" s="12">
        <f>LOOKUP(411050200,[1]PlanCuentas!$A$2:$A$6092,[1]PlanCuentas!W$2:W$6092)</f>
        <v>0</v>
      </c>
      <c r="E841" s="12">
        <f>LOOKUP(411050300,[1]PlanCuentas!$A$2:$A$6092,[1]PlanCuentas!W$2:W$6092)</f>
        <v>0</v>
      </c>
      <c r="F841" s="12">
        <f>LOOKUP(411050400,[1]PlanCuentas!$A$2:$A$6092,[1]PlanCuentas!W$2:W$6092)</f>
        <v>0</v>
      </c>
      <c r="G841" s="12">
        <f>LOOKUP(411050500,[1]PlanCuentas!$A$2:$A$6092,[1]PlanCuentas!W$2:W$6092)</f>
        <v>0</v>
      </c>
      <c r="H841" s="12">
        <f>LOOKUP(411050600,[1]PlanCuentas!$A$2:$A$6092,[1]PlanCuentas!W$2:W$6092)</f>
        <v>0</v>
      </c>
      <c r="I841" s="12">
        <f>LOOKUP(411050700,[1]PlanCuentas!$A$2:$A$6092,[1]PlanCuentas!W$2:W$6092)</f>
        <v>0</v>
      </c>
      <c r="J841" s="12">
        <f>LOOKUP(411050800,[1]PlanCuentas!$A$2:$A$6092,[1]PlanCuentas!W$2:W$6092)</f>
        <v>0</v>
      </c>
      <c r="K841" s="12">
        <f>LOOKUP(411050900,[1]PlanCuentas!$A$2:$A$6092,[1]PlanCuentas!W$2:W$6092)</f>
        <v>0</v>
      </c>
      <c r="L841" s="12">
        <f>LOOKUP(411051000,[1]PlanCuentas!$A$2:$A$6092,[1]PlanCuentas!W$2:W$6092)</f>
        <v>0</v>
      </c>
      <c r="M841" s="12">
        <f>LOOKUP(411051100,[1]PlanCuentas!$A$2:$A$6092,[1]PlanCuentas!W$2:W$6092)</f>
        <v>0</v>
      </c>
      <c r="N841" s="12">
        <f>LOOKUP(411051200,[1]PlanCuentas!$A$2:$A$6092,[1]PlanCuentas!W$2:W$6092)</f>
        <v>0</v>
      </c>
      <c r="O841" s="12">
        <f>LOOKUP(411051300,[1]PlanCuentas!$A$2:$A$6092,[1]PlanCuentas!W$2:W$6092)</f>
        <v>0</v>
      </c>
      <c r="P841" s="12">
        <f>LOOKUP(411052000,[1]PlanCuentas!$A$2:$A$6092,[1]PlanCuentas!W$2:W$6092)</f>
        <v>0</v>
      </c>
      <c r="Q841" s="13">
        <f t="shared" si="42"/>
        <v>0</v>
      </c>
    </row>
    <row r="842" spans="1:17" x14ac:dyDescent="0.2">
      <c r="A842" s="10">
        <v>22</v>
      </c>
      <c r="B842" s="11" t="str">
        <f>[1]Aseguradoras!B23</f>
        <v>Grupo General de Seguros y Reaseguros S.A.</v>
      </c>
      <c r="C842" s="12">
        <f>LOOKUP(411050100,[1]PlanCuentas!$A$2:$A$6092,[1]PlanCuentas!X$2:X$6092)</f>
        <v>0</v>
      </c>
      <c r="D842" s="12">
        <f>LOOKUP(411050200,[1]PlanCuentas!$A$2:$A$6092,[1]PlanCuentas!X$2:X$6092)</f>
        <v>0</v>
      </c>
      <c r="E842" s="12">
        <f>LOOKUP(411050300,[1]PlanCuentas!$A$2:$A$6092,[1]PlanCuentas!X$2:X$6092)</f>
        <v>0</v>
      </c>
      <c r="F842" s="12">
        <f>LOOKUP(411050400,[1]PlanCuentas!$A$2:$A$6092,[1]PlanCuentas!X$2:X$6092)</f>
        <v>0</v>
      </c>
      <c r="G842" s="12">
        <f>LOOKUP(411050500,[1]PlanCuentas!$A$2:$A$6092,[1]PlanCuentas!X$2:X$6092)</f>
        <v>0</v>
      </c>
      <c r="H842" s="12">
        <f>LOOKUP(411050600,[1]PlanCuentas!$A$2:$A$6092,[1]PlanCuentas!X$2:X$6092)</f>
        <v>0</v>
      </c>
      <c r="I842" s="12">
        <f>LOOKUP(411050700,[1]PlanCuentas!$A$2:$A$6092,[1]PlanCuentas!X$2:X$6092)</f>
        <v>0</v>
      </c>
      <c r="J842" s="12">
        <f>LOOKUP(411050800,[1]PlanCuentas!$A$2:$A$6092,[1]PlanCuentas!X$2:X$6092)</f>
        <v>0</v>
      </c>
      <c r="K842" s="12">
        <f>LOOKUP(411050900,[1]PlanCuentas!$A$2:$A$6092,[1]PlanCuentas!X$2:X$6092)</f>
        <v>0</v>
      </c>
      <c r="L842" s="12">
        <f>LOOKUP(411051000,[1]PlanCuentas!$A$2:$A$6092,[1]PlanCuentas!X$2:X$6092)</f>
        <v>0</v>
      </c>
      <c r="M842" s="12">
        <f>LOOKUP(411051100,[1]PlanCuentas!$A$2:$A$6092,[1]PlanCuentas!X$2:X$6092)</f>
        <v>0</v>
      </c>
      <c r="N842" s="12">
        <f>LOOKUP(411051200,[1]PlanCuentas!$A$2:$A$6092,[1]PlanCuentas!X$2:X$6092)</f>
        <v>0</v>
      </c>
      <c r="O842" s="12">
        <f>LOOKUP(411051300,[1]PlanCuentas!$A$2:$A$6092,[1]PlanCuentas!X$2:X$6092)</f>
        <v>0</v>
      </c>
      <c r="P842" s="12">
        <f>LOOKUP(411052000,[1]PlanCuentas!$A$2:$A$6092,[1]PlanCuentas!X$2:X$6092)</f>
        <v>0</v>
      </c>
      <c r="Q842" s="13">
        <f t="shared" si="42"/>
        <v>0</v>
      </c>
    </row>
    <row r="843" spans="1:17" x14ac:dyDescent="0.2">
      <c r="A843" s="10">
        <v>23</v>
      </c>
      <c r="B843" s="11" t="str">
        <f>[1]Aseguradoras!B24</f>
        <v>Alfa S.A de Seguros y Reaseguros</v>
      </c>
      <c r="C843" s="12">
        <f>LOOKUP(411050100,[1]PlanCuentas!$A$2:$A$6092,[1]PlanCuentas!Y$2:Y$6092)</f>
        <v>0</v>
      </c>
      <c r="D843" s="12">
        <f>LOOKUP(411050200,[1]PlanCuentas!$A$2:$A$6092,[1]PlanCuentas!Y$2:Y$6092)</f>
        <v>0</v>
      </c>
      <c r="E843" s="12">
        <f>LOOKUP(411050300,[1]PlanCuentas!$A$2:$A$6092,[1]PlanCuentas!Y$2:Y$6092)</f>
        <v>0</v>
      </c>
      <c r="F843" s="12">
        <f>LOOKUP(411050400,[1]PlanCuentas!$A$2:$A$6092,[1]PlanCuentas!Y$2:Y$6092)</f>
        <v>0</v>
      </c>
      <c r="G843" s="12">
        <f>LOOKUP(411050500,[1]PlanCuentas!$A$2:$A$6092,[1]PlanCuentas!Y$2:Y$6092)</f>
        <v>0</v>
      </c>
      <c r="H843" s="12">
        <f>LOOKUP(411050600,[1]PlanCuentas!$A$2:$A$6092,[1]PlanCuentas!Y$2:Y$6092)</f>
        <v>0</v>
      </c>
      <c r="I843" s="12">
        <f>LOOKUP(411050700,[1]PlanCuentas!$A$2:$A$6092,[1]PlanCuentas!Y$2:Y$6092)</f>
        <v>0</v>
      </c>
      <c r="J843" s="12">
        <f>LOOKUP(411050800,[1]PlanCuentas!$A$2:$A$6092,[1]PlanCuentas!Y$2:Y$6092)</f>
        <v>0</v>
      </c>
      <c r="K843" s="12">
        <f>LOOKUP(411050900,[1]PlanCuentas!$A$2:$A$6092,[1]PlanCuentas!Y$2:Y$6092)</f>
        <v>0</v>
      </c>
      <c r="L843" s="12">
        <f>LOOKUP(411051000,[1]PlanCuentas!$A$2:$A$6092,[1]PlanCuentas!Y$2:Y$6092)</f>
        <v>0</v>
      </c>
      <c r="M843" s="12">
        <f>LOOKUP(411051100,[1]PlanCuentas!$A$2:$A$6092,[1]PlanCuentas!Y$2:Y$6092)</f>
        <v>0</v>
      </c>
      <c r="N843" s="12">
        <f>LOOKUP(411051200,[1]PlanCuentas!$A$2:$A$6092,[1]PlanCuentas!Y$2:Y$6092)</f>
        <v>0</v>
      </c>
      <c r="O843" s="12">
        <f>LOOKUP(411051300,[1]PlanCuentas!$A$2:$A$6092,[1]PlanCuentas!Y$2:Y$6092)</f>
        <v>0</v>
      </c>
      <c r="P843" s="12">
        <f>LOOKUP(411052000,[1]PlanCuentas!$A$2:$A$6092,[1]PlanCuentas!Y$2:Y$6092)</f>
        <v>0</v>
      </c>
      <c r="Q843" s="13">
        <f t="shared" si="42"/>
        <v>0</v>
      </c>
    </row>
    <row r="844" spans="1:17" x14ac:dyDescent="0.2">
      <c r="A844" s="10">
        <v>24</v>
      </c>
      <c r="B844" s="11" t="str">
        <f>[1]Aseguradoras!B25</f>
        <v>Cenit de Seguros S.A.</v>
      </c>
      <c r="C844" s="12">
        <f>LOOKUP(411050100,[1]PlanCuentas!$A$2:$A$6092,[1]PlanCuentas!Z$2:Z$6092)</f>
        <v>0</v>
      </c>
      <c r="D844" s="12">
        <f>LOOKUP(411050200,[1]PlanCuentas!$A$2:$A$6092,[1]PlanCuentas!Z$2:Z$6092)</f>
        <v>0</v>
      </c>
      <c r="E844" s="12">
        <f>LOOKUP(411050300,[1]PlanCuentas!$A$2:$A$6092,[1]PlanCuentas!Z$2:Z$6092)</f>
        <v>0</v>
      </c>
      <c r="F844" s="12">
        <f>LOOKUP(411050400,[1]PlanCuentas!$A$2:$A$6092,[1]PlanCuentas!Z$2:Z$6092)</f>
        <v>0</v>
      </c>
      <c r="G844" s="12">
        <f>LOOKUP(411050500,[1]PlanCuentas!$A$2:$A$6092,[1]PlanCuentas!Z$2:Z$6092)</f>
        <v>0</v>
      </c>
      <c r="H844" s="12">
        <f>LOOKUP(411050600,[1]PlanCuentas!$A$2:$A$6092,[1]PlanCuentas!Z$2:Z$6092)</f>
        <v>0</v>
      </c>
      <c r="I844" s="12">
        <f>LOOKUP(411050700,[1]PlanCuentas!$A$2:$A$6092,[1]PlanCuentas!Z$2:Z$6092)</f>
        <v>0</v>
      </c>
      <c r="J844" s="12">
        <f>LOOKUP(411050800,[1]PlanCuentas!$A$2:$A$6092,[1]PlanCuentas!Z$2:Z$6092)</f>
        <v>0</v>
      </c>
      <c r="K844" s="12">
        <f>LOOKUP(411050900,[1]PlanCuentas!$A$2:$A$6092,[1]PlanCuentas!Z$2:Z$6092)</f>
        <v>0</v>
      </c>
      <c r="L844" s="12">
        <f>LOOKUP(411051000,[1]PlanCuentas!$A$2:$A$6092,[1]PlanCuentas!Z$2:Z$6092)</f>
        <v>0</v>
      </c>
      <c r="M844" s="12">
        <f>LOOKUP(411051100,[1]PlanCuentas!$A$2:$A$6092,[1]PlanCuentas!Z$2:Z$6092)</f>
        <v>0</v>
      </c>
      <c r="N844" s="12">
        <f>LOOKUP(411051200,[1]PlanCuentas!$A$2:$A$6092,[1]PlanCuentas!Z$2:Z$6092)</f>
        <v>0</v>
      </c>
      <c r="O844" s="12">
        <f>LOOKUP(411051300,[1]PlanCuentas!$A$2:$A$6092,[1]PlanCuentas!Z$2:Z$6092)</f>
        <v>0</v>
      </c>
      <c r="P844" s="12">
        <f>LOOKUP(411052000,[1]PlanCuentas!$A$2:$A$6092,[1]PlanCuentas!Z$2:Z$6092)</f>
        <v>0</v>
      </c>
      <c r="Q844" s="13">
        <f t="shared" si="42"/>
        <v>0</v>
      </c>
    </row>
    <row r="845" spans="1:17" x14ac:dyDescent="0.2">
      <c r="A845" s="10">
        <v>25</v>
      </c>
      <c r="B845" s="11" t="str">
        <f>[1]Aseguradoras!B26</f>
        <v>La Meridional Paraguaya S.A de Seguros</v>
      </c>
      <c r="C845" s="12">
        <f>LOOKUP(411050100,[1]PlanCuentas!$A$2:$A$6092,[1]PlanCuentas!AA$2:AA$6092)</f>
        <v>0</v>
      </c>
      <c r="D845" s="12">
        <f>LOOKUP(411050200,[1]PlanCuentas!$A$2:$A$6092,[1]PlanCuentas!AA$2:AA$6092)</f>
        <v>0</v>
      </c>
      <c r="E845" s="12">
        <f>LOOKUP(411050300,[1]PlanCuentas!$A$2:$A$6092,[1]PlanCuentas!AA$2:AA$6092)</f>
        <v>0</v>
      </c>
      <c r="F845" s="12">
        <f>LOOKUP(411050400,[1]PlanCuentas!$A$2:$A$6092,[1]PlanCuentas!AA$2:AA$6092)</f>
        <v>0</v>
      </c>
      <c r="G845" s="12">
        <f>LOOKUP(411050500,[1]PlanCuentas!$A$2:$A$6092,[1]PlanCuentas!AA$2:AA$6092)</f>
        <v>0</v>
      </c>
      <c r="H845" s="12">
        <f>LOOKUP(411050600,[1]PlanCuentas!$A$2:$A$6092,[1]PlanCuentas!AA$2:AA$6092)</f>
        <v>0</v>
      </c>
      <c r="I845" s="12">
        <f>LOOKUP(411050700,[1]PlanCuentas!$A$2:$A$6092,[1]PlanCuentas!AA$2:AA$6092)</f>
        <v>0</v>
      </c>
      <c r="J845" s="12">
        <f>LOOKUP(411050800,[1]PlanCuentas!$A$2:$A$6092,[1]PlanCuentas!AA$2:AA$6092)</f>
        <v>0</v>
      </c>
      <c r="K845" s="12">
        <f>LOOKUP(411050900,[1]PlanCuentas!$A$2:$A$6092,[1]PlanCuentas!AA$2:AA$6092)</f>
        <v>0</v>
      </c>
      <c r="L845" s="12">
        <f>LOOKUP(411051000,[1]PlanCuentas!$A$2:$A$6092,[1]PlanCuentas!AA$2:AA$6092)</f>
        <v>0</v>
      </c>
      <c r="M845" s="12">
        <f>LOOKUP(411051100,[1]PlanCuentas!$A$2:$A$6092,[1]PlanCuentas!AA$2:AA$6092)</f>
        <v>0</v>
      </c>
      <c r="N845" s="12">
        <f>LOOKUP(411051200,[1]PlanCuentas!$A$2:$A$6092,[1]PlanCuentas!AA$2:AA$6092)</f>
        <v>0</v>
      </c>
      <c r="O845" s="12">
        <f>LOOKUP(411051300,[1]PlanCuentas!$A$2:$A$6092,[1]PlanCuentas!AA$2:AA$6092)</f>
        <v>0</v>
      </c>
      <c r="P845" s="12">
        <f>LOOKUP(411052000,[1]PlanCuentas!$A$2:$A$6092,[1]PlanCuentas!AA$2:AA$6092)</f>
        <v>0</v>
      </c>
      <c r="Q845" s="13">
        <f t="shared" si="42"/>
        <v>0</v>
      </c>
    </row>
    <row r="846" spans="1:17" x14ac:dyDescent="0.2">
      <c r="A846" s="10">
        <v>26</v>
      </c>
      <c r="B846" s="11" t="str">
        <f>[1]Aseguradoras!B27</f>
        <v>Aseguradora Del Este S.A de Seguros y Reaseguros</v>
      </c>
      <c r="C846" s="12">
        <f>LOOKUP(411050100,[1]PlanCuentas!$A$2:$A$6092,[1]PlanCuentas!AB$2:AB$6092)</f>
        <v>0</v>
      </c>
      <c r="D846" s="12">
        <f>LOOKUP(411050200,[1]PlanCuentas!$A$2:$A$6092,[1]PlanCuentas!AB$2:AB$6092)</f>
        <v>0</v>
      </c>
      <c r="E846" s="12">
        <f>LOOKUP(411050300,[1]PlanCuentas!$A$2:$A$6092,[1]PlanCuentas!AB$2:AB$6092)</f>
        <v>0</v>
      </c>
      <c r="F846" s="12">
        <f>LOOKUP(411050400,[1]PlanCuentas!$A$2:$A$6092,[1]PlanCuentas!AB$2:AB$6092)</f>
        <v>0</v>
      </c>
      <c r="G846" s="12">
        <f>LOOKUP(411050500,[1]PlanCuentas!$A$2:$A$6092,[1]PlanCuentas!AB$2:AB$6092)</f>
        <v>0</v>
      </c>
      <c r="H846" s="12">
        <f>LOOKUP(411050600,[1]PlanCuentas!$A$2:$A$6092,[1]PlanCuentas!AB$2:AB$6092)</f>
        <v>0</v>
      </c>
      <c r="I846" s="12">
        <f>LOOKUP(411050700,[1]PlanCuentas!$A$2:$A$6092,[1]PlanCuentas!AB$2:AB$6092)</f>
        <v>0</v>
      </c>
      <c r="J846" s="12">
        <f>LOOKUP(411050800,[1]PlanCuentas!$A$2:$A$6092,[1]PlanCuentas!AB$2:AB$6092)</f>
        <v>0</v>
      </c>
      <c r="K846" s="12">
        <f>LOOKUP(411050900,[1]PlanCuentas!$A$2:$A$6092,[1]PlanCuentas!AB$2:AB$6092)</f>
        <v>0</v>
      </c>
      <c r="L846" s="12">
        <f>LOOKUP(411051000,[1]PlanCuentas!$A$2:$A$6092,[1]PlanCuentas!AB$2:AB$6092)</f>
        <v>0</v>
      </c>
      <c r="M846" s="12">
        <f>LOOKUP(411051100,[1]PlanCuentas!$A$2:$A$6092,[1]PlanCuentas!AB$2:AB$6092)</f>
        <v>0</v>
      </c>
      <c r="N846" s="12">
        <f>LOOKUP(411051200,[1]PlanCuentas!$A$2:$A$6092,[1]PlanCuentas!AB$2:AB$6092)</f>
        <v>0</v>
      </c>
      <c r="O846" s="12">
        <f>LOOKUP(411051300,[1]PlanCuentas!$A$2:$A$6092,[1]PlanCuentas!AB$2:AB$6092)</f>
        <v>0</v>
      </c>
      <c r="P846" s="12">
        <f>LOOKUP(411052000,[1]PlanCuentas!$A$2:$A$6092,[1]PlanCuentas!AB$2:AB$6092)</f>
        <v>0</v>
      </c>
      <c r="Q846" s="13">
        <f t="shared" si="42"/>
        <v>0</v>
      </c>
    </row>
    <row r="847" spans="1:17" x14ac:dyDescent="0.2">
      <c r="A847" s="10">
        <v>27</v>
      </c>
      <c r="B847" s="11" t="str">
        <f>[1]Aseguradoras!B28</f>
        <v>Imperio S.A de Seguros y Reaseguros</v>
      </c>
      <c r="C847" s="12">
        <f>LOOKUP(411050100,[1]PlanCuentas!$A$2:$A$6092,[1]PlanCuentas!AC$2:AC$6092)</f>
        <v>0</v>
      </c>
      <c r="D847" s="12">
        <f>LOOKUP(411050200,[1]PlanCuentas!$A$2:$A$6092,[1]PlanCuentas!AC$2:AC$6092)</f>
        <v>0</v>
      </c>
      <c r="E847" s="12">
        <f>LOOKUP(411050300,[1]PlanCuentas!$A$2:$A$6092,[1]PlanCuentas!AC$2:AC$6092)</f>
        <v>0</v>
      </c>
      <c r="F847" s="12">
        <f>LOOKUP(411050400,[1]PlanCuentas!$A$2:$A$6092,[1]PlanCuentas!AC$2:AC$6092)</f>
        <v>0</v>
      </c>
      <c r="G847" s="12">
        <f>LOOKUP(411050500,[1]PlanCuentas!$A$2:$A$6092,[1]PlanCuentas!AC$2:AC$6092)</f>
        <v>0</v>
      </c>
      <c r="H847" s="12">
        <f>LOOKUP(411050600,[1]PlanCuentas!$A$2:$A$6092,[1]PlanCuentas!AC$2:AC$6092)</f>
        <v>0</v>
      </c>
      <c r="I847" s="12">
        <f>LOOKUP(411050700,[1]PlanCuentas!$A$2:$A$6092,[1]PlanCuentas!AC$2:AC$6092)</f>
        <v>0</v>
      </c>
      <c r="J847" s="12">
        <f>LOOKUP(411050800,[1]PlanCuentas!$A$2:$A$6092,[1]PlanCuentas!AC$2:AC$6092)</f>
        <v>0</v>
      </c>
      <c r="K847" s="12">
        <f>LOOKUP(411050900,[1]PlanCuentas!$A$2:$A$6092,[1]PlanCuentas!AC$2:AC$6092)</f>
        <v>0</v>
      </c>
      <c r="L847" s="12">
        <f>LOOKUP(411051000,[1]PlanCuentas!$A$2:$A$6092,[1]PlanCuentas!AC$2:AC$6092)</f>
        <v>0</v>
      </c>
      <c r="M847" s="12">
        <f>LOOKUP(411051100,[1]PlanCuentas!$A$2:$A$6092,[1]PlanCuentas!AC$2:AC$6092)</f>
        <v>0</v>
      </c>
      <c r="N847" s="12">
        <f>LOOKUP(411051200,[1]PlanCuentas!$A$2:$A$6092,[1]PlanCuentas!AC$2:AC$6092)</f>
        <v>0</v>
      </c>
      <c r="O847" s="12">
        <f>LOOKUP(411051300,[1]PlanCuentas!$A$2:$A$6092,[1]PlanCuentas!AC$2:AC$6092)</f>
        <v>0</v>
      </c>
      <c r="P847" s="12">
        <f>LOOKUP(411052000,[1]PlanCuentas!$A$2:$A$6092,[1]PlanCuentas!AC$2:AC$6092)</f>
        <v>0</v>
      </c>
      <c r="Q847" s="13">
        <f t="shared" si="42"/>
        <v>0</v>
      </c>
    </row>
    <row r="848" spans="1:17" x14ac:dyDescent="0.2">
      <c r="A848" s="10">
        <v>28</v>
      </c>
      <c r="B848" s="11" t="str">
        <f>[1]Aseguradoras!B29</f>
        <v>Regional S.A de Seguros y Reaseguros</v>
      </c>
      <c r="C848" s="12">
        <f>LOOKUP(411050100,[1]PlanCuentas!$A$2:$A$6092,[1]PlanCuentas!AD$2:AD$6092)</f>
        <v>0</v>
      </c>
      <c r="D848" s="12">
        <f>LOOKUP(411050200,[1]PlanCuentas!$A$2:$A$6092,[1]PlanCuentas!AD$2:AD$6092)</f>
        <v>0</v>
      </c>
      <c r="E848" s="12">
        <f>LOOKUP(411050300,[1]PlanCuentas!$A$2:$A$6092,[1]PlanCuentas!AD$2:AD$6092)</f>
        <v>0</v>
      </c>
      <c r="F848" s="12">
        <f>LOOKUP(411050400,[1]PlanCuentas!$A$2:$A$6092,[1]PlanCuentas!AD$2:AD$6092)</f>
        <v>0</v>
      </c>
      <c r="G848" s="12">
        <f>LOOKUP(411050500,[1]PlanCuentas!$A$2:$A$6092,[1]PlanCuentas!AD$2:AD$6092)</f>
        <v>0</v>
      </c>
      <c r="H848" s="12">
        <f>LOOKUP(411050600,[1]PlanCuentas!$A$2:$A$6092,[1]PlanCuentas!AD$2:AD$6092)</f>
        <v>0</v>
      </c>
      <c r="I848" s="12">
        <f>LOOKUP(411050700,[1]PlanCuentas!$A$2:$A$6092,[1]PlanCuentas!AD$2:AD$6092)</f>
        <v>0</v>
      </c>
      <c r="J848" s="12">
        <f>LOOKUP(411050800,[1]PlanCuentas!$A$2:$A$6092,[1]PlanCuentas!AD$2:AD$6092)</f>
        <v>0</v>
      </c>
      <c r="K848" s="12">
        <f>LOOKUP(411050900,[1]PlanCuentas!$A$2:$A$6092,[1]PlanCuentas!AD$2:AD$6092)</f>
        <v>0</v>
      </c>
      <c r="L848" s="12">
        <f>LOOKUP(411051000,[1]PlanCuentas!$A$2:$A$6092,[1]PlanCuentas!AD$2:AD$6092)</f>
        <v>0</v>
      </c>
      <c r="M848" s="12">
        <f>LOOKUP(411051100,[1]PlanCuentas!$A$2:$A$6092,[1]PlanCuentas!AD$2:AD$6092)</f>
        <v>0</v>
      </c>
      <c r="N848" s="12">
        <f>LOOKUP(411051200,[1]PlanCuentas!$A$2:$A$6092,[1]PlanCuentas!AD$2:AD$6092)</f>
        <v>0</v>
      </c>
      <c r="O848" s="12">
        <f>LOOKUP(411051300,[1]PlanCuentas!$A$2:$A$6092,[1]PlanCuentas!AD$2:AD$6092)</f>
        <v>0</v>
      </c>
      <c r="P848" s="12">
        <f>LOOKUP(411052000,[1]PlanCuentas!$A$2:$A$6092,[1]PlanCuentas!AD$2:AD$6092)</f>
        <v>0</v>
      </c>
      <c r="Q848" s="13">
        <f t="shared" si="42"/>
        <v>0</v>
      </c>
    </row>
    <row r="849" spans="1:17" s="37" customFormat="1" x14ac:dyDescent="0.2">
      <c r="A849" s="10">
        <v>29</v>
      </c>
      <c r="B849" s="11" t="str">
        <f>[1]Aseguradoras!B30</f>
        <v>Mapfre Paraguay Compañía de Seguros S.A.</v>
      </c>
      <c r="C849" s="12">
        <f>LOOKUP(411050100,[1]PlanCuentas!$A$2:$A$6092,[1]PlanCuentas!AE$2:AE$6092)</f>
        <v>0</v>
      </c>
      <c r="D849" s="12">
        <f>LOOKUP(411050200,[1]PlanCuentas!$A$2:$A$6092,[1]PlanCuentas!AE$2:AE$6092)</f>
        <v>0</v>
      </c>
      <c r="E849" s="12">
        <f>LOOKUP(411050300,[1]PlanCuentas!$A$2:$A$6092,[1]PlanCuentas!AE$2:AE$6092)</f>
        <v>0</v>
      </c>
      <c r="F849" s="12">
        <f>LOOKUP(411050400,[1]PlanCuentas!$A$2:$A$6092,[1]PlanCuentas!AE$2:AE$6092)</f>
        <v>0</v>
      </c>
      <c r="G849" s="12">
        <f>LOOKUP(411050500,[1]PlanCuentas!$A$2:$A$6092,[1]PlanCuentas!AE$2:AE$6092)</f>
        <v>0</v>
      </c>
      <c r="H849" s="12">
        <f>LOOKUP(411050600,[1]PlanCuentas!$A$2:$A$6092,[1]PlanCuentas!AE$2:AE$6092)</f>
        <v>0</v>
      </c>
      <c r="I849" s="12">
        <f>LOOKUP(411050700,[1]PlanCuentas!$A$2:$A$6092,[1]PlanCuentas!AE$2:AE$6092)</f>
        <v>0</v>
      </c>
      <c r="J849" s="12">
        <f>LOOKUP(411050800,[1]PlanCuentas!$A$2:$A$6092,[1]PlanCuentas!AE$2:AE$6092)</f>
        <v>0</v>
      </c>
      <c r="K849" s="12">
        <f>LOOKUP(411050900,[1]PlanCuentas!$A$2:$A$6092,[1]PlanCuentas!AE$2:AE$6092)</f>
        <v>0</v>
      </c>
      <c r="L849" s="12">
        <f>LOOKUP(411051000,[1]PlanCuentas!$A$2:$A$6092,[1]PlanCuentas!AE$2:AE$6092)</f>
        <v>0</v>
      </c>
      <c r="M849" s="12">
        <f>LOOKUP(411051100,[1]PlanCuentas!$A$2:$A$6092,[1]PlanCuentas!AE$2:AE$6092)</f>
        <v>0</v>
      </c>
      <c r="N849" s="12">
        <f>LOOKUP(411051200,[1]PlanCuentas!$A$2:$A$6092,[1]PlanCuentas!AE$2:AE$6092)</f>
        <v>0</v>
      </c>
      <c r="O849" s="12">
        <f>LOOKUP(411051300,[1]PlanCuentas!$A$2:$A$6092,[1]PlanCuentas!AE$2:AE$6092)</f>
        <v>0</v>
      </c>
      <c r="P849" s="12">
        <f>LOOKUP(411052000,[1]PlanCuentas!$A$2:$A$6092,[1]PlanCuentas!AE$2:AE$6092)</f>
        <v>0</v>
      </c>
      <c r="Q849" s="13">
        <f t="shared" si="42"/>
        <v>0</v>
      </c>
    </row>
    <row r="850" spans="1:17" x14ac:dyDescent="0.2">
      <c r="A850" s="10">
        <v>30</v>
      </c>
      <c r="B850" s="11" t="str">
        <f>[1]Aseguradoras!B31</f>
        <v>Aseguradora Tajy Propiedad Cooperativa S.A. de Seguros</v>
      </c>
      <c r="C850" s="12">
        <f>LOOKUP(411050100,[1]PlanCuentas!$A$2:$A$6092,[1]PlanCuentas!AF$2:AF$6092)</f>
        <v>0</v>
      </c>
      <c r="D850" s="12">
        <f>LOOKUP(411050200,[1]PlanCuentas!$A$2:$A$6092,[1]PlanCuentas!AF$2:AF$6092)</f>
        <v>0</v>
      </c>
      <c r="E850" s="12">
        <f>LOOKUP(411050300,[1]PlanCuentas!$A$2:$A$6092,[1]PlanCuentas!AF$2:AF$6092)</f>
        <v>0</v>
      </c>
      <c r="F850" s="12">
        <f>LOOKUP(411050400,[1]PlanCuentas!$A$2:$A$6092,[1]PlanCuentas!AF$2:AF$6092)</f>
        <v>0</v>
      </c>
      <c r="G850" s="12">
        <f>LOOKUP(411050500,[1]PlanCuentas!$A$2:$A$6092,[1]PlanCuentas!AF$2:AF$6092)</f>
        <v>0</v>
      </c>
      <c r="H850" s="12">
        <f>LOOKUP(411050600,[1]PlanCuentas!$A$2:$A$6092,[1]PlanCuentas!AF$2:AF$6092)</f>
        <v>0</v>
      </c>
      <c r="I850" s="12">
        <f>LOOKUP(411050700,[1]PlanCuentas!$A$2:$A$6092,[1]PlanCuentas!AF$2:AF$6092)</f>
        <v>0</v>
      </c>
      <c r="J850" s="12">
        <f>LOOKUP(411050800,[1]PlanCuentas!$A$2:$A$6092,[1]PlanCuentas!AF$2:AF$6092)</f>
        <v>0</v>
      </c>
      <c r="K850" s="12">
        <f>LOOKUP(411050900,[1]PlanCuentas!$A$2:$A$6092,[1]PlanCuentas!AF$2:AF$6092)</f>
        <v>0</v>
      </c>
      <c r="L850" s="12">
        <f>LOOKUP(411051000,[1]PlanCuentas!$A$2:$A$6092,[1]PlanCuentas!AF$2:AF$6092)</f>
        <v>0</v>
      </c>
      <c r="M850" s="12">
        <f>LOOKUP(411051100,[1]PlanCuentas!$A$2:$A$6092,[1]PlanCuentas!AF$2:AF$6092)</f>
        <v>0</v>
      </c>
      <c r="N850" s="12">
        <f>LOOKUP(411051200,[1]PlanCuentas!$A$2:$A$6092,[1]PlanCuentas!AF$2:AF$6092)</f>
        <v>0</v>
      </c>
      <c r="O850" s="12">
        <f>LOOKUP(411051300,[1]PlanCuentas!$A$2:$A$6092,[1]PlanCuentas!AF$2:AF$6092)</f>
        <v>0</v>
      </c>
      <c r="P850" s="12">
        <f>LOOKUP(411052000,[1]PlanCuentas!$A$2:$A$6092,[1]PlanCuentas!AF$2:AF$6092)</f>
        <v>0</v>
      </c>
      <c r="Q850" s="13">
        <f t="shared" si="42"/>
        <v>0</v>
      </c>
    </row>
    <row r="851" spans="1:17" x14ac:dyDescent="0.2">
      <c r="A851" s="10">
        <v>31</v>
      </c>
      <c r="B851" s="11" t="str">
        <f>[1]Aseguradoras!B32</f>
        <v>Aseguradora del Sur S.A. Seguros Generales - ASUR</v>
      </c>
      <c r="C851" s="12">
        <f>LOOKUP(411050100,[1]PlanCuentas!$A$2:$A$6092,[1]PlanCuentas!AG$2:AG$6092)</f>
        <v>0</v>
      </c>
      <c r="D851" s="12">
        <f>LOOKUP(411050200,[1]PlanCuentas!$A$2:$A$6092,[1]PlanCuentas!AG$2:AG$6092)</f>
        <v>0</v>
      </c>
      <c r="E851" s="12">
        <f>LOOKUP(411050300,[1]PlanCuentas!$A$2:$A$6092,[1]PlanCuentas!AG$2:AG$6092)</f>
        <v>0</v>
      </c>
      <c r="F851" s="12">
        <f>LOOKUP(411050400,[1]PlanCuentas!$A$2:$A$6092,[1]PlanCuentas!AG$2:AG$6092)</f>
        <v>0</v>
      </c>
      <c r="G851" s="12">
        <f>LOOKUP(411050500,[1]PlanCuentas!$A$2:$A$6092,[1]PlanCuentas!AG$2:AG$6092)</f>
        <v>0</v>
      </c>
      <c r="H851" s="12">
        <f>LOOKUP(411050600,[1]PlanCuentas!$A$2:$A$6092,[1]PlanCuentas!AG$2:AG$6092)</f>
        <v>0</v>
      </c>
      <c r="I851" s="12">
        <f>LOOKUP(411050700,[1]PlanCuentas!$A$2:$A$6092,[1]PlanCuentas!AG$2:AG$6092)</f>
        <v>0</v>
      </c>
      <c r="J851" s="12">
        <f>LOOKUP(411050800,[1]PlanCuentas!$A$2:$A$6092,[1]PlanCuentas!AG$2:AG$6092)</f>
        <v>0</v>
      </c>
      <c r="K851" s="12">
        <f>LOOKUP(411050900,[1]PlanCuentas!$A$2:$A$6092,[1]PlanCuentas!AG$2:AG$6092)</f>
        <v>0</v>
      </c>
      <c r="L851" s="12">
        <f>LOOKUP(411051000,[1]PlanCuentas!$A$2:$A$6092,[1]PlanCuentas!AG$2:AG$6092)</f>
        <v>0</v>
      </c>
      <c r="M851" s="12">
        <f>LOOKUP(411051100,[1]PlanCuentas!$A$2:$A$6092,[1]PlanCuentas!AG$2:AG$6092)</f>
        <v>0</v>
      </c>
      <c r="N851" s="12">
        <f>LOOKUP(411051200,[1]PlanCuentas!$A$2:$A$6092,[1]PlanCuentas!AG$2:AG$6092)</f>
        <v>0</v>
      </c>
      <c r="O851" s="12">
        <f>LOOKUP(411051300,[1]PlanCuentas!$A$2:$A$6092,[1]PlanCuentas!AG$2:AG$6092)</f>
        <v>0</v>
      </c>
      <c r="P851" s="12">
        <f>LOOKUP(411052000,[1]PlanCuentas!$A$2:$A$6092,[1]PlanCuentas!AG$2:AG$6092)</f>
        <v>0</v>
      </c>
      <c r="Q851" s="13">
        <f t="shared" si="42"/>
        <v>0</v>
      </c>
    </row>
    <row r="852" spans="1:17" x14ac:dyDescent="0.2">
      <c r="A852" s="10">
        <v>32</v>
      </c>
      <c r="B852" s="11" t="str">
        <f>[1]Aseguradoras!B33</f>
        <v>Panal Compañía De Seguros Generales S.A.</v>
      </c>
      <c r="C852" s="12">
        <f>LOOKUP(411050100,[1]PlanCuentas!$A$2:$A$6092,[1]PlanCuentas!AH$2:AH$6092)</f>
        <v>0</v>
      </c>
      <c r="D852" s="12">
        <f>LOOKUP(411050200,[1]PlanCuentas!$A$2:$A$6092,[1]PlanCuentas!AH$2:AH$6092)</f>
        <v>0</v>
      </c>
      <c r="E852" s="12">
        <f>LOOKUP(411050300,[1]PlanCuentas!$A$2:$A$6092,[1]PlanCuentas!AH$2:AH$6092)</f>
        <v>0</v>
      </c>
      <c r="F852" s="12">
        <f>LOOKUP(411050400,[1]PlanCuentas!$A$2:$A$6092,[1]PlanCuentas!AH$2:AH$6092)</f>
        <v>0</v>
      </c>
      <c r="G852" s="12">
        <f>LOOKUP(411050500,[1]PlanCuentas!$A$2:$A$6092,[1]PlanCuentas!AH$2:AH$6092)</f>
        <v>0</v>
      </c>
      <c r="H852" s="12">
        <f>LOOKUP(411050600,[1]PlanCuentas!$A$2:$A$6092,[1]PlanCuentas!AH$2:AH$6092)</f>
        <v>0</v>
      </c>
      <c r="I852" s="12">
        <f>LOOKUP(411050700,[1]PlanCuentas!$A$2:$A$6092,[1]PlanCuentas!AH$2:AH$6092)</f>
        <v>0</v>
      </c>
      <c r="J852" s="12">
        <f>LOOKUP(411050800,[1]PlanCuentas!$A$2:$A$6092,[1]PlanCuentas!AH$2:AH$6092)</f>
        <v>0</v>
      </c>
      <c r="K852" s="12">
        <f>LOOKUP(411050900,[1]PlanCuentas!$A$2:$A$6092,[1]PlanCuentas!AH$2:AH$6092)</f>
        <v>0</v>
      </c>
      <c r="L852" s="12">
        <f>LOOKUP(411051000,[1]PlanCuentas!$A$2:$A$6092,[1]PlanCuentas!AH$2:AH$6092)</f>
        <v>0</v>
      </c>
      <c r="M852" s="12">
        <f>LOOKUP(411051100,[1]PlanCuentas!$A$2:$A$6092,[1]PlanCuentas!AH$2:AH$6092)</f>
        <v>0</v>
      </c>
      <c r="N852" s="12">
        <f>LOOKUP(411051200,[1]PlanCuentas!$A$2:$A$6092,[1]PlanCuentas!AH$2:AH$6092)</f>
        <v>0</v>
      </c>
      <c r="O852" s="12">
        <f>LOOKUP(411051300,[1]PlanCuentas!$A$2:$A$6092,[1]PlanCuentas!AH$2:AH$6092)</f>
        <v>0</v>
      </c>
      <c r="P852" s="12">
        <f>LOOKUP(411052000,[1]PlanCuentas!$A$2:$A$6092,[1]PlanCuentas!AH$2:AH$6092)</f>
        <v>0</v>
      </c>
      <c r="Q852" s="13">
        <f t="shared" si="42"/>
        <v>0</v>
      </c>
    </row>
    <row r="853" spans="1:17" x14ac:dyDescent="0.2">
      <c r="A853" s="14">
        <v>33</v>
      </c>
      <c r="B853" s="19" t="str">
        <f>[1]Aseguradoras!B34</f>
        <v>Sancor Seguros del Paraguay S.A.</v>
      </c>
      <c r="C853" s="12">
        <f>LOOKUP(411050100,[1]PlanCuentas!$A$2:$A$6092,[1]PlanCuentas!AI$2:AI$6092)</f>
        <v>0</v>
      </c>
      <c r="D853" s="12">
        <f>LOOKUP(411050200,[1]PlanCuentas!$A$2:$A$6092,[1]PlanCuentas!AI$2:AI$6092)</f>
        <v>0</v>
      </c>
      <c r="E853" s="12">
        <f>LOOKUP(411050300,[1]PlanCuentas!$A$2:$A$6092,[1]PlanCuentas!AI$2:AI$6092)</f>
        <v>0</v>
      </c>
      <c r="F853" s="12">
        <f>LOOKUP(411050400,[1]PlanCuentas!$A$2:$A$6092,[1]PlanCuentas!AI$2:AI$6092)</f>
        <v>0</v>
      </c>
      <c r="G853" s="12">
        <f>LOOKUP(411050500,[1]PlanCuentas!$A$2:$A$6092,[1]PlanCuentas!AI$2:AI$6092)</f>
        <v>0</v>
      </c>
      <c r="H853" s="12">
        <f>LOOKUP(411050600,[1]PlanCuentas!$A$2:$A$6092,[1]PlanCuentas!AI$2:AI$6092)</f>
        <v>0</v>
      </c>
      <c r="I853" s="12">
        <f>LOOKUP(411050700,[1]PlanCuentas!$A$2:$A$6092,[1]PlanCuentas!AI$2:AI$6092)</f>
        <v>0</v>
      </c>
      <c r="J853" s="12">
        <f>LOOKUP(411050800,[1]PlanCuentas!$A$2:$A$6092,[1]PlanCuentas!AI$2:AI$6092)</f>
        <v>0</v>
      </c>
      <c r="K853" s="12">
        <f>LOOKUP(411050900,[1]PlanCuentas!$A$2:$A$6092,[1]PlanCuentas!AI$2:AI$6092)</f>
        <v>0</v>
      </c>
      <c r="L853" s="12">
        <f>LOOKUP(411051000,[1]PlanCuentas!$A$2:$A$6092,[1]PlanCuentas!AI$2:AI$6092)</f>
        <v>0</v>
      </c>
      <c r="M853" s="12">
        <f>LOOKUP(411051100,[1]PlanCuentas!$A$2:$A$6092,[1]PlanCuentas!AI$2:AI$6092)</f>
        <v>0</v>
      </c>
      <c r="N853" s="12">
        <f>LOOKUP(411051200,[1]PlanCuentas!$A$2:$A$6092,[1]PlanCuentas!AI$2:AI$6092)</f>
        <v>0</v>
      </c>
      <c r="O853" s="12">
        <f>LOOKUP(411051300,[1]PlanCuentas!$A$2:$A$6092,[1]PlanCuentas!AI$2:AI$6092)</f>
        <v>0</v>
      </c>
      <c r="P853" s="12">
        <f>LOOKUP(411052000,[1]PlanCuentas!$A$2:$A$6092,[1]PlanCuentas!AI$2:AI$6092)</f>
        <v>0</v>
      </c>
      <c r="Q853" s="13">
        <f>SUM(C853:P853)</f>
        <v>0</v>
      </c>
    </row>
    <row r="854" spans="1:17" x14ac:dyDescent="0.2">
      <c r="A854" s="14"/>
      <c r="B854" s="15" t="s">
        <v>18</v>
      </c>
      <c r="C854" s="17">
        <f t="shared" ref="C854:Q854" si="43">SUBTOTAL(109,C821:C853)</f>
        <v>51762330</v>
      </c>
      <c r="D854" s="17">
        <f t="shared" si="43"/>
        <v>51762330</v>
      </c>
      <c r="E854" s="17">
        <f t="shared" si="43"/>
        <v>0</v>
      </c>
      <c r="F854" s="17">
        <f t="shared" si="43"/>
        <v>18406145</v>
      </c>
      <c r="G854" s="17">
        <f t="shared" si="43"/>
        <v>0</v>
      </c>
      <c r="H854" s="17">
        <f t="shared" si="43"/>
        <v>0</v>
      </c>
      <c r="I854" s="17">
        <f t="shared" si="43"/>
        <v>0</v>
      </c>
      <c r="J854" s="17">
        <f t="shared" si="43"/>
        <v>0</v>
      </c>
      <c r="K854" s="17">
        <f t="shared" si="43"/>
        <v>51762332</v>
      </c>
      <c r="L854" s="17">
        <f t="shared" si="43"/>
        <v>75409186</v>
      </c>
      <c r="M854" s="17">
        <f t="shared" si="43"/>
        <v>0</v>
      </c>
      <c r="N854" s="17">
        <f t="shared" si="43"/>
        <v>0</v>
      </c>
      <c r="O854" s="17">
        <f t="shared" si="43"/>
        <v>0</v>
      </c>
      <c r="P854" s="17">
        <f t="shared" si="43"/>
        <v>0</v>
      </c>
      <c r="Q854" s="17">
        <f t="shared" si="43"/>
        <v>249102323</v>
      </c>
    </row>
    <row r="856" spans="1:17" ht="28.35" customHeight="1" x14ac:dyDescent="0.2">
      <c r="A856" s="1" t="s">
        <v>52</v>
      </c>
      <c r="B856" s="49" t="s">
        <v>53</v>
      </c>
      <c r="C856" s="50"/>
      <c r="D856" s="2"/>
      <c r="E856" s="30"/>
      <c r="F856" s="4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</row>
    <row r="857" spans="1:17" ht="24" x14ac:dyDescent="0.2">
      <c r="A857" s="7" t="s">
        <v>2</v>
      </c>
      <c r="B857" s="8" t="s">
        <v>3</v>
      </c>
      <c r="C857" s="9" t="s">
        <v>4</v>
      </c>
      <c r="D857" s="9" t="s">
        <v>5</v>
      </c>
      <c r="E857" s="9" t="s">
        <v>6</v>
      </c>
      <c r="F857" s="36" t="s">
        <v>7</v>
      </c>
      <c r="G857" s="9" t="s">
        <v>8</v>
      </c>
      <c r="H857" s="9" t="s">
        <v>9</v>
      </c>
      <c r="I857" s="9" t="s">
        <v>10</v>
      </c>
      <c r="J857" s="9" t="s">
        <v>11</v>
      </c>
      <c r="K857" s="9" t="s">
        <v>12</v>
      </c>
      <c r="L857" s="9" t="s">
        <v>13</v>
      </c>
      <c r="M857" s="9" t="s">
        <v>14</v>
      </c>
      <c r="N857" s="9" t="s">
        <v>15</v>
      </c>
      <c r="O857" s="9" t="s">
        <v>16</v>
      </c>
      <c r="P857" s="8" t="s">
        <v>17</v>
      </c>
      <c r="Q857" s="8" t="s">
        <v>18</v>
      </c>
    </row>
    <row r="858" spans="1:17" x14ac:dyDescent="0.2">
      <c r="A858" s="10">
        <v>1</v>
      </c>
      <c r="B858" s="11" t="str">
        <f>[1]Aseguradoras!B2</f>
        <v>El Comercio Paraguayo S.A. de Seguros</v>
      </c>
      <c r="C858" s="12">
        <f>LOOKUP(412010100,[1]PlanCuentas!$A$2:$A$6092,[1]PlanCuentas!C$2:C$6092)</f>
        <v>0</v>
      </c>
      <c r="D858" s="12">
        <f>LOOKUP(412010200,[1]PlanCuentas!$A$2:$A$6092,[1]PlanCuentas!C$2:C$6092)</f>
        <v>0</v>
      </c>
      <c r="E858" s="12">
        <f>LOOKUP(412010300,[1]PlanCuentas!$A$2:$A$6092,[1]PlanCuentas!C$2:C$6092)</f>
        <v>0</v>
      </c>
      <c r="F858" s="12">
        <f>LOOKUP(412010400,[1]PlanCuentas!$A$2:$A$6092,[1]PlanCuentas!C$2:C$6092)</f>
        <v>0</v>
      </c>
      <c r="G858" s="12">
        <f>LOOKUP(412010500,[1]PlanCuentas!$A$2:$A$6092,[1]PlanCuentas!C$2:C$6092)</f>
        <v>0</v>
      </c>
      <c r="H858" s="12">
        <f>LOOKUP(412010600,[1]PlanCuentas!$A$2:$A$6092,[1]PlanCuentas!C$2:C$6092)</f>
        <v>0</v>
      </c>
      <c r="I858" s="12">
        <f>LOOKUP(412010700,[1]PlanCuentas!$A$2:$A$6092,[1]PlanCuentas!C$2:C$6092)</f>
        <v>0</v>
      </c>
      <c r="J858" s="12">
        <f>LOOKUP(412010800,[1]PlanCuentas!$A$2:$A$6092,[1]PlanCuentas!C$2:C$6092)</f>
        <v>0</v>
      </c>
      <c r="K858" s="12">
        <f>LOOKUP(412010900,[1]PlanCuentas!$A$2:$A$6092,[1]PlanCuentas!C$2:C$6092)</f>
        <v>0</v>
      </c>
      <c r="L858" s="12">
        <f>LOOKUP(412011000,[1]PlanCuentas!$A$2:$A$6092,[1]PlanCuentas!C$2:C$6092)</f>
        <v>0</v>
      </c>
      <c r="M858" s="12">
        <f>LOOKUP(412011100,[1]PlanCuentas!$A$2:$A$6092,[1]PlanCuentas!C$2:C$6092)</f>
        <v>0</v>
      </c>
      <c r="N858" s="12">
        <f>LOOKUP(412011200,[1]PlanCuentas!$A$2:$A$6092,[1]PlanCuentas!C$2:C$6092)</f>
        <v>0</v>
      </c>
      <c r="O858" s="12">
        <f>LOOKUP(412011300,[1]PlanCuentas!$A$2:$A$6092,[1]PlanCuentas!C$2:C$6092)</f>
        <v>0</v>
      </c>
      <c r="P858" s="12">
        <f>LOOKUP(412012000,[1]PlanCuentas!$A$2:$A$6092,[1]PlanCuentas!C$2:C$6092)</f>
        <v>0</v>
      </c>
      <c r="Q858" s="13">
        <f t="shared" ref="Q858:Q889" si="44">SUM(C858:P858)</f>
        <v>0</v>
      </c>
    </row>
    <row r="859" spans="1:17" x14ac:dyDescent="0.2">
      <c r="A859" s="10">
        <v>2</v>
      </c>
      <c r="B859" s="11" t="str">
        <f>[1]Aseguradoras!B3</f>
        <v>La Rural S.A de Seguros</v>
      </c>
      <c r="C859" s="12">
        <f>LOOKUP(412010100,[1]PlanCuentas!$A$2:$A$6092,[1]PlanCuentas!D$2:D$6092)</f>
        <v>0</v>
      </c>
      <c r="D859" s="12">
        <f>LOOKUP(412010200,[1]PlanCuentas!$A$2:$A$6092,[1]PlanCuentas!D$2:D$6092)</f>
        <v>0</v>
      </c>
      <c r="E859" s="12">
        <f>LOOKUP(412010300,[1]PlanCuentas!$A$2:$A$6092,[1]PlanCuentas!D$2:D$6092)</f>
        <v>0</v>
      </c>
      <c r="F859" s="12">
        <f>LOOKUP(412010400,[1]PlanCuentas!$A$2:$A$6092,[1]PlanCuentas!D$2:D$6092)</f>
        <v>0</v>
      </c>
      <c r="G859" s="12">
        <f>LOOKUP(412010500,[1]PlanCuentas!$A$2:$A$6092,[1]PlanCuentas!D$2:D$6092)</f>
        <v>0</v>
      </c>
      <c r="H859" s="12">
        <f>LOOKUP(412010600,[1]PlanCuentas!$A$2:$A$6092,[1]PlanCuentas!D$2:D$6092)</f>
        <v>0</v>
      </c>
      <c r="I859" s="12">
        <f>LOOKUP(412010700,[1]PlanCuentas!$A$2:$A$6092,[1]PlanCuentas!D$2:D$6092)</f>
        <v>0</v>
      </c>
      <c r="J859" s="12">
        <f>LOOKUP(412010800,[1]PlanCuentas!$A$2:$A$6092,[1]PlanCuentas!D$2:D$6092)</f>
        <v>0</v>
      </c>
      <c r="K859" s="12">
        <f>LOOKUP(412010900,[1]PlanCuentas!$A$2:$A$6092,[1]PlanCuentas!D$2:D$6092)</f>
        <v>0</v>
      </c>
      <c r="L859" s="12">
        <f>LOOKUP(412011000,[1]PlanCuentas!$A$2:$A$6092,[1]PlanCuentas!D$2:D$6092)</f>
        <v>0</v>
      </c>
      <c r="M859" s="12">
        <f>LOOKUP(412011100,[1]PlanCuentas!$A$2:$A$6092,[1]PlanCuentas!D$2:D$6092)</f>
        <v>0</v>
      </c>
      <c r="N859" s="12">
        <f>LOOKUP(412011200,[1]PlanCuentas!$A$2:$A$6092,[1]PlanCuentas!D$2:D$6092)</f>
        <v>0</v>
      </c>
      <c r="O859" s="12">
        <f>LOOKUP(412011300,[1]PlanCuentas!$A$2:$A$6092,[1]PlanCuentas!D$2:D$6092)</f>
        <v>0</v>
      </c>
      <c r="P859" s="12">
        <f>LOOKUP(412012000,[1]PlanCuentas!$A$2:$A$6092,[1]PlanCuentas!D$2:D$6092)</f>
        <v>0</v>
      </c>
      <c r="Q859" s="13">
        <f t="shared" si="44"/>
        <v>0</v>
      </c>
    </row>
    <row r="860" spans="1:17" x14ac:dyDescent="0.2">
      <c r="A860" s="10">
        <v>3</v>
      </c>
      <c r="B860" s="11" t="str">
        <f>[1]Aseguradoras!B4</f>
        <v>La Paraguaya S.A de Seguros</v>
      </c>
      <c r="C860" s="12">
        <f>LOOKUP(412010100,[1]PlanCuentas!$A$2:$A$6092,[1]PlanCuentas!E$2:E$6092)</f>
        <v>0</v>
      </c>
      <c r="D860" s="12">
        <f>LOOKUP(412010200,[1]PlanCuentas!$A$2:$A$6092,[1]PlanCuentas!E$2:E$6092)</f>
        <v>0</v>
      </c>
      <c r="E860" s="12">
        <f>LOOKUP(412010300,[1]PlanCuentas!$A$2:$A$6092,[1]PlanCuentas!E$2:E$6092)</f>
        <v>0</v>
      </c>
      <c r="F860" s="12">
        <f>LOOKUP(412010400,[1]PlanCuentas!$A$2:$A$6092,[1]PlanCuentas!E$2:E$6092)</f>
        <v>0</v>
      </c>
      <c r="G860" s="12">
        <f>LOOKUP(412010500,[1]PlanCuentas!$A$2:$A$6092,[1]PlanCuentas!E$2:E$6092)</f>
        <v>0</v>
      </c>
      <c r="H860" s="12">
        <f>LOOKUP(412010600,[1]PlanCuentas!$A$2:$A$6092,[1]PlanCuentas!E$2:E$6092)</f>
        <v>0</v>
      </c>
      <c r="I860" s="12">
        <f>LOOKUP(412010700,[1]PlanCuentas!$A$2:$A$6092,[1]PlanCuentas!E$2:E$6092)</f>
        <v>0</v>
      </c>
      <c r="J860" s="12">
        <f>LOOKUP(412010800,[1]PlanCuentas!$A$2:$A$6092,[1]PlanCuentas!E$2:E$6092)</f>
        <v>0</v>
      </c>
      <c r="K860" s="12">
        <f>LOOKUP(412010900,[1]PlanCuentas!$A$2:$A$6092,[1]PlanCuentas!E$2:E$6092)</f>
        <v>0</v>
      </c>
      <c r="L860" s="12">
        <f>LOOKUP(412011000,[1]PlanCuentas!$A$2:$A$6092,[1]PlanCuentas!E$2:E$6092)</f>
        <v>0</v>
      </c>
      <c r="M860" s="12">
        <f>LOOKUP(412011100,[1]PlanCuentas!$A$2:$A$6092,[1]PlanCuentas!E$2:E$6092)</f>
        <v>0</v>
      </c>
      <c r="N860" s="12">
        <f>LOOKUP(412011200,[1]PlanCuentas!$A$2:$A$6092,[1]PlanCuentas!E$2:E$6092)</f>
        <v>0</v>
      </c>
      <c r="O860" s="12">
        <f>LOOKUP(412011300,[1]PlanCuentas!$A$2:$A$6092,[1]PlanCuentas!E$2:E$6092)</f>
        <v>0</v>
      </c>
      <c r="P860" s="12">
        <f>LOOKUP(412012000,[1]PlanCuentas!$A$2:$A$6092,[1]PlanCuentas!E$2:E$6092)</f>
        <v>0</v>
      </c>
      <c r="Q860" s="13">
        <f t="shared" si="44"/>
        <v>0</v>
      </c>
    </row>
    <row r="861" spans="1:17" x14ac:dyDescent="0.2">
      <c r="A861" s="10">
        <v>4</v>
      </c>
      <c r="B861" s="11" t="str">
        <f>[1]Aseguradoras!B5</f>
        <v>Seguros Generales S. A (SEGESA)</v>
      </c>
      <c r="C861" s="12">
        <f>LOOKUP(412010100,[1]PlanCuentas!$A$2:$A$6092,[1]PlanCuentas!F$2:F$6092)</f>
        <v>0</v>
      </c>
      <c r="D861" s="12">
        <f>LOOKUP(412010200,[1]PlanCuentas!$A$2:$A$6092,[1]PlanCuentas!F$2:F$6092)</f>
        <v>0</v>
      </c>
      <c r="E861" s="12">
        <f>LOOKUP(412010300,[1]PlanCuentas!$A$2:$A$6092,[1]PlanCuentas!F$2:F$6092)</f>
        <v>0</v>
      </c>
      <c r="F861" s="12">
        <f>LOOKUP(412010400,[1]PlanCuentas!$A$2:$A$6092,[1]PlanCuentas!F$2:F$6092)</f>
        <v>0</v>
      </c>
      <c r="G861" s="12">
        <f>LOOKUP(412010500,[1]PlanCuentas!$A$2:$A$6092,[1]PlanCuentas!F$2:F$6092)</f>
        <v>0</v>
      </c>
      <c r="H861" s="12">
        <f>LOOKUP(412010600,[1]PlanCuentas!$A$2:$A$6092,[1]PlanCuentas!F$2:F$6092)</f>
        <v>0</v>
      </c>
      <c r="I861" s="12">
        <f>LOOKUP(412010700,[1]PlanCuentas!$A$2:$A$6092,[1]PlanCuentas!F$2:F$6092)</f>
        <v>0</v>
      </c>
      <c r="J861" s="12">
        <f>LOOKUP(412010800,[1]PlanCuentas!$A$2:$A$6092,[1]PlanCuentas!F$2:F$6092)</f>
        <v>0</v>
      </c>
      <c r="K861" s="12">
        <f>LOOKUP(412010900,[1]PlanCuentas!$A$2:$A$6092,[1]PlanCuentas!F$2:F$6092)</f>
        <v>0</v>
      </c>
      <c r="L861" s="12">
        <f>LOOKUP(412011000,[1]PlanCuentas!$A$2:$A$6092,[1]PlanCuentas!F$2:F$6092)</f>
        <v>0</v>
      </c>
      <c r="M861" s="12">
        <f>LOOKUP(412011100,[1]PlanCuentas!$A$2:$A$6092,[1]PlanCuentas!F$2:F$6092)</f>
        <v>0</v>
      </c>
      <c r="N861" s="12">
        <f>LOOKUP(412011200,[1]PlanCuentas!$A$2:$A$6092,[1]PlanCuentas!F$2:F$6092)</f>
        <v>0</v>
      </c>
      <c r="O861" s="12">
        <f>LOOKUP(412011300,[1]PlanCuentas!$A$2:$A$6092,[1]PlanCuentas!F$2:F$6092)</f>
        <v>0</v>
      </c>
      <c r="P861" s="12">
        <f>LOOKUP(412012000,[1]PlanCuentas!$A$2:$A$6092,[1]PlanCuentas!F$2:F$6092)</f>
        <v>0</v>
      </c>
      <c r="Q861" s="13">
        <f t="shared" si="44"/>
        <v>0</v>
      </c>
    </row>
    <row r="862" spans="1:17" x14ac:dyDescent="0.2">
      <c r="A862" s="10">
        <v>5</v>
      </c>
      <c r="B862" s="11" t="str">
        <f>[1]Aseguradoras!B6</f>
        <v>Rumbos S.A de Seguros</v>
      </c>
      <c r="C862" s="12">
        <f>LOOKUP(412010100,[1]PlanCuentas!$A$2:$A$6092,[1]PlanCuentas!G$2:G$6092)</f>
        <v>0</v>
      </c>
      <c r="D862" s="12">
        <f>LOOKUP(412010200,[1]PlanCuentas!$A$2:$A$6092,[1]PlanCuentas!G$2:G$6092)</f>
        <v>0</v>
      </c>
      <c r="E862" s="12">
        <f>LOOKUP(412010300,[1]PlanCuentas!$A$2:$A$6092,[1]PlanCuentas!G$2:G$6092)</f>
        <v>0</v>
      </c>
      <c r="F862" s="12">
        <f>LOOKUP(412010400,[1]PlanCuentas!$A$2:$A$6092,[1]PlanCuentas!G$2:G$6092)</f>
        <v>0</v>
      </c>
      <c r="G862" s="12">
        <f>LOOKUP(412010500,[1]PlanCuentas!$A$2:$A$6092,[1]PlanCuentas!G$2:G$6092)</f>
        <v>0</v>
      </c>
      <c r="H862" s="12">
        <f>LOOKUP(412010600,[1]PlanCuentas!$A$2:$A$6092,[1]PlanCuentas!G$2:G$6092)</f>
        <v>0</v>
      </c>
      <c r="I862" s="12">
        <f>LOOKUP(412010700,[1]PlanCuentas!$A$2:$A$6092,[1]PlanCuentas!G$2:G$6092)</f>
        <v>0</v>
      </c>
      <c r="J862" s="12">
        <f>LOOKUP(412010800,[1]PlanCuentas!$A$2:$A$6092,[1]PlanCuentas!G$2:G$6092)</f>
        <v>0</v>
      </c>
      <c r="K862" s="12">
        <f>LOOKUP(412010900,[1]PlanCuentas!$A$2:$A$6092,[1]PlanCuentas!G$2:G$6092)</f>
        <v>0</v>
      </c>
      <c r="L862" s="12">
        <f>LOOKUP(412011000,[1]PlanCuentas!$A$2:$A$6092,[1]PlanCuentas!G$2:G$6092)</f>
        <v>0</v>
      </c>
      <c r="M862" s="12">
        <f>LOOKUP(412011100,[1]PlanCuentas!$A$2:$A$6092,[1]PlanCuentas!G$2:G$6092)</f>
        <v>0</v>
      </c>
      <c r="N862" s="12">
        <f>LOOKUP(412011200,[1]PlanCuentas!$A$2:$A$6092,[1]PlanCuentas!G$2:G$6092)</f>
        <v>0</v>
      </c>
      <c r="O862" s="12">
        <f>LOOKUP(412011300,[1]PlanCuentas!$A$2:$A$6092,[1]PlanCuentas!G$2:G$6092)</f>
        <v>0</v>
      </c>
      <c r="P862" s="12">
        <f>LOOKUP(412012000,[1]PlanCuentas!$A$2:$A$6092,[1]PlanCuentas!G$2:G$6092)</f>
        <v>0</v>
      </c>
      <c r="Q862" s="13">
        <f t="shared" si="44"/>
        <v>0</v>
      </c>
    </row>
    <row r="863" spans="1:17" x14ac:dyDescent="0.2">
      <c r="A863" s="10">
        <v>6</v>
      </c>
      <c r="B863" s="11" t="str">
        <f>[1]Aseguradoras!B7</f>
        <v>La Consolidada S.A de Seguros</v>
      </c>
      <c r="C863" s="12">
        <f>LOOKUP(412010100,[1]PlanCuentas!$A$2:$A$6092,[1]PlanCuentas!H$2:H$6092)</f>
        <v>0</v>
      </c>
      <c r="D863" s="12">
        <f>LOOKUP(412010200,[1]PlanCuentas!$A$2:$A$6092,[1]PlanCuentas!H$2:H$6092)</f>
        <v>0</v>
      </c>
      <c r="E863" s="12">
        <f>LOOKUP(412010300,[1]PlanCuentas!$A$2:$A$6092,[1]PlanCuentas!H$2:H$6092)</f>
        <v>0</v>
      </c>
      <c r="F863" s="12">
        <f>LOOKUP(412010400,[1]PlanCuentas!$A$2:$A$6092,[1]PlanCuentas!H$2:H$6092)</f>
        <v>0</v>
      </c>
      <c r="G863" s="12">
        <f>LOOKUP(412010500,[1]PlanCuentas!$A$2:$A$6092,[1]PlanCuentas!H$2:H$6092)</f>
        <v>0</v>
      </c>
      <c r="H863" s="12">
        <f>LOOKUP(412010600,[1]PlanCuentas!$A$2:$A$6092,[1]PlanCuentas!H$2:H$6092)</f>
        <v>0</v>
      </c>
      <c r="I863" s="12">
        <f>LOOKUP(412010700,[1]PlanCuentas!$A$2:$A$6092,[1]PlanCuentas!H$2:H$6092)</f>
        <v>0</v>
      </c>
      <c r="J863" s="12">
        <f>LOOKUP(412010800,[1]PlanCuentas!$A$2:$A$6092,[1]PlanCuentas!H$2:H$6092)</f>
        <v>0</v>
      </c>
      <c r="K863" s="12">
        <f>LOOKUP(412010900,[1]PlanCuentas!$A$2:$A$6092,[1]PlanCuentas!H$2:H$6092)</f>
        <v>0</v>
      </c>
      <c r="L863" s="12">
        <f>LOOKUP(412011000,[1]PlanCuentas!$A$2:$A$6092,[1]PlanCuentas!H$2:H$6092)</f>
        <v>0</v>
      </c>
      <c r="M863" s="12">
        <f>LOOKUP(412011100,[1]PlanCuentas!$A$2:$A$6092,[1]PlanCuentas!H$2:H$6092)</f>
        <v>0</v>
      </c>
      <c r="N863" s="12">
        <f>LOOKUP(412011200,[1]PlanCuentas!$A$2:$A$6092,[1]PlanCuentas!H$2:H$6092)</f>
        <v>0</v>
      </c>
      <c r="O863" s="12">
        <f>LOOKUP(412011300,[1]PlanCuentas!$A$2:$A$6092,[1]PlanCuentas!H$2:H$6092)</f>
        <v>0</v>
      </c>
      <c r="P863" s="12">
        <f>LOOKUP(412012000,[1]PlanCuentas!$A$2:$A$6092,[1]PlanCuentas!H$2:H$6092)</f>
        <v>0</v>
      </c>
      <c r="Q863" s="13">
        <f t="shared" si="44"/>
        <v>0</v>
      </c>
    </row>
    <row r="864" spans="1:17" x14ac:dyDescent="0.2">
      <c r="A864" s="10">
        <v>7</v>
      </c>
      <c r="B864" s="11" t="str">
        <f>[1]Aseguradoras!B8</f>
        <v>El Productor S.A de Seguros y Reaseguros</v>
      </c>
      <c r="C864" s="12">
        <f>LOOKUP(412010100,[1]PlanCuentas!$A$2:$A$6092,[1]PlanCuentas!I$2:I$6092)</f>
        <v>0</v>
      </c>
      <c r="D864" s="12">
        <f>LOOKUP(412010200,[1]PlanCuentas!$A$2:$A$6092,[1]PlanCuentas!I$2:I$6092)</f>
        <v>0</v>
      </c>
      <c r="E864" s="12">
        <f>LOOKUP(412010300,[1]PlanCuentas!$A$2:$A$6092,[1]PlanCuentas!I$2:I$6092)</f>
        <v>0</v>
      </c>
      <c r="F864" s="12">
        <f>LOOKUP(412010400,[1]PlanCuentas!$A$2:$A$6092,[1]PlanCuentas!I$2:I$6092)</f>
        <v>0</v>
      </c>
      <c r="G864" s="12">
        <f>LOOKUP(412010500,[1]PlanCuentas!$A$2:$A$6092,[1]PlanCuentas!I$2:I$6092)</f>
        <v>0</v>
      </c>
      <c r="H864" s="12">
        <f>LOOKUP(412010600,[1]PlanCuentas!$A$2:$A$6092,[1]PlanCuentas!I$2:I$6092)</f>
        <v>0</v>
      </c>
      <c r="I864" s="12">
        <f>LOOKUP(412010700,[1]PlanCuentas!$A$2:$A$6092,[1]PlanCuentas!I$2:I$6092)</f>
        <v>0</v>
      </c>
      <c r="J864" s="12">
        <f>LOOKUP(412010800,[1]PlanCuentas!$A$2:$A$6092,[1]PlanCuentas!I$2:I$6092)</f>
        <v>0</v>
      </c>
      <c r="K864" s="12">
        <f>LOOKUP(412010900,[1]PlanCuentas!$A$2:$A$6092,[1]PlanCuentas!I$2:I$6092)</f>
        <v>0</v>
      </c>
      <c r="L864" s="12">
        <f>LOOKUP(412011000,[1]PlanCuentas!$A$2:$A$6092,[1]PlanCuentas!I$2:I$6092)</f>
        <v>0</v>
      </c>
      <c r="M864" s="12">
        <f>LOOKUP(412011100,[1]PlanCuentas!$A$2:$A$6092,[1]PlanCuentas!I$2:I$6092)</f>
        <v>0</v>
      </c>
      <c r="N864" s="12">
        <f>LOOKUP(412011200,[1]PlanCuentas!$A$2:$A$6092,[1]PlanCuentas!I$2:I$6092)</f>
        <v>0</v>
      </c>
      <c r="O864" s="12">
        <f>LOOKUP(412011300,[1]PlanCuentas!$A$2:$A$6092,[1]PlanCuentas!I$2:I$6092)</f>
        <v>0</v>
      </c>
      <c r="P864" s="12">
        <f>LOOKUP(412012000,[1]PlanCuentas!$A$2:$A$6092,[1]PlanCuentas!I$2:I$6092)</f>
        <v>0</v>
      </c>
      <c r="Q864" s="13">
        <f t="shared" si="44"/>
        <v>0</v>
      </c>
    </row>
    <row r="865" spans="1:17" x14ac:dyDescent="0.2">
      <c r="A865" s="10">
        <v>8</v>
      </c>
      <c r="B865" s="11" t="str">
        <f>[1]Aseguradoras!B9</f>
        <v>Atalaya S.A de Seguros Generales</v>
      </c>
      <c r="C865" s="12">
        <f>LOOKUP(412010100,[1]PlanCuentas!$A$2:$A$6092,[1]PlanCuentas!J$2:J$6092)</f>
        <v>0</v>
      </c>
      <c r="D865" s="12">
        <f>LOOKUP(412010200,[1]PlanCuentas!$A$2:$A$6092,[1]PlanCuentas!J$2:J$6092)</f>
        <v>0</v>
      </c>
      <c r="E865" s="12">
        <f>LOOKUP(412010300,[1]PlanCuentas!$A$2:$A$6092,[1]PlanCuentas!J$2:J$6092)</f>
        <v>0</v>
      </c>
      <c r="F865" s="12">
        <f>LOOKUP(412010400,[1]PlanCuentas!$A$2:$A$6092,[1]PlanCuentas!J$2:J$6092)</f>
        <v>0</v>
      </c>
      <c r="G865" s="12">
        <f>LOOKUP(412010500,[1]PlanCuentas!$A$2:$A$6092,[1]PlanCuentas!J$2:J$6092)</f>
        <v>0</v>
      </c>
      <c r="H865" s="12">
        <f>LOOKUP(412010600,[1]PlanCuentas!$A$2:$A$6092,[1]PlanCuentas!J$2:J$6092)</f>
        <v>0</v>
      </c>
      <c r="I865" s="12">
        <f>LOOKUP(412010700,[1]PlanCuentas!$A$2:$A$6092,[1]PlanCuentas!J$2:J$6092)</f>
        <v>0</v>
      </c>
      <c r="J865" s="12">
        <f>LOOKUP(412010800,[1]PlanCuentas!$A$2:$A$6092,[1]PlanCuentas!J$2:J$6092)</f>
        <v>0</v>
      </c>
      <c r="K865" s="12">
        <f>LOOKUP(412010900,[1]PlanCuentas!$A$2:$A$6092,[1]PlanCuentas!J$2:J$6092)</f>
        <v>0</v>
      </c>
      <c r="L865" s="12">
        <f>LOOKUP(412011000,[1]PlanCuentas!$A$2:$A$6092,[1]PlanCuentas!J$2:J$6092)</f>
        <v>0</v>
      </c>
      <c r="M865" s="12">
        <f>LOOKUP(412011100,[1]PlanCuentas!$A$2:$A$6092,[1]PlanCuentas!J$2:J$6092)</f>
        <v>0</v>
      </c>
      <c r="N865" s="12">
        <f>LOOKUP(412011200,[1]PlanCuentas!$A$2:$A$6092,[1]PlanCuentas!J$2:J$6092)</f>
        <v>0</v>
      </c>
      <c r="O865" s="12">
        <f>LOOKUP(412011300,[1]PlanCuentas!$A$2:$A$6092,[1]PlanCuentas!J$2:J$6092)</f>
        <v>0</v>
      </c>
      <c r="P865" s="12">
        <f>LOOKUP(412012000,[1]PlanCuentas!$A$2:$A$6092,[1]PlanCuentas!J$2:J$6092)</f>
        <v>0</v>
      </c>
      <c r="Q865" s="13">
        <f t="shared" si="44"/>
        <v>0</v>
      </c>
    </row>
    <row r="866" spans="1:17" x14ac:dyDescent="0.2">
      <c r="A866" s="10">
        <v>9</v>
      </c>
      <c r="B866" s="11" t="str">
        <f>[1]Aseguradoras!B10</f>
        <v>La Independencia de Seguros S.A.</v>
      </c>
      <c r="C866" s="12">
        <f>LOOKUP(412010100,[1]PlanCuentas!$A$2:$A$6092,[1]PlanCuentas!K$2:K$6092)</f>
        <v>0</v>
      </c>
      <c r="D866" s="12">
        <f>LOOKUP(412010200,[1]PlanCuentas!$A$2:$A$6092,[1]PlanCuentas!K$2:K$6092)</f>
        <v>0</v>
      </c>
      <c r="E866" s="12">
        <f>LOOKUP(412010300,[1]PlanCuentas!$A$2:$A$6092,[1]PlanCuentas!K$2:K$6092)</f>
        <v>0</v>
      </c>
      <c r="F866" s="12">
        <f>LOOKUP(412010400,[1]PlanCuentas!$A$2:$A$6092,[1]PlanCuentas!K$2:K$6092)</f>
        <v>0</v>
      </c>
      <c r="G866" s="12">
        <f>LOOKUP(412010500,[1]PlanCuentas!$A$2:$A$6092,[1]PlanCuentas!K$2:K$6092)</f>
        <v>0</v>
      </c>
      <c r="H866" s="12">
        <f>LOOKUP(412010600,[1]PlanCuentas!$A$2:$A$6092,[1]PlanCuentas!K$2:K$6092)</f>
        <v>0</v>
      </c>
      <c r="I866" s="12">
        <f>LOOKUP(412010700,[1]PlanCuentas!$A$2:$A$6092,[1]PlanCuentas!K$2:K$6092)</f>
        <v>0</v>
      </c>
      <c r="J866" s="12">
        <f>LOOKUP(412010800,[1]PlanCuentas!$A$2:$A$6092,[1]PlanCuentas!K$2:K$6092)</f>
        <v>0</v>
      </c>
      <c r="K866" s="12">
        <f>LOOKUP(412010900,[1]PlanCuentas!$A$2:$A$6092,[1]PlanCuentas!K$2:K$6092)</f>
        <v>0</v>
      </c>
      <c r="L866" s="12">
        <f>LOOKUP(412011000,[1]PlanCuentas!$A$2:$A$6092,[1]PlanCuentas!K$2:K$6092)</f>
        <v>0</v>
      </c>
      <c r="M866" s="12">
        <f>LOOKUP(412011100,[1]PlanCuentas!$A$2:$A$6092,[1]PlanCuentas!K$2:K$6092)</f>
        <v>0</v>
      </c>
      <c r="N866" s="12">
        <f>LOOKUP(412011200,[1]PlanCuentas!$A$2:$A$6092,[1]PlanCuentas!K$2:K$6092)</f>
        <v>0</v>
      </c>
      <c r="O866" s="12">
        <f>LOOKUP(412011300,[1]PlanCuentas!$A$2:$A$6092,[1]PlanCuentas!K$2:K$6092)</f>
        <v>0</v>
      </c>
      <c r="P866" s="12">
        <f>LOOKUP(412012000,[1]PlanCuentas!$A$2:$A$6092,[1]PlanCuentas!K$2:K$6092)</f>
        <v>0</v>
      </c>
      <c r="Q866" s="13">
        <f t="shared" si="44"/>
        <v>0</v>
      </c>
    </row>
    <row r="867" spans="1:17" x14ac:dyDescent="0.2">
      <c r="A867" s="10">
        <v>10</v>
      </c>
      <c r="B867" s="11" t="str">
        <f>[1]Aseguradoras!B11</f>
        <v>Patria S.A de Seguros y Reaseguros</v>
      </c>
      <c r="C867" s="12">
        <f>LOOKUP(412010100,[1]PlanCuentas!$A$2:$A$6092,[1]PlanCuentas!L$2:L$6092)</f>
        <v>0</v>
      </c>
      <c r="D867" s="12">
        <f>LOOKUP(412010200,[1]PlanCuentas!$A$2:$A$6092,[1]PlanCuentas!L$2:L$6092)</f>
        <v>0</v>
      </c>
      <c r="E867" s="12">
        <f>LOOKUP(412010300,[1]PlanCuentas!$A$2:$A$6092,[1]PlanCuentas!L$2:L$6092)</f>
        <v>0</v>
      </c>
      <c r="F867" s="12">
        <f>LOOKUP(412010400,[1]PlanCuentas!$A$2:$A$6092,[1]PlanCuentas!L$2:L$6092)</f>
        <v>0</v>
      </c>
      <c r="G867" s="12">
        <f>LOOKUP(412010500,[1]PlanCuentas!$A$2:$A$6092,[1]PlanCuentas!L$2:L$6092)</f>
        <v>0</v>
      </c>
      <c r="H867" s="12">
        <f>LOOKUP(412010600,[1]PlanCuentas!$A$2:$A$6092,[1]PlanCuentas!L$2:L$6092)</f>
        <v>0</v>
      </c>
      <c r="I867" s="12">
        <f>LOOKUP(412010700,[1]PlanCuentas!$A$2:$A$6092,[1]PlanCuentas!L$2:L$6092)</f>
        <v>0</v>
      </c>
      <c r="J867" s="12">
        <f>LOOKUP(412010800,[1]PlanCuentas!$A$2:$A$6092,[1]PlanCuentas!L$2:L$6092)</f>
        <v>0</v>
      </c>
      <c r="K867" s="12">
        <f>LOOKUP(412010900,[1]PlanCuentas!$A$2:$A$6092,[1]PlanCuentas!L$2:L$6092)</f>
        <v>0</v>
      </c>
      <c r="L867" s="12">
        <f>LOOKUP(412011000,[1]PlanCuentas!$A$2:$A$6092,[1]PlanCuentas!L$2:L$6092)</f>
        <v>0</v>
      </c>
      <c r="M867" s="12">
        <f>LOOKUP(412011100,[1]PlanCuentas!$A$2:$A$6092,[1]PlanCuentas!L$2:L$6092)</f>
        <v>0</v>
      </c>
      <c r="N867" s="12">
        <f>LOOKUP(412011200,[1]PlanCuentas!$A$2:$A$6092,[1]PlanCuentas!L$2:L$6092)</f>
        <v>0</v>
      </c>
      <c r="O867" s="12">
        <f>LOOKUP(412011300,[1]PlanCuentas!$A$2:$A$6092,[1]PlanCuentas!L$2:L$6092)</f>
        <v>0</v>
      </c>
      <c r="P867" s="12">
        <f>LOOKUP(412012000,[1]PlanCuentas!$A$2:$A$6092,[1]PlanCuentas!L$2:L$6092)</f>
        <v>0</v>
      </c>
      <c r="Q867" s="13">
        <f t="shared" si="44"/>
        <v>0</v>
      </c>
    </row>
    <row r="868" spans="1:17" x14ac:dyDescent="0.2">
      <c r="A868" s="10">
        <v>11</v>
      </c>
      <c r="B868" s="11" t="str">
        <f>[1]Aseguradoras!B12</f>
        <v>Garantía S.A de Seguros y Reaseguros</v>
      </c>
      <c r="C868" s="12">
        <f>LOOKUP(412010100,[1]PlanCuentas!$A$2:$A$6092,[1]PlanCuentas!M$2:M$6092)</f>
        <v>0</v>
      </c>
      <c r="D868" s="12">
        <f>LOOKUP(412010200,[1]PlanCuentas!$A$2:$A$6092,[1]PlanCuentas!M$2:M$6092)</f>
        <v>0</v>
      </c>
      <c r="E868" s="12">
        <f>LOOKUP(412010300,[1]PlanCuentas!$A$2:$A$6092,[1]PlanCuentas!M$2:M$6092)</f>
        <v>0</v>
      </c>
      <c r="F868" s="12">
        <f>LOOKUP(412010400,[1]PlanCuentas!$A$2:$A$6092,[1]PlanCuentas!M$2:M$6092)</f>
        <v>0</v>
      </c>
      <c r="G868" s="12">
        <f>LOOKUP(412010500,[1]PlanCuentas!$A$2:$A$6092,[1]PlanCuentas!M$2:M$6092)</f>
        <v>0</v>
      </c>
      <c r="H868" s="12">
        <f>LOOKUP(412010600,[1]PlanCuentas!$A$2:$A$6092,[1]PlanCuentas!M$2:M$6092)</f>
        <v>0</v>
      </c>
      <c r="I868" s="12">
        <f>LOOKUP(412010700,[1]PlanCuentas!$A$2:$A$6092,[1]PlanCuentas!M$2:M$6092)</f>
        <v>0</v>
      </c>
      <c r="J868" s="12">
        <f>LOOKUP(412010800,[1]PlanCuentas!$A$2:$A$6092,[1]PlanCuentas!M$2:M$6092)</f>
        <v>0</v>
      </c>
      <c r="K868" s="12">
        <f>LOOKUP(412010900,[1]PlanCuentas!$A$2:$A$6092,[1]PlanCuentas!M$2:M$6092)</f>
        <v>0</v>
      </c>
      <c r="L868" s="12">
        <f>LOOKUP(412011000,[1]PlanCuentas!$A$2:$A$6092,[1]PlanCuentas!M$2:M$6092)</f>
        <v>0</v>
      </c>
      <c r="M868" s="12">
        <f>LOOKUP(412011100,[1]PlanCuentas!$A$2:$A$6092,[1]PlanCuentas!M$2:M$6092)</f>
        <v>0</v>
      </c>
      <c r="N868" s="12">
        <f>LOOKUP(412011200,[1]PlanCuentas!$A$2:$A$6092,[1]PlanCuentas!M$2:M$6092)</f>
        <v>0</v>
      </c>
      <c r="O868" s="12">
        <f>LOOKUP(412011300,[1]PlanCuentas!$A$2:$A$6092,[1]PlanCuentas!M$2:M$6092)</f>
        <v>0</v>
      </c>
      <c r="P868" s="12">
        <f>LOOKUP(412012000,[1]PlanCuentas!$A$2:$A$6092,[1]PlanCuentas!M$2:M$6092)</f>
        <v>0</v>
      </c>
      <c r="Q868" s="13">
        <f t="shared" si="44"/>
        <v>0</v>
      </c>
    </row>
    <row r="869" spans="1:17" x14ac:dyDescent="0.2">
      <c r="A869" s="10">
        <v>12</v>
      </c>
      <c r="B869" s="11" t="str">
        <f>[1]Aseguradoras!B13</f>
        <v>Aseguradora Paraguaya S.A.</v>
      </c>
      <c r="C869" s="12">
        <f>LOOKUP(412010100,[1]PlanCuentas!$A$2:$A$6092,[1]PlanCuentas!N$2:N$6092)</f>
        <v>0</v>
      </c>
      <c r="D869" s="12">
        <f>LOOKUP(412010200,[1]PlanCuentas!$A$2:$A$6092,[1]PlanCuentas!N$2:N$6092)</f>
        <v>0</v>
      </c>
      <c r="E869" s="12">
        <f>LOOKUP(412010300,[1]PlanCuentas!$A$2:$A$6092,[1]PlanCuentas!N$2:N$6092)</f>
        <v>0</v>
      </c>
      <c r="F869" s="12">
        <f>LOOKUP(412010400,[1]PlanCuentas!$A$2:$A$6092,[1]PlanCuentas!N$2:N$6092)</f>
        <v>0</v>
      </c>
      <c r="G869" s="12">
        <f>LOOKUP(412010500,[1]PlanCuentas!$A$2:$A$6092,[1]PlanCuentas!N$2:N$6092)</f>
        <v>0</v>
      </c>
      <c r="H869" s="12">
        <f>LOOKUP(412010600,[1]PlanCuentas!$A$2:$A$6092,[1]PlanCuentas!N$2:N$6092)</f>
        <v>0</v>
      </c>
      <c r="I869" s="12">
        <f>LOOKUP(412010700,[1]PlanCuentas!$A$2:$A$6092,[1]PlanCuentas!N$2:N$6092)</f>
        <v>0</v>
      </c>
      <c r="J869" s="12">
        <f>LOOKUP(412010800,[1]PlanCuentas!$A$2:$A$6092,[1]PlanCuentas!N$2:N$6092)</f>
        <v>0</v>
      </c>
      <c r="K869" s="12">
        <f>LOOKUP(412010900,[1]PlanCuentas!$A$2:$A$6092,[1]PlanCuentas!N$2:N$6092)</f>
        <v>0</v>
      </c>
      <c r="L869" s="12">
        <f>LOOKUP(412011000,[1]PlanCuentas!$A$2:$A$6092,[1]PlanCuentas!N$2:N$6092)</f>
        <v>0</v>
      </c>
      <c r="M869" s="12">
        <f>LOOKUP(412011100,[1]PlanCuentas!$A$2:$A$6092,[1]PlanCuentas!N$2:N$6092)</f>
        <v>0</v>
      </c>
      <c r="N869" s="12">
        <f>LOOKUP(412011200,[1]PlanCuentas!$A$2:$A$6092,[1]PlanCuentas!N$2:N$6092)</f>
        <v>0</v>
      </c>
      <c r="O869" s="12">
        <f>LOOKUP(412011300,[1]PlanCuentas!$A$2:$A$6092,[1]PlanCuentas!N$2:N$6092)</f>
        <v>0</v>
      </c>
      <c r="P869" s="12">
        <f>LOOKUP(412012000,[1]PlanCuentas!$A$2:$A$6092,[1]PlanCuentas!N$2:N$6092)</f>
        <v>0</v>
      </c>
      <c r="Q869" s="13">
        <f t="shared" si="44"/>
        <v>0</v>
      </c>
    </row>
    <row r="870" spans="1:17" x14ac:dyDescent="0.2">
      <c r="A870" s="10">
        <v>13</v>
      </c>
      <c r="B870" s="11" t="str">
        <f>[1]Aseguradoras!B14</f>
        <v>Fénix S.A de Seguros y Reaseguros</v>
      </c>
      <c r="C870" s="12">
        <f>LOOKUP(412010100,[1]PlanCuentas!$A$2:$A$6092,[1]PlanCuentas!O$2:O$6092)</f>
        <v>0</v>
      </c>
      <c r="D870" s="12">
        <f>LOOKUP(412010200,[1]PlanCuentas!$A$2:$A$6092,[1]PlanCuentas!O$2:O$6092)</f>
        <v>0</v>
      </c>
      <c r="E870" s="12">
        <f>LOOKUP(412010300,[1]PlanCuentas!$A$2:$A$6092,[1]PlanCuentas!O$2:O$6092)</f>
        <v>0</v>
      </c>
      <c r="F870" s="12">
        <f>LOOKUP(412010400,[1]PlanCuentas!$A$2:$A$6092,[1]PlanCuentas!O$2:O$6092)</f>
        <v>0</v>
      </c>
      <c r="G870" s="12">
        <f>LOOKUP(412010500,[1]PlanCuentas!$A$2:$A$6092,[1]PlanCuentas!O$2:O$6092)</f>
        <v>0</v>
      </c>
      <c r="H870" s="12">
        <f>LOOKUP(412010600,[1]PlanCuentas!$A$2:$A$6092,[1]PlanCuentas!O$2:O$6092)</f>
        <v>0</v>
      </c>
      <c r="I870" s="12">
        <f>LOOKUP(412010700,[1]PlanCuentas!$A$2:$A$6092,[1]PlanCuentas!O$2:O$6092)</f>
        <v>0</v>
      </c>
      <c r="J870" s="12">
        <f>LOOKUP(412010800,[1]PlanCuentas!$A$2:$A$6092,[1]PlanCuentas!O$2:O$6092)</f>
        <v>0</v>
      </c>
      <c r="K870" s="12">
        <f>LOOKUP(412010900,[1]PlanCuentas!$A$2:$A$6092,[1]PlanCuentas!O$2:O$6092)</f>
        <v>0</v>
      </c>
      <c r="L870" s="12">
        <f>LOOKUP(412011000,[1]PlanCuentas!$A$2:$A$6092,[1]PlanCuentas!O$2:O$6092)</f>
        <v>0</v>
      </c>
      <c r="M870" s="12">
        <f>LOOKUP(412011100,[1]PlanCuentas!$A$2:$A$6092,[1]PlanCuentas!O$2:O$6092)</f>
        <v>0</v>
      </c>
      <c r="N870" s="12">
        <f>LOOKUP(412011200,[1]PlanCuentas!$A$2:$A$6092,[1]PlanCuentas!O$2:O$6092)</f>
        <v>0</v>
      </c>
      <c r="O870" s="12">
        <f>LOOKUP(412011300,[1]PlanCuentas!$A$2:$A$6092,[1]PlanCuentas!O$2:O$6092)</f>
        <v>0</v>
      </c>
      <c r="P870" s="12">
        <f>LOOKUP(412012000,[1]PlanCuentas!$A$2:$A$6092,[1]PlanCuentas!O$2:O$6092)</f>
        <v>0</v>
      </c>
      <c r="Q870" s="13">
        <f t="shared" si="44"/>
        <v>0</v>
      </c>
    </row>
    <row r="871" spans="1:17" x14ac:dyDescent="0.2">
      <c r="A871" s="10">
        <v>14</v>
      </c>
      <c r="B871" s="11" t="str">
        <f>[1]Aseguradoras!B15</f>
        <v>Central S.A de Seguros</v>
      </c>
      <c r="C871" s="12">
        <f>LOOKUP(412010100,[1]PlanCuentas!$A$2:$A$6092,[1]PlanCuentas!P$2:P$6092)</f>
        <v>0</v>
      </c>
      <c r="D871" s="12">
        <f>LOOKUP(412010200,[1]PlanCuentas!$A$2:$A$6092,[1]PlanCuentas!P$2:P$6092)</f>
        <v>0</v>
      </c>
      <c r="E871" s="12">
        <f>LOOKUP(412010300,[1]PlanCuentas!$A$2:$A$6092,[1]PlanCuentas!P$2:P$6092)</f>
        <v>0</v>
      </c>
      <c r="F871" s="12">
        <f>LOOKUP(412010400,[1]PlanCuentas!$A$2:$A$6092,[1]PlanCuentas!P$2:P$6092)</f>
        <v>0</v>
      </c>
      <c r="G871" s="12">
        <f>LOOKUP(412010500,[1]PlanCuentas!$A$2:$A$6092,[1]PlanCuentas!P$2:P$6092)</f>
        <v>0</v>
      </c>
      <c r="H871" s="12">
        <f>LOOKUP(412010600,[1]PlanCuentas!$A$2:$A$6092,[1]PlanCuentas!P$2:P$6092)</f>
        <v>0</v>
      </c>
      <c r="I871" s="12">
        <f>LOOKUP(412010700,[1]PlanCuentas!$A$2:$A$6092,[1]PlanCuentas!P$2:P$6092)</f>
        <v>0</v>
      </c>
      <c r="J871" s="12">
        <f>LOOKUP(412010800,[1]PlanCuentas!$A$2:$A$6092,[1]PlanCuentas!P$2:P$6092)</f>
        <v>0</v>
      </c>
      <c r="K871" s="12">
        <f>LOOKUP(412010900,[1]PlanCuentas!$A$2:$A$6092,[1]PlanCuentas!P$2:P$6092)</f>
        <v>0</v>
      </c>
      <c r="L871" s="12">
        <f>LOOKUP(412011000,[1]PlanCuentas!$A$2:$A$6092,[1]PlanCuentas!P$2:P$6092)</f>
        <v>0</v>
      </c>
      <c r="M871" s="12">
        <f>LOOKUP(412011100,[1]PlanCuentas!$A$2:$A$6092,[1]PlanCuentas!P$2:P$6092)</f>
        <v>0</v>
      </c>
      <c r="N871" s="12">
        <f>LOOKUP(412011200,[1]PlanCuentas!$A$2:$A$6092,[1]PlanCuentas!P$2:P$6092)</f>
        <v>0</v>
      </c>
      <c r="O871" s="12">
        <f>LOOKUP(412011300,[1]PlanCuentas!$A$2:$A$6092,[1]PlanCuentas!P$2:P$6092)</f>
        <v>0</v>
      </c>
      <c r="P871" s="12">
        <f>LOOKUP(412012000,[1]PlanCuentas!$A$2:$A$6092,[1]PlanCuentas!P$2:P$6092)</f>
        <v>0</v>
      </c>
      <c r="Q871" s="13">
        <f t="shared" si="44"/>
        <v>0</v>
      </c>
    </row>
    <row r="872" spans="1:17" x14ac:dyDescent="0.2">
      <c r="A872" s="10">
        <v>15</v>
      </c>
      <c r="B872" s="11" t="str">
        <f>[1]Aseguradoras!B16</f>
        <v>Seguros Chaco S.A de Seguros y Reaseguros</v>
      </c>
      <c r="C872" s="12">
        <f>LOOKUP(412010100,[1]PlanCuentas!$A$2:$A$6092,[1]PlanCuentas!Q$2:Q$6092)</f>
        <v>0</v>
      </c>
      <c r="D872" s="12">
        <f>LOOKUP(412010200,[1]PlanCuentas!$A$2:$A$6092,[1]PlanCuentas!Q$2:Q$6092)</f>
        <v>0</v>
      </c>
      <c r="E872" s="12">
        <f>LOOKUP(412010300,[1]PlanCuentas!$A$2:$A$6092,[1]PlanCuentas!Q$2:Q$6092)</f>
        <v>0</v>
      </c>
      <c r="F872" s="12">
        <f>LOOKUP(412010400,[1]PlanCuentas!$A$2:$A$6092,[1]PlanCuentas!Q$2:Q$6092)</f>
        <v>0</v>
      </c>
      <c r="G872" s="12">
        <f>LOOKUP(412010500,[1]PlanCuentas!$A$2:$A$6092,[1]PlanCuentas!Q$2:Q$6092)</f>
        <v>0</v>
      </c>
      <c r="H872" s="12">
        <f>LOOKUP(412010600,[1]PlanCuentas!$A$2:$A$6092,[1]PlanCuentas!Q$2:Q$6092)</f>
        <v>0</v>
      </c>
      <c r="I872" s="12">
        <f>LOOKUP(412010700,[1]PlanCuentas!$A$2:$A$6092,[1]PlanCuentas!Q$2:Q$6092)</f>
        <v>0</v>
      </c>
      <c r="J872" s="12">
        <f>LOOKUP(412010800,[1]PlanCuentas!$A$2:$A$6092,[1]PlanCuentas!Q$2:Q$6092)</f>
        <v>0</v>
      </c>
      <c r="K872" s="12">
        <f>LOOKUP(412010900,[1]PlanCuentas!$A$2:$A$6092,[1]PlanCuentas!Q$2:Q$6092)</f>
        <v>0</v>
      </c>
      <c r="L872" s="12">
        <f>LOOKUP(412011000,[1]PlanCuentas!$A$2:$A$6092,[1]PlanCuentas!Q$2:Q$6092)</f>
        <v>0</v>
      </c>
      <c r="M872" s="12">
        <f>LOOKUP(412011100,[1]PlanCuentas!$A$2:$A$6092,[1]PlanCuentas!Q$2:Q$6092)</f>
        <v>0</v>
      </c>
      <c r="N872" s="12">
        <f>LOOKUP(412011200,[1]PlanCuentas!$A$2:$A$6092,[1]PlanCuentas!Q$2:Q$6092)</f>
        <v>0</v>
      </c>
      <c r="O872" s="12">
        <f>LOOKUP(412011300,[1]PlanCuentas!$A$2:$A$6092,[1]PlanCuentas!Q$2:Q$6092)</f>
        <v>0</v>
      </c>
      <c r="P872" s="12">
        <f>LOOKUP(412012000,[1]PlanCuentas!$A$2:$A$6092,[1]PlanCuentas!Q$2:Q$6092)</f>
        <v>0</v>
      </c>
      <c r="Q872" s="13">
        <f t="shared" si="44"/>
        <v>0</v>
      </c>
    </row>
    <row r="873" spans="1:17" x14ac:dyDescent="0.2">
      <c r="A873" s="10">
        <v>16</v>
      </c>
      <c r="B873" s="11" t="str">
        <f>[1]Aseguradoras!B17</f>
        <v>El Sol Del Paraguay Compañía de Seguros y Reaseguros S.A.</v>
      </c>
      <c r="C873" s="12">
        <f>LOOKUP(412010100,[1]PlanCuentas!$A$2:$A$6092,[1]PlanCuentas!R$2:R$6092)</f>
        <v>0</v>
      </c>
      <c r="D873" s="12">
        <f>LOOKUP(412010200,[1]PlanCuentas!$A$2:$A$6092,[1]PlanCuentas!R$2:R$6092)</f>
        <v>0</v>
      </c>
      <c r="E873" s="12">
        <f>LOOKUP(412010300,[1]PlanCuentas!$A$2:$A$6092,[1]PlanCuentas!R$2:R$6092)</f>
        <v>0</v>
      </c>
      <c r="F873" s="12">
        <f>LOOKUP(412010400,[1]PlanCuentas!$A$2:$A$6092,[1]PlanCuentas!R$2:R$6092)</f>
        <v>0</v>
      </c>
      <c r="G873" s="12">
        <f>LOOKUP(412010500,[1]PlanCuentas!$A$2:$A$6092,[1]PlanCuentas!R$2:R$6092)</f>
        <v>0</v>
      </c>
      <c r="H873" s="12">
        <f>LOOKUP(412010600,[1]PlanCuentas!$A$2:$A$6092,[1]PlanCuentas!R$2:R$6092)</f>
        <v>0</v>
      </c>
      <c r="I873" s="12">
        <f>LOOKUP(412010700,[1]PlanCuentas!$A$2:$A$6092,[1]PlanCuentas!R$2:R$6092)</f>
        <v>0</v>
      </c>
      <c r="J873" s="12">
        <f>LOOKUP(412010800,[1]PlanCuentas!$A$2:$A$6092,[1]PlanCuentas!R$2:R$6092)</f>
        <v>0</v>
      </c>
      <c r="K873" s="12">
        <f>LOOKUP(412010900,[1]PlanCuentas!$A$2:$A$6092,[1]PlanCuentas!R$2:R$6092)</f>
        <v>0</v>
      </c>
      <c r="L873" s="12">
        <f>LOOKUP(412011000,[1]PlanCuentas!$A$2:$A$6092,[1]PlanCuentas!R$2:R$6092)</f>
        <v>0</v>
      </c>
      <c r="M873" s="12">
        <f>LOOKUP(412011100,[1]PlanCuentas!$A$2:$A$6092,[1]PlanCuentas!R$2:R$6092)</f>
        <v>0</v>
      </c>
      <c r="N873" s="12">
        <f>LOOKUP(412011200,[1]PlanCuentas!$A$2:$A$6092,[1]PlanCuentas!R$2:R$6092)</f>
        <v>0</v>
      </c>
      <c r="O873" s="12">
        <f>LOOKUP(412011300,[1]PlanCuentas!$A$2:$A$6092,[1]PlanCuentas!R$2:R$6092)</f>
        <v>0</v>
      </c>
      <c r="P873" s="12">
        <f>LOOKUP(412012000,[1]PlanCuentas!$A$2:$A$6092,[1]PlanCuentas!R$2:R$6092)</f>
        <v>0</v>
      </c>
      <c r="Q873" s="13">
        <f t="shared" si="44"/>
        <v>0</v>
      </c>
    </row>
    <row r="874" spans="1:17" x14ac:dyDescent="0.2">
      <c r="A874" s="10">
        <v>17</v>
      </c>
      <c r="B874" s="11" t="str">
        <f>[1]Aseguradoras!B18</f>
        <v>Intercontinental de Seguros y Reaseguros S.A.</v>
      </c>
      <c r="C874" s="12">
        <f>LOOKUP(412010100,[1]PlanCuentas!$A$2:$A$6092,[1]PlanCuentas!S$2:S$6092)</f>
        <v>0</v>
      </c>
      <c r="D874" s="12">
        <f>LOOKUP(412010200,[1]PlanCuentas!$A$2:$A$6092,[1]PlanCuentas!S$2:S$6092)</f>
        <v>0</v>
      </c>
      <c r="E874" s="12">
        <f>LOOKUP(412010300,[1]PlanCuentas!$A$2:$A$6092,[1]PlanCuentas!S$2:S$6092)</f>
        <v>0</v>
      </c>
      <c r="F874" s="12">
        <f>LOOKUP(412010400,[1]PlanCuentas!$A$2:$A$6092,[1]PlanCuentas!S$2:S$6092)</f>
        <v>0</v>
      </c>
      <c r="G874" s="12">
        <f>LOOKUP(412010500,[1]PlanCuentas!$A$2:$A$6092,[1]PlanCuentas!S$2:S$6092)</f>
        <v>0</v>
      </c>
      <c r="H874" s="12">
        <f>LOOKUP(412010600,[1]PlanCuentas!$A$2:$A$6092,[1]PlanCuentas!S$2:S$6092)</f>
        <v>0</v>
      </c>
      <c r="I874" s="12">
        <f>LOOKUP(412010700,[1]PlanCuentas!$A$2:$A$6092,[1]PlanCuentas!S$2:S$6092)</f>
        <v>0</v>
      </c>
      <c r="J874" s="12">
        <f>LOOKUP(412010800,[1]PlanCuentas!$A$2:$A$6092,[1]PlanCuentas!S$2:S$6092)</f>
        <v>0</v>
      </c>
      <c r="K874" s="12">
        <f>LOOKUP(412010900,[1]PlanCuentas!$A$2:$A$6092,[1]PlanCuentas!S$2:S$6092)</f>
        <v>0</v>
      </c>
      <c r="L874" s="12">
        <f>LOOKUP(412011000,[1]PlanCuentas!$A$2:$A$6092,[1]PlanCuentas!S$2:S$6092)</f>
        <v>0</v>
      </c>
      <c r="M874" s="12">
        <f>LOOKUP(412011100,[1]PlanCuentas!$A$2:$A$6092,[1]PlanCuentas!S$2:S$6092)</f>
        <v>0</v>
      </c>
      <c r="N874" s="12">
        <f>LOOKUP(412011200,[1]PlanCuentas!$A$2:$A$6092,[1]PlanCuentas!S$2:S$6092)</f>
        <v>0</v>
      </c>
      <c r="O874" s="12">
        <f>LOOKUP(412011300,[1]PlanCuentas!$A$2:$A$6092,[1]PlanCuentas!S$2:S$6092)</f>
        <v>0</v>
      </c>
      <c r="P874" s="12">
        <f>LOOKUP(412012000,[1]PlanCuentas!$A$2:$A$6092,[1]PlanCuentas!S$2:S$6092)</f>
        <v>0</v>
      </c>
      <c r="Q874" s="13">
        <f t="shared" si="44"/>
        <v>0</v>
      </c>
    </row>
    <row r="875" spans="1:17" x14ac:dyDescent="0.2">
      <c r="A875" s="10">
        <v>18</v>
      </c>
      <c r="B875" s="11" t="str">
        <f>[1]Aseguradoras!B19</f>
        <v>Seguridad S.A Compañía de Seguros</v>
      </c>
      <c r="C875" s="12">
        <f>LOOKUP(412010100,[1]PlanCuentas!$A$2:$A$6092,[1]PlanCuentas!T$2:T$6092)</f>
        <v>0</v>
      </c>
      <c r="D875" s="12">
        <f>LOOKUP(412010200,[1]PlanCuentas!$A$2:$A$6092,[1]PlanCuentas!T$2:T$6092)</f>
        <v>0</v>
      </c>
      <c r="E875" s="12">
        <f>LOOKUP(412010300,[1]PlanCuentas!$A$2:$A$6092,[1]PlanCuentas!T$2:T$6092)</f>
        <v>0</v>
      </c>
      <c r="F875" s="12">
        <f>LOOKUP(412010400,[1]PlanCuentas!$A$2:$A$6092,[1]PlanCuentas!T$2:T$6092)</f>
        <v>0</v>
      </c>
      <c r="G875" s="12">
        <f>LOOKUP(412010500,[1]PlanCuentas!$A$2:$A$6092,[1]PlanCuentas!T$2:T$6092)</f>
        <v>0</v>
      </c>
      <c r="H875" s="12">
        <f>LOOKUP(412010600,[1]PlanCuentas!$A$2:$A$6092,[1]PlanCuentas!T$2:T$6092)</f>
        <v>0</v>
      </c>
      <c r="I875" s="12">
        <f>LOOKUP(412010700,[1]PlanCuentas!$A$2:$A$6092,[1]PlanCuentas!T$2:T$6092)</f>
        <v>0</v>
      </c>
      <c r="J875" s="12">
        <f>LOOKUP(412010800,[1]PlanCuentas!$A$2:$A$6092,[1]PlanCuentas!T$2:T$6092)</f>
        <v>0</v>
      </c>
      <c r="K875" s="12">
        <f>LOOKUP(412010900,[1]PlanCuentas!$A$2:$A$6092,[1]PlanCuentas!T$2:T$6092)</f>
        <v>0</v>
      </c>
      <c r="L875" s="12">
        <f>LOOKUP(412011000,[1]PlanCuentas!$A$2:$A$6092,[1]PlanCuentas!T$2:T$6092)</f>
        <v>0</v>
      </c>
      <c r="M875" s="12">
        <f>LOOKUP(412011100,[1]PlanCuentas!$A$2:$A$6092,[1]PlanCuentas!T$2:T$6092)</f>
        <v>0</v>
      </c>
      <c r="N875" s="12">
        <f>LOOKUP(412011200,[1]PlanCuentas!$A$2:$A$6092,[1]PlanCuentas!T$2:T$6092)</f>
        <v>0</v>
      </c>
      <c r="O875" s="12">
        <f>LOOKUP(412011300,[1]PlanCuentas!$A$2:$A$6092,[1]PlanCuentas!T$2:T$6092)</f>
        <v>0</v>
      </c>
      <c r="P875" s="12">
        <f>LOOKUP(412012000,[1]PlanCuentas!$A$2:$A$6092,[1]PlanCuentas!T$2:T$6092)</f>
        <v>0</v>
      </c>
      <c r="Q875" s="13">
        <f t="shared" si="44"/>
        <v>0</v>
      </c>
    </row>
    <row r="876" spans="1:17" x14ac:dyDescent="0.2">
      <c r="A876" s="10">
        <v>19</v>
      </c>
      <c r="B876" s="11" t="str">
        <f>[1]Aseguradoras!B20</f>
        <v>Universo de Seguros y Reaseguros S.A.</v>
      </c>
      <c r="C876" s="12">
        <f>LOOKUP(412010100,[1]PlanCuentas!$A$2:$A$6092,[1]PlanCuentas!U$2:U$6092)</f>
        <v>0</v>
      </c>
      <c r="D876" s="12">
        <f>LOOKUP(412010200,[1]PlanCuentas!$A$2:$A$6092,[1]PlanCuentas!U$2:U$6092)</f>
        <v>0</v>
      </c>
      <c r="E876" s="12">
        <f>LOOKUP(412010300,[1]PlanCuentas!$A$2:$A$6092,[1]PlanCuentas!U$2:U$6092)</f>
        <v>0</v>
      </c>
      <c r="F876" s="12">
        <f>LOOKUP(412010400,[1]PlanCuentas!$A$2:$A$6092,[1]PlanCuentas!U$2:U$6092)</f>
        <v>0</v>
      </c>
      <c r="G876" s="12">
        <f>LOOKUP(412010500,[1]PlanCuentas!$A$2:$A$6092,[1]PlanCuentas!U$2:U$6092)</f>
        <v>0</v>
      </c>
      <c r="H876" s="12">
        <f>LOOKUP(412010600,[1]PlanCuentas!$A$2:$A$6092,[1]PlanCuentas!U$2:U$6092)</f>
        <v>0</v>
      </c>
      <c r="I876" s="12">
        <f>LOOKUP(412010700,[1]PlanCuentas!$A$2:$A$6092,[1]PlanCuentas!U$2:U$6092)</f>
        <v>0</v>
      </c>
      <c r="J876" s="12">
        <f>LOOKUP(412010800,[1]PlanCuentas!$A$2:$A$6092,[1]PlanCuentas!U$2:U$6092)</f>
        <v>0</v>
      </c>
      <c r="K876" s="12">
        <f>LOOKUP(412010900,[1]PlanCuentas!$A$2:$A$6092,[1]PlanCuentas!U$2:U$6092)</f>
        <v>0</v>
      </c>
      <c r="L876" s="12">
        <f>LOOKUP(412011000,[1]PlanCuentas!$A$2:$A$6092,[1]PlanCuentas!U$2:U$6092)</f>
        <v>0</v>
      </c>
      <c r="M876" s="12">
        <f>LOOKUP(412011100,[1]PlanCuentas!$A$2:$A$6092,[1]PlanCuentas!U$2:U$6092)</f>
        <v>0</v>
      </c>
      <c r="N876" s="12">
        <f>LOOKUP(412011200,[1]PlanCuentas!$A$2:$A$6092,[1]PlanCuentas!U$2:U$6092)</f>
        <v>0</v>
      </c>
      <c r="O876" s="12">
        <f>LOOKUP(412011300,[1]PlanCuentas!$A$2:$A$6092,[1]PlanCuentas!U$2:U$6092)</f>
        <v>0</v>
      </c>
      <c r="P876" s="12">
        <f>LOOKUP(412012000,[1]PlanCuentas!$A$2:$A$6092,[1]PlanCuentas!U$2:U$6092)</f>
        <v>0</v>
      </c>
      <c r="Q876" s="13">
        <f t="shared" si="44"/>
        <v>0</v>
      </c>
    </row>
    <row r="877" spans="1:17" x14ac:dyDescent="0.2">
      <c r="A877" s="10">
        <v>20</v>
      </c>
      <c r="B877" s="11" t="str">
        <f>[1]Aseguradoras!B21</f>
        <v>Aseguradora Yacyreta S.A de Seguros y Reaseguros</v>
      </c>
      <c r="C877" s="12">
        <f>LOOKUP(412010100,[1]PlanCuentas!$A$2:$A$6092,[1]PlanCuentas!V$2:V$6092)</f>
        <v>0</v>
      </c>
      <c r="D877" s="12">
        <f>LOOKUP(412010200,[1]PlanCuentas!$A$2:$A$6092,[1]PlanCuentas!V$2:V$6092)</f>
        <v>0</v>
      </c>
      <c r="E877" s="12">
        <f>LOOKUP(412010300,[1]PlanCuentas!$A$2:$A$6092,[1]PlanCuentas!V$2:V$6092)</f>
        <v>0</v>
      </c>
      <c r="F877" s="12">
        <f>LOOKUP(412010400,[1]PlanCuentas!$A$2:$A$6092,[1]PlanCuentas!V$2:V$6092)</f>
        <v>0</v>
      </c>
      <c r="G877" s="12">
        <f>LOOKUP(412010500,[1]PlanCuentas!$A$2:$A$6092,[1]PlanCuentas!V$2:V$6092)</f>
        <v>0</v>
      </c>
      <c r="H877" s="12">
        <f>LOOKUP(412010600,[1]PlanCuentas!$A$2:$A$6092,[1]PlanCuentas!V$2:V$6092)</f>
        <v>0</v>
      </c>
      <c r="I877" s="12">
        <f>LOOKUP(412010700,[1]PlanCuentas!$A$2:$A$6092,[1]PlanCuentas!V$2:V$6092)</f>
        <v>0</v>
      </c>
      <c r="J877" s="12">
        <f>LOOKUP(412010800,[1]PlanCuentas!$A$2:$A$6092,[1]PlanCuentas!V$2:V$6092)</f>
        <v>0</v>
      </c>
      <c r="K877" s="12">
        <f>LOOKUP(412010900,[1]PlanCuentas!$A$2:$A$6092,[1]PlanCuentas!V$2:V$6092)</f>
        <v>0</v>
      </c>
      <c r="L877" s="12">
        <f>LOOKUP(412011000,[1]PlanCuentas!$A$2:$A$6092,[1]PlanCuentas!V$2:V$6092)</f>
        <v>0</v>
      </c>
      <c r="M877" s="12">
        <f>LOOKUP(412011100,[1]PlanCuentas!$A$2:$A$6092,[1]PlanCuentas!V$2:V$6092)</f>
        <v>0</v>
      </c>
      <c r="N877" s="12">
        <f>LOOKUP(412011200,[1]PlanCuentas!$A$2:$A$6092,[1]PlanCuentas!V$2:V$6092)</f>
        <v>0</v>
      </c>
      <c r="O877" s="12">
        <f>LOOKUP(412011300,[1]PlanCuentas!$A$2:$A$6092,[1]PlanCuentas!V$2:V$6092)</f>
        <v>0</v>
      </c>
      <c r="P877" s="12">
        <f>LOOKUP(412012000,[1]PlanCuentas!$A$2:$A$6092,[1]PlanCuentas!V$2:V$6092)</f>
        <v>0</v>
      </c>
      <c r="Q877" s="13">
        <f t="shared" si="44"/>
        <v>0</v>
      </c>
    </row>
    <row r="878" spans="1:17" x14ac:dyDescent="0.2">
      <c r="A878" s="10">
        <v>21</v>
      </c>
      <c r="B878" s="11" t="str">
        <f>[1]Aseguradoras!B22</f>
        <v>La Agricola S.A de Seguros y Reaseguros</v>
      </c>
      <c r="C878" s="12">
        <f>LOOKUP(412010100,[1]PlanCuentas!$A$2:$A$6092,[1]PlanCuentas!W$2:W$6092)</f>
        <v>0</v>
      </c>
      <c r="D878" s="12">
        <f>LOOKUP(412010200,[1]PlanCuentas!$A$2:$A$6092,[1]PlanCuentas!W$2:W$6092)</f>
        <v>0</v>
      </c>
      <c r="E878" s="12">
        <f>LOOKUP(412010300,[1]PlanCuentas!$A$2:$A$6092,[1]PlanCuentas!W$2:W$6092)</f>
        <v>0</v>
      </c>
      <c r="F878" s="12">
        <f>LOOKUP(412010400,[1]PlanCuentas!$A$2:$A$6092,[1]PlanCuentas!W$2:W$6092)</f>
        <v>0</v>
      </c>
      <c r="G878" s="12">
        <f>LOOKUP(412010500,[1]PlanCuentas!$A$2:$A$6092,[1]PlanCuentas!W$2:W$6092)</f>
        <v>0</v>
      </c>
      <c r="H878" s="12">
        <f>LOOKUP(412010600,[1]PlanCuentas!$A$2:$A$6092,[1]PlanCuentas!W$2:W$6092)</f>
        <v>0</v>
      </c>
      <c r="I878" s="12">
        <f>LOOKUP(412010700,[1]PlanCuentas!$A$2:$A$6092,[1]PlanCuentas!W$2:W$6092)</f>
        <v>0</v>
      </c>
      <c r="J878" s="12">
        <f>LOOKUP(412010800,[1]PlanCuentas!$A$2:$A$6092,[1]PlanCuentas!W$2:W$6092)</f>
        <v>0</v>
      </c>
      <c r="K878" s="12">
        <f>LOOKUP(412010900,[1]PlanCuentas!$A$2:$A$6092,[1]PlanCuentas!W$2:W$6092)</f>
        <v>0</v>
      </c>
      <c r="L878" s="12">
        <f>LOOKUP(412011000,[1]PlanCuentas!$A$2:$A$6092,[1]PlanCuentas!W$2:W$6092)</f>
        <v>0</v>
      </c>
      <c r="M878" s="12">
        <f>LOOKUP(412011100,[1]PlanCuentas!$A$2:$A$6092,[1]PlanCuentas!W$2:W$6092)</f>
        <v>0</v>
      </c>
      <c r="N878" s="12">
        <f>LOOKUP(412011200,[1]PlanCuentas!$A$2:$A$6092,[1]PlanCuentas!W$2:W$6092)</f>
        <v>0</v>
      </c>
      <c r="O878" s="12">
        <f>LOOKUP(412011300,[1]PlanCuentas!$A$2:$A$6092,[1]PlanCuentas!W$2:W$6092)</f>
        <v>0</v>
      </c>
      <c r="P878" s="12">
        <f>LOOKUP(412012000,[1]PlanCuentas!$A$2:$A$6092,[1]PlanCuentas!W$2:W$6092)</f>
        <v>0</v>
      </c>
      <c r="Q878" s="13">
        <f t="shared" si="44"/>
        <v>0</v>
      </c>
    </row>
    <row r="879" spans="1:17" x14ac:dyDescent="0.2">
      <c r="A879" s="10">
        <v>22</v>
      </c>
      <c r="B879" s="11" t="str">
        <f>[1]Aseguradoras!B23</f>
        <v>Grupo General de Seguros y Reaseguros S.A.</v>
      </c>
      <c r="C879" s="12">
        <f>LOOKUP(412010100,[1]PlanCuentas!$A$2:$A$6092,[1]PlanCuentas!X$2:X$6092)</f>
        <v>0</v>
      </c>
      <c r="D879" s="12">
        <f>LOOKUP(412010200,[1]PlanCuentas!$A$2:$A$6092,[1]PlanCuentas!X$2:X$6092)</f>
        <v>0</v>
      </c>
      <c r="E879" s="12">
        <f>LOOKUP(412010300,[1]PlanCuentas!$A$2:$A$6092,[1]PlanCuentas!X$2:X$6092)</f>
        <v>0</v>
      </c>
      <c r="F879" s="12">
        <f>LOOKUP(412010400,[1]PlanCuentas!$A$2:$A$6092,[1]PlanCuentas!X$2:X$6092)</f>
        <v>0</v>
      </c>
      <c r="G879" s="12">
        <f>LOOKUP(412010500,[1]PlanCuentas!$A$2:$A$6092,[1]PlanCuentas!X$2:X$6092)</f>
        <v>0</v>
      </c>
      <c r="H879" s="12">
        <f>LOOKUP(412010600,[1]PlanCuentas!$A$2:$A$6092,[1]PlanCuentas!X$2:X$6092)</f>
        <v>0</v>
      </c>
      <c r="I879" s="12">
        <f>LOOKUP(412010700,[1]PlanCuentas!$A$2:$A$6092,[1]PlanCuentas!X$2:X$6092)</f>
        <v>0</v>
      </c>
      <c r="J879" s="12">
        <f>LOOKUP(412010800,[1]PlanCuentas!$A$2:$A$6092,[1]PlanCuentas!X$2:X$6092)</f>
        <v>0</v>
      </c>
      <c r="K879" s="12">
        <f>LOOKUP(412010900,[1]PlanCuentas!$A$2:$A$6092,[1]PlanCuentas!X$2:X$6092)</f>
        <v>0</v>
      </c>
      <c r="L879" s="12">
        <f>LOOKUP(412011000,[1]PlanCuentas!$A$2:$A$6092,[1]PlanCuentas!X$2:X$6092)</f>
        <v>0</v>
      </c>
      <c r="M879" s="12">
        <f>LOOKUP(412011100,[1]PlanCuentas!$A$2:$A$6092,[1]PlanCuentas!X$2:X$6092)</f>
        <v>0</v>
      </c>
      <c r="N879" s="12">
        <f>LOOKUP(412011200,[1]PlanCuentas!$A$2:$A$6092,[1]PlanCuentas!X$2:X$6092)</f>
        <v>0</v>
      </c>
      <c r="O879" s="12">
        <f>LOOKUP(412011300,[1]PlanCuentas!$A$2:$A$6092,[1]PlanCuentas!X$2:X$6092)</f>
        <v>0</v>
      </c>
      <c r="P879" s="12">
        <f>LOOKUP(412012000,[1]PlanCuentas!$A$2:$A$6092,[1]PlanCuentas!X$2:X$6092)</f>
        <v>0</v>
      </c>
      <c r="Q879" s="13">
        <f t="shared" si="44"/>
        <v>0</v>
      </c>
    </row>
    <row r="880" spans="1:17" x14ac:dyDescent="0.2">
      <c r="A880" s="10">
        <v>23</v>
      </c>
      <c r="B880" s="11" t="str">
        <f>[1]Aseguradoras!B24</f>
        <v>Alfa S.A de Seguros y Reaseguros</v>
      </c>
      <c r="C880" s="12">
        <f>LOOKUP(412010100,[1]PlanCuentas!$A$2:$A$6092,[1]PlanCuentas!Y$2:Y$6092)</f>
        <v>0</v>
      </c>
      <c r="D880" s="12">
        <f>LOOKUP(412010200,[1]PlanCuentas!$A$2:$A$6092,[1]PlanCuentas!Y$2:Y$6092)</f>
        <v>0</v>
      </c>
      <c r="E880" s="12">
        <f>LOOKUP(412010300,[1]PlanCuentas!$A$2:$A$6092,[1]PlanCuentas!Y$2:Y$6092)</f>
        <v>0</v>
      </c>
      <c r="F880" s="12">
        <f>LOOKUP(412010400,[1]PlanCuentas!$A$2:$A$6092,[1]PlanCuentas!Y$2:Y$6092)</f>
        <v>0</v>
      </c>
      <c r="G880" s="12">
        <f>LOOKUP(412010500,[1]PlanCuentas!$A$2:$A$6092,[1]PlanCuentas!Y$2:Y$6092)</f>
        <v>0</v>
      </c>
      <c r="H880" s="12">
        <f>LOOKUP(412010600,[1]PlanCuentas!$A$2:$A$6092,[1]PlanCuentas!Y$2:Y$6092)</f>
        <v>0</v>
      </c>
      <c r="I880" s="12">
        <f>LOOKUP(412010700,[1]PlanCuentas!$A$2:$A$6092,[1]PlanCuentas!Y$2:Y$6092)</f>
        <v>0</v>
      </c>
      <c r="J880" s="12">
        <f>LOOKUP(412010800,[1]PlanCuentas!$A$2:$A$6092,[1]PlanCuentas!Y$2:Y$6092)</f>
        <v>0</v>
      </c>
      <c r="K880" s="12">
        <f>LOOKUP(412010900,[1]PlanCuentas!$A$2:$A$6092,[1]PlanCuentas!Y$2:Y$6092)</f>
        <v>0</v>
      </c>
      <c r="L880" s="12">
        <f>LOOKUP(412011000,[1]PlanCuentas!$A$2:$A$6092,[1]PlanCuentas!Y$2:Y$6092)</f>
        <v>0</v>
      </c>
      <c r="M880" s="12">
        <f>LOOKUP(412011100,[1]PlanCuentas!$A$2:$A$6092,[1]PlanCuentas!Y$2:Y$6092)</f>
        <v>0</v>
      </c>
      <c r="N880" s="12">
        <f>LOOKUP(412011200,[1]PlanCuentas!$A$2:$A$6092,[1]PlanCuentas!Y$2:Y$6092)</f>
        <v>0</v>
      </c>
      <c r="O880" s="12">
        <f>LOOKUP(412011300,[1]PlanCuentas!$A$2:$A$6092,[1]PlanCuentas!Y$2:Y$6092)</f>
        <v>0</v>
      </c>
      <c r="P880" s="12">
        <f>LOOKUP(412012000,[1]PlanCuentas!$A$2:$A$6092,[1]PlanCuentas!Y$2:Y$6092)</f>
        <v>0</v>
      </c>
      <c r="Q880" s="13">
        <f t="shared" si="44"/>
        <v>0</v>
      </c>
    </row>
    <row r="881" spans="1:29" x14ac:dyDescent="0.2">
      <c r="A881" s="10">
        <v>24</v>
      </c>
      <c r="B881" s="11" t="str">
        <f>[1]Aseguradoras!B25</f>
        <v>Cenit de Seguros S.A.</v>
      </c>
      <c r="C881" s="12">
        <f>LOOKUP(412010100,[1]PlanCuentas!$A$2:$A$6092,[1]PlanCuentas!Z$2:Z$6092)</f>
        <v>0</v>
      </c>
      <c r="D881" s="12">
        <f>LOOKUP(412010200,[1]PlanCuentas!$A$2:$A$6092,[1]PlanCuentas!Z$2:Z$6092)</f>
        <v>0</v>
      </c>
      <c r="E881" s="12">
        <f>LOOKUP(412010300,[1]PlanCuentas!$A$2:$A$6092,[1]PlanCuentas!Z$2:Z$6092)</f>
        <v>0</v>
      </c>
      <c r="F881" s="12">
        <f>LOOKUP(412010400,[1]PlanCuentas!$A$2:$A$6092,[1]PlanCuentas!Z$2:Z$6092)</f>
        <v>0</v>
      </c>
      <c r="G881" s="12">
        <f>LOOKUP(412010500,[1]PlanCuentas!$A$2:$A$6092,[1]PlanCuentas!Z$2:Z$6092)</f>
        <v>0</v>
      </c>
      <c r="H881" s="12">
        <f>LOOKUP(412010600,[1]PlanCuentas!$A$2:$A$6092,[1]PlanCuentas!Z$2:Z$6092)</f>
        <v>0</v>
      </c>
      <c r="I881" s="12">
        <f>LOOKUP(412010700,[1]PlanCuentas!$A$2:$A$6092,[1]PlanCuentas!Z$2:Z$6092)</f>
        <v>0</v>
      </c>
      <c r="J881" s="12">
        <f>LOOKUP(412010800,[1]PlanCuentas!$A$2:$A$6092,[1]PlanCuentas!Z$2:Z$6092)</f>
        <v>0</v>
      </c>
      <c r="K881" s="12">
        <f>LOOKUP(412010900,[1]PlanCuentas!$A$2:$A$6092,[1]PlanCuentas!Z$2:Z$6092)</f>
        <v>0</v>
      </c>
      <c r="L881" s="12">
        <f>LOOKUP(412011000,[1]PlanCuentas!$A$2:$A$6092,[1]PlanCuentas!Z$2:Z$6092)</f>
        <v>0</v>
      </c>
      <c r="M881" s="12">
        <f>LOOKUP(412011100,[1]PlanCuentas!$A$2:$A$6092,[1]PlanCuentas!Z$2:Z$6092)</f>
        <v>0</v>
      </c>
      <c r="N881" s="12">
        <f>LOOKUP(412011200,[1]PlanCuentas!$A$2:$A$6092,[1]PlanCuentas!Z$2:Z$6092)</f>
        <v>0</v>
      </c>
      <c r="O881" s="12">
        <f>LOOKUP(412011300,[1]PlanCuentas!$A$2:$A$6092,[1]PlanCuentas!Z$2:Z$6092)</f>
        <v>0</v>
      </c>
      <c r="P881" s="12">
        <f>LOOKUP(412012000,[1]PlanCuentas!$A$2:$A$6092,[1]PlanCuentas!Z$2:Z$6092)</f>
        <v>0</v>
      </c>
      <c r="Q881" s="13">
        <f t="shared" si="44"/>
        <v>0</v>
      </c>
    </row>
    <row r="882" spans="1:29" x14ac:dyDescent="0.2">
      <c r="A882" s="10">
        <v>25</v>
      </c>
      <c r="B882" s="11" t="str">
        <f>[1]Aseguradoras!B26</f>
        <v>La Meridional Paraguaya S.A de Seguros</v>
      </c>
      <c r="C882" s="12">
        <f>LOOKUP(412010100,[1]PlanCuentas!$A$2:$A$6092,[1]PlanCuentas!AA$2:AA$6092)</f>
        <v>0</v>
      </c>
      <c r="D882" s="12">
        <f>LOOKUP(412010200,[1]PlanCuentas!$A$2:$A$6092,[1]PlanCuentas!AA$2:AA$6092)</f>
        <v>0</v>
      </c>
      <c r="E882" s="12">
        <f>LOOKUP(412010300,[1]PlanCuentas!$A$2:$A$6092,[1]PlanCuentas!AA$2:AA$6092)</f>
        <v>0</v>
      </c>
      <c r="F882" s="12">
        <f>LOOKUP(412010400,[1]PlanCuentas!$A$2:$A$6092,[1]PlanCuentas!AA$2:AA$6092)</f>
        <v>0</v>
      </c>
      <c r="G882" s="12">
        <f>LOOKUP(412010500,[1]PlanCuentas!$A$2:$A$6092,[1]PlanCuentas!AA$2:AA$6092)</f>
        <v>0</v>
      </c>
      <c r="H882" s="12">
        <f>LOOKUP(412010600,[1]PlanCuentas!$A$2:$A$6092,[1]PlanCuentas!AA$2:AA$6092)</f>
        <v>0</v>
      </c>
      <c r="I882" s="12">
        <f>LOOKUP(412010700,[1]PlanCuentas!$A$2:$A$6092,[1]PlanCuentas!AA$2:AA$6092)</f>
        <v>0</v>
      </c>
      <c r="J882" s="12">
        <f>LOOKUP(412010800,[1]PlanCuentas!$A$2:$A$6092,[1]PlanCuentas!AA$2:AA$6092)</f>
        <v>0</v>
      </c>
      <c r="K882" s="12">
        <f>LOOKUP(412010900,[1]PlanCuentas!$A$2:$A$6092,[1]PlanCuentas!AA$2:AA$6092)</f>
        <v>0</v>
      </c>
      <c r="L882" s="12">
        <f>LOOKUP(412011000,[1]PlanCuentas!$A$2:$A$6092,[1]PlanCuentas!AA$2:AA$6092)</f>
        <v>0</v>
      </c>
      <c r="M882" s="12">
        <f>LOOKUP(412011100,[1]PlanCuentas!$A$2:$A$6092,[1]PlanCuentas!AA$2:AA$6092)</f>
        <v>0</v>
      </c>
      <c r="N882" s="12">
        <f>LOOKUP(412011200,[1]PlanCuentas!$A$2:$A$6092,[1]PlanCuentas!AA$2:AA$6092)</f>
        <v>0</v>
      </c>
      <c r="O882" s="12">
        <f>LOOKUP(412011300,[1]PlanCuentas!$A$2:$A$6092,[1]PlanCuentas!AA$2:AA$6092)</f>
        <v>0</v>
      </c>
      <c r="P882" s="12">
        <f>LOOKUP(412012000,[1]PlanCuentas!$A$2:$A$6092,[1]PlanCuentas!AA$2:AA$6092)</f>
        <v>0</v>
      </c>
      <c r="Q882" s="13">
        <f t="shared" si="44"/>
        <v>0</v>
      </c>
    </row>
    <row r="883" spans="1:29" x14ac:dyDescent="0.2">
      <c r="A883" s="10">
        <v>26</v>
      </c>
      <c r="B883" s="11" t="str">
        <f>[1]Aseguradoras!B27</f>
        <v>Aseguradora Del Este S.A de Seguros y Reaseguros</v>
      </c>
      <c r="C883" s="12">
        <f>LOOKUP(412010100,[1]PlanCuentas!$A$2:$A$6092,[1]PlanCuentas!AB$2:AB$6092)</f>
        <v>0</v>
      </c>
      <c r="D883" s="12">
        <f>LOOKUP(412010200,[1]PlanCuentas!$A$2:$A$6092,[1]PlanCuentas!AB$2:AB$6092)</f>
        <v>0</v>
      </c>
      <c r="E883" s="12">
        <f>LOOKUP(412010300,[1]PlanCuentas!$A$2:$A$6092,[1]PlanCuentas!AB$2:AB$6092)</f>
        <v>0</v>
      </c>
      <c r="F883" s="12">
        <f>LOOKUP(412010400,[1]PlanCuentas!$A$2:$A$6092,[1]PlanCuentas!AB$2:AB$6092)</f>
        <v>0</v>
      </c>
      <c r="G883" s="12">
        <f>LOOKUP(412010500,[1]PlanCuentas!$A$2:$A$6092,[1]PlanCuentas!AB$2:AB$6092)</f>
        <v>0</v>
      </c>
      <c r="H883" s="12">
        <f>LOOKUP(412010600,[1]PlanCuentas!$A$2:$A$6092,[1]PlanCuentas!AB$2:AB$6092)</f>
        <v>0</v>
      </c>
      <c r="I883" s="12">
        <f>LOOKUP(412010700,[1]PlanCuentas!$A$2:$A$6092,[1]PlanCuentas!AB$2:AB$6092)</f>
        <v>0</v>
      </c>
      <c r="J883" s="12">
        <f>LOOKUP(412010800,[1]PlanCuentas!$A$2:$A$6092,[1]PlanCuentas!AB$2:AB$6092)</f>
        <v>0</v>
      </c>
      <c r="K883" s="12">
        <f>LOOKUP(412010900,[1]PlanCuentas!$A$2:$A$6092,[1]PlanCuentas!AB$2:AB$6092)</f>
        <v>0</v>
      </c>
      <c r="L883" s="12">
        <f>LOOKUP(412011000,[1]PlanCuentas!$A$2:$A$6092,[1]PlanCuentas!AB$2:AB$6092)</f>
        <v>0</v>
      </c>
      <c r="M883" s="12">
        <f>LOOKUP(412011100,[1]PlanCuentas!$A$2:$A$6092,[1]PlanCuentas!AB$2:AB$6092)</f>
        <v>0</v>
      </c>
      <c r="N883" s="12">
        <f>LOOKUP(412011200,[1]PlanCuentas!$A$2:$A$6092,[1]PlanCuentas!AB$2:AB$6092)</f>
        <v>0</v>
      </c>
      <c r="O883" s="12">
        <f>LOOKUP(412011300,[1]PlanCuentas!$A$2:$A$6092,[1]PlanCuentas!AB$2:AB$6092)</f>
        <v>0</v>
      </c>
      <c r="P883" s="12">
        <f>LOOKUP(412012000,[1]PlanCuentas!$A$2:$A$6092,[1]PlanCuentas!AB$2:AB$6092)</f>
        <v>0</v>
      </c>
      <c r="Q883" s="13">
        <f t="shared" si="44"/>
        <v>0</v>
      </c>
    </row>
    <row r="884" spans="1:29" x14ac:dyDescent="0.2">
      <c r="A884" s="10">
        <v>27</v>
      </c>
      <c r="B884" s="11" t="str">
        <f>[1]Aseguradoras!B28</f>
        <v>Imperio S.A de Seguros y Reaseguros</v>
      </c>
      <c r="C884" s="12">
        <f>LOOKUP(412010100,[1]PlanCuentas!$A$2:$A$6092,[1]PlanCuentas!AC$2:AC$6092)</f>
        <v>0</v>
      </c>
      <c r="D884" s="12">
        <f>LOOKUP(412010200,[1]PlanCuentas!$A$2:$A$6092,[1]PlanCuentas!AC$2:AC$6092)</f>
        <v>0</v>
      </c>
      <c r="E884" s="12">
        <f>LOOKUP(412010300,[1]PlanCuentas!$A$2:$A$6092,[1]PlanCuentas!AC$2:AC$6092)</f>
        <v>0</v>
      </c>
      <c r="F884" s="12">
        <f>LOOKUP(412010400,[1]PlanCuentas!$A$2:$A$6092,[1]PlanCuentas!AC$2:AC$6092)</f>
        <v>0</v>
      </c>
      <c r="G884" s="12">
        <f>LOOKUP(412010500,[1]PlanCuentas!$A$2:$A$6092,[1]PlanCuentas!AC$2:AC$6092)</f>
        <v>0</v>
      </c>
      <c r="H884" s="12">
        <f>LOOKUP(412010600,[1]PlanCuentas!$A$2:$A$6092,[1]PlanCuentas!AC$2:AC$6092)</f>
        <v>0</v>
      </c>
      <c r="I884" s="12">
        <f>LOOKUP(412010700,[1]PlanCuentas!$A$2:$A$6092,[1]PlanCuentas!AC$2:AC$6092)</f>
        <v>0</v>
      </c>
      <c r="J884" s="12">
        <f>LOOKUP(412010800,[1]PlanCuentas!$A$2:$A$6092,[1]PlanCuentas!AC$2:AC$6092)</f>
        <v>0</v>
      </c>
      <c r="K884" s="12">
        <f>LOOKUP(412010900,[1]PlanCuentas!$A$2:$A$6092,[1]PlanCuentas!AC$2:AC$6092)</f>
        <v>0</v>
      </c>
      <c r="L884" s="12">
        <f>LOOKUP(412011000,[1]PlanCuentas!$A$2:$A$6092,[1]PlanCuentas!AC$2:AC$6092)</f>
        <v>0</v>
      </c>
      <c r="M884" s="12">
        <f>LOOKUP(412011100,[1]PlanCuentas!$A$2:$A$6092,[1]PlanCuentas!AC$2:AC$6092)</f>
        <v>0</v>
      </c>
      <c r="N884" s="12">
        <f>LOOKUP(412011200,[1]PlanCuentas!$A$2:$A$6092,[1]PlanCuentas!AC$2:AC$6092)</f>
        <v>0</v>
      </c>
      <c r="O884" s="12">
        <f>LOOKUP(412011300,[1]PlanCuentas!$A$2:$A$6092,[1]PlanCuentas!AC$2:AC$6092)</f>
        <v>0</v>
      </c>
      <c r="P884" s="12">
        <f>LOOKUP(412012000,[1]PlanCuentas!$A$2:$A$6092,[1]PlanCuentas!AC$2:AC$6092)</f>
        <v>0</v>
      </c>
      <c r="Q884" s="13">
        <f t="shared" si="44"/>
        <v>0</v>
      </c>
    </row>
    <row r="885" spans="1:29" x14ac:dyDescent="0.2">
      <c r="A885" s="10">
        <v>28</v>
      </c>
      <c r="B885" s="11" t="str">
        <f>[1]Aseguradoras!B29</f>
        <v>Regional S.A de Seguros y Reaseguros</v>
      </c>
      <c r="C885" s="12">
        <f>LOOKUP(412010100,[1]PlanCuentas!$A$2:$A$6092,[1]PlanCuentas!AD$2:AD$6092)</f>
        <v>0</v>
      </c>
      <c r="D885" s="12">
        <f>LOOKUP(412010200,[1]PlanCuentas!$A$2:$A$6092,[1]PlanCuentas!AD$2:AD$6092)</f>
        <v>0</v>
      </c>
      <c r="E885" s="12">
        <f>LOOKUP(412010300,[1]PlanCuentas!$A$2:$A$6092,[1]PlanCuentas!AD$2:AD$6092)</f>
        <v>0</v>
      </c>
      <c r="F885" s="12">
        <f>LOOKUP(412010400,[1]PlanCuentas!$A$2:$A$6092,[1]PlanCuentas!AD$2:AD$6092)</f>
        <v>0</v>
      </c>
      <c r="G885" s="12">
        <f>LOOKUP(412010500,[1]PlanCuentas!$A$2:$A$6092,[1]PlanCuentas!AD$2:AD$6092)</f>
        <v>0</v>
      </c>
      <c r="H885" s="12">
        <f>LOOKUP(412010600,[1]PlanCuentas!$A$2:$A$6092,[1]PlanCuentas!AD$2:AD$6092)</f>
        <v>0</v>
      </c>
      <c r="I885" s="12">
        <f>LOOKUP(412010700,[1]PlanCuentas!$A$2:$A$6092,[1]PlanCuentas!AD$2:AD$6092)</f>
        <v>0</v>
      </c>
      <c r="J885" s="12">
        <f>LOOKUP(412010800,[1]PlanCuentas!$A$2:$A$6092,[1]PlanCuentas!AD$2:AD$6092)</f>
        <v>0</v>
      </c>
      <c r="K885" s="12">
        <f>LOOKUP(412010900,[1]PlanCuentas!$A$2:$A$6092,[1]PlanCuentas!AD$2:AD$6092)</f>
        <v>0</v>
      </c>
      <c r="L885" s="12">
        <f>LOOKUP(412011000,[1]PlanCuentas!$A$2:$A$6092,[1]PlanCuentas!AD$2:AD$6092)</f>
        <v>0</v>
      </c>
      <c r="M885" s="12">
        <f>LOOKUP(412011100,[1]PlanCuentas!$A$2:$A$6092,[1]PlanCuentas!AD$2:AD$6092)</f>
        <v>0</v>
      </c>
      <c r="N885" s="12">
        <f>LOOKUP(412011200,[1]PlanCuentas!$A$2:$A$6092,[1]PlanCuentas!AD$2:AD$6092)</f>
        <v>0</v>
      </c>
      <c r="O885" s="12">
        <f>LOOKUP(412011300,[1]PlanCuentas!$A$2:$A$6092,[1]PlanCuentas!AD$2:AD$6092)</f>
        <v>0</v>
      </c>
      <c r="P885" s="12">
        <f>LOOKUP(412012000,[1]PlanCuentas!$A$2:$A$6092,[1]PlanCuentas!AD$2:AD$6092)</f>
        <v>0</v>
      </c>
      <c r="Q885" s="13">
        <f t="shared" si="44"/>
        <v>0</v>
      </c>
    </row>
    <row r="886" spans="1:29" s="37" customFormat="1" x14ac:dyDescent="0.2">
      <c r="A886" s="10">
        <v>29</v>
      </c>
      <c r="B886" s="11" t="str">
        <f>[1]Aseguradoras!B30</f>
        <v>Mapfre Paraguay Compañía de Seguros S.A.</v>
      </c>
      <c r="C886" s="12">
        <f>LOOKUP(412010100,[1]PlanCuentas!$A$2:$A$6092,[1]PlanCuentas!AE$2:AE$6092)</f>
        <v>0</v>
      </c>
      <c r="D886" s="12">
        <f>LOOKUP(412010200,[1]PlanCuentas!$A$2:$A$6092,[1]PlanCuentas!AE$2:AE$6092)</f>
        <v>0</v>
      </c>
      <c r="E886" s="12">
        <f>LOOKUP(412010300,[1]PlanCuentas!$A$2:$A$6092,[1]PlanCuentas!AE$2:AE$6092)</f>
        <v>0</v>
      </c>
      <c r="F886" s="12">
        <f>LOOKUP(412010400,[1]PlanCuentas!$A$2:$A$6092,[1]PlanCuentas!AE$2:AE$6092)</f>
        <v>0</v>
      </c>
      <c r="G886" s="12">
        <f>LOOKUP(412010500,[1]PlanCuentas!$A$2:$A$6092,[1]PlanCuentas!AE$2:AE$6092)</f>
        <v>0</v>
      </c>
      <c r="H886" s="12">
        <f>LOOKUP(412010600,[1]PlanCuentas!$A$2:$A$6092,[1]PlanCuentas!AE$2:AE$6092)</f>
        <v>0</v>
      </c>
      <c r="I886" s="12">
        <f>LOOKUP(412010700,[1]PlanCuentas!$A$2:$A$6092,[1]PlanCuentas!AE$2:AE$6092)</f>
        <v>0</v>
      </c>
      <c r="J886" s="12">
        <f>LOOKUP(412010800,[1]PlanCuentas!$A$2:$A$6092,[1]PlanCuentas!AE$2:AE$6092)</f>
        <v>0</v>
      </c>
      <c r="K886" s="12">
        <f>LOOKUP(412010900,[1]PlanCuentas!$A$2:$A$6092,[1]PlanCuentas!AE$2:AE$6092)</f>
        <v>0</v>
      </c>
      <c r="L886" s="12">
        <f>LOOKUP(412011000,[1]PlanCuentas!$A$2:$A$6092,[1]PlanCuentas!AE$2:AE$6092)</f>
        <v>0</v>
      </c>
      <c r="M886" s="12">
        <f>LOOKUP(412011100,[1]PlanCuentas!$A$2:$A$6092,[1]PlanCuentas!AE$2:AE$6092)</f>
        <v>0</v>
      </c>
      <c r="N886" s="12">
        <f>LOOKUP(412011200,[1]PlanCuentas!$A$2:$A$6092,[1]PlanCuentas!AE$2:AE$6092)</f>
        <v>0</v>
      </c>
      <c r="O886" s="12">
        <f>LOOKUP(412011300,[1]PlanCuentas!$A$2:$A$6092,[1]PlanCuentas!AE$2:AE$6092)</f>
        <v>0</v>
      </c>
      <c r="P886" s="12">
        <f>LOOKUP(412012000,[1]PlanCuentas!$A$2:$A$6092,[1]PlanCuentas!AE$2:AE$6092)</f>
        <v>0</v>
      </c>
      <c r="Q886" s="13">
        <f t="shared" si="44"/>
        <v>0</v>
      </c>
    </row>
    <row r="887" spans="1:29" x14ac:dyDescent="0.2">
      <c r="A887" s="10">
        <v>30</v>
      </c>
      <c r="B887" s="11" t="str">
        <f>[1]Aseguradoras!B31</f>
        <v>Aseguradora Tajy Propiedad Cooperativa S.A. de Seguros</v>
      </c>
      <c r="C887" s="12">
        <f>LOOKUP(412010100,[1]PlanCuentas!$A$2:$A$6092,[1]PlanCuentas!AF$2:AF$6092)</f>
        <v>0</v>
      </c>
      <c r="D887" s="12">
        <f>LOOKUP(412010200,[1]PlanCuentas!$A$2:$A$6092,[1]PlanCuentas!AF$2:AF$6092)</f>
        <v>0</v>
      </c>
      <c r="E887" s="12">
        <f>LOOKUP(412010300,[1]PlanCuentas!$A$2:$A$6092,[1]PlanCuentas!AF$2:AF$6092)</f>
        <v>0</v>
      </c>
      <c r="F887" s="12">
        <f>LOOKUP(412010400,[1]PlanCuentas!$A$2:$A$6092,[1]PlanCuentas!AF$2:AF$6092)</f>
        <v>0</v>
      </c>
      <c r="G887" s="12">
        <f>LOOKUP(412010500,[1]PlanCuentas!$A$2:$A$6092,[1]PlanCuentas!AF$2:AF$6092)</f>
        <v>0</v>
      </c>
      <c r="H887" s="12">
        <f>LOOKUP(412010600,[1]PlanCuentas!$A$2:$A$6092,[1]PlanCuentas!AF$2:AF$6092)</f>
        <v>0</v>
      </c>
      <c r="I887" s="12">
        <f>LOOKUP(412010700,[1]PlanCuentas!$A$2:$A$6092,[1]PlanCuentas!AF$2:AF$6092)</f>
        <v>0</v>
      </c>
      <c r="J887" s="12">
        <f>LOOKUP(412010800,[1]PlanCuentas!$A$2:$A$6092,[1]PlanCuentas!AF$2:AF$6092)</f>
        <v>0</v>
      </c>
      <c r="K887" s="12">
        <f>LOOKUP(412010900,[1]PlanCuentas!$A$2:$A$6092,[1]PlanCuentas!AF$2:AF$6092)</f>
        <v>0</v>
      </c>
      <c r="L887" s="12">
        <f>LOOKUP(412011000,[1]PlanCuentas!$A$2:$A$6092,[1]PlanCuentas!AF$2:AF$6092)</f>
        <v>0</v>
      </c>
      <c r="M887" s="12">
        <f>LOOKUP(412011100,[1]PlanCuentas!$A$2:$A$6092,[1]PlanCuentas!AF$2:AF$6092)</f>
        <v>0</v>
      </c>
      <c r="N887" s="12">
        <f>LOOKUP(412011200,[1]PlanCuentas!$A$2:$A$6092,[1]PlanCuentas!AF$2:AF$6092)</f>
        <v>0</v>
      </c>
      <c r="O887" s="12">
        <f>LOOKUP(412011300,[1]PlanCuentas!$A$2:$A$6092,[1]PlanCuentas!AF$2:AF$6092)</f>
        <v>0</v>
      </c>
      <c r="P887" s="12">
        <f>LOOKUP(412012000,[1]PlanCuentas!$A$2:$A$6092,[1]PlanCuentas!AF$2:AF$6092)</f>
        <v>0</v>
      </c>
      <c r="Q887" s="13">
        <f t="shared" si="44"/>
        <v>0</v>
      </c>
    </row>
    <row r="888" spans="1:29" x14ac:dyDescent="0.2">
      <c r="A888" s="10">
        <v>31</v>
      </c>
      <c r="B888" s="11" t="str">
        <f>[1]Aseguradoras!B32</f>
        <v>Aseguradora del Sur S.A. Seguros Generales - ASUR</v>
      </c>
      <c r="C888" s="12">
        <f>LOOKUP(412010100,[1]PlanCuentas!$A$2:$A$6092,[1]PlanCuentas!AG$2:AG$6092)</f>
        <v>0</v>
      </c>
      <c r="D888" s="12">
        <f>LOOKUP(412010200,[1]PlanCuentas!$A$2:$A$6092,[1]PlanCuentas!AG$2:AG$6092)</f>
        <v>0</v>
      </c>
      <c r="E888" s="12">
        <f>LOOKUP(412010300,[1]PlanCuentas!$A$2:$A$6092,[1]PlanCuentas!AG$2:AG$6092)</f>
        <v>0</v>
      </c>
      <c r="F888" s="12">
        <f>LOOKUP(412010400,[1]PlanCuentas!$A$2:$A$6092,[1]PlanCuentas!AG$2:AG$6092)</f>
        <v>0</v>
      </c>
      <c r="G888" s="12">
        <f>LOOKUP(412010500,[1]PlanCuentas!$A$2:$A$6092,[1]PlanCuentas!AG$2:AG$6092)</f>
        <v>0</v>
      </c>
      <c r="H888" s="12">
        <f>LOOKUP(412010600,[1]PlanCuentas!$A$2:$A$6092,[1]PlanCuentas!AG$2:AG$6092)</f>
        <v>0</v>
      </c>
      <c r="I888" s="12">
        <f>LOOKUP(412010700,[1]PlanCuentas!$A$2:$A$6092,[1]PlanCuentas!AG$2:AG$6092)</f>
        <v>0</v>
      </c>
      <c r="J888" s="12">
        <f>LOOKUP(412010800,[1]PlanCuentas!$A$2:$A$6092,[1]PlanCuentas!AG$2:AG$6092)</f>
        <v>0</v>
      </c>
      <c r="K888" s="12">
        <f>LOOKUP(412010900,[1]PlanCuentas!$A$2:$A$6092,[1]PlanCuentas!AG$2:AG$6092)</f>
        <v>0</v>
      </c>
      <c r="L888" s="12">
        <f>LOOKUP(412011000,[1]PlanCuentas!$A$2:$A$6092,[1]PlanCuentas!AG$2:AG$6092)</f>
        <v>0</v>
      </c>
      <c r="M888" s="12">
        <f>LOOKUP(412011100,[1]PlanCuentas!$A$2:$A$6092,[1]PlanCuentas!AG$2:AG$6092)</f>
        <v>0</v>
      </c>
      <c r="N888" s="12">
        <f>LOOKUP(412011200,[1]PlanCuentas!$A$2:$A$6092,[1]PlanCuentas!AG$2:AG$6092)</f>
        <v>0</v>
      </c>
      <c r="O888" s="12">
        <f>LOOKUP(412011300,[1]PlanCuentas!$A$2:$A$6092,[1]PlanCuentas!AG$2:AG$6092)</f>
        <v>0</v>
      </c>
      <c r="P888" s="12">
        <f>LOOKUP(412012000,[1]PlanCuentas!$A$2:$A$6092,[1]PlanCuentas!AG$2:AG$6092)</f>
        <v>0</v>
      </c>
      <c r="Q888" s="13">
        <f t="shared" si="44"/>
        <v>0</v>
      </c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</row>
    <row r="889" spans="1:29" x14ac:dyDescent="0.2">
      <c r="A889" s="10">
        <v>32</v>
      </c>
      <c r="B889" s="11" t="str">
        <f>[1]Aseguradoras!B33</f>
        <v>Panal Compañía De Seguros Generales S.A.</v>
      </c>
      <c r="C889" s="12">
        <f>LOOKUP(412010100,[1]PlanCuentas!$A$2:$A$6092,[1]PlanCuentas!AH$2:AH$6092)</f>
        <v>0</v>
      </c>
      <c r="D889" s="12">
        <f>LOOKUP(412010200,[1]PlanCuentas!$A$2:$A$6092,[1]PlanCuentas!AH$2:AH$6092)</f>
        <v>0</v>
      </c>
      <c r="E889" s="12">
        <f>LOOKUP(412010300,[1]PlanCuentas!$A$2:$A$6092,[1]PlanCuentas!AH$2:AH$6092)</f>
        <v>0</v>
      </c>
      <c r="F889" s="12">
        <f>LOOKUP(412010400,[1]PlanCuentas!$A$2:$A$6092,[1]PlanCuentas!AH$2:AH$6092)</f>
        <v>0</v>
      </c>
      <c r="G889" s="12">
        <f>LOOKUP(412010500,[1]PlanCuentas!$A$2:$A$6092,[1]PlanCuentas!AH$2:AH$6092)</f>
        <v>0</v>
      </c>
      <c r="H889" s="12">
        <f>LOOKUP(412010600,[1]PlanCuentas!$A$2:$A$6092,[1]PlanCuentas!AH$2:AH$6092)</f>
        <v>0</v>
      </c>
      <c r="I889" s="12">
        <f>LOOKUP(412010700,[1]PlanCuentas!$A$2:$A$6092,[1]PlanCuentas!AH$2:AH$6092)</f>
        <v>0</v>
      </c>
      <c r="J889" s="12">
        <f>LOOKUP(412010800,[1]PlanCuentas!$A$2:$A$6092,[1]PlanCuentas!AH$2:AH$6092)</f>
        <v>0</v>
      </c>
      <c r="K889" s="12">
        <f>LOOKUP(412010900,[1]PlanCuentas!$A$2:$A$6092,[1]PlanCuentas!AH$2:AH$6092)</f>
        <v>0</v>
      </c>
      <c r="L889" s="12">
        <f>LOOKUP(412011000,[1]PlanCuentas!$A$2:$A$6092,[1]PlanCuentas!AH$2:AH$6092)</f>
        <v>0</v>
      </c>
      <c r="M889" s="12">
        <f>LOOKUP(412011100,[1]PlanCuentas!$A$2:$A$6092,[1]PlanCuentas!AH$2:AH$6092)</f>
        <v>0</v>
      </c>
      <c r="N889" s="12">
        <f>LOOKUP(412011200,[1]PlanCuentas!$A$2:$A$6092,[1]PlanCuentas!AH$2:AH$6092)</f>
        <v>0</v>
      </c>
      <c r="O889" s="12">
        <f>LOOKUP(412011300,[1]PlanCuentas!$A$2:$A$6092,[1]PlanCuentas!AH$2:AH$6092)</f>
        <v>0</v>
      </c>
      <c r="P889" s="12">
        <f>LOOKUP(412012000,[1]PlanCuentas!$A$2:$A$6092,[1]PlanCuentas!AH$2:AH$6092)</f>
        <v>0</v>
      </c>
      <c r="Q889" s="13">
        <f t="shared" si="44"/>
        <v>0</v>
      </c>
    </row>
    <row r="890" spans="1:29" x14ac:dyDescent="0.2">
      <c r="A890" s="14">
        <v>33</v>
      </c>
      <c r="B890" s="19" t="str">
        <f>[1]Aseguradoras!B34</f>
        <v>Sancor Seguros del Paraguay S.A.</v>
      </c>
      <c r="C890" s="12">
        <f>LOOKUP(412010100,[1]PlanCuentas!$A$2:$A$6092,[1]PlanCuentas!AI$2:AI$6092)</f>
        <v>0</v>
      </c>
      <c r="D890" s="12">
        <f>LOOKUP(412010200,[1]PlanCuentas!$A$2:$A$6092,[1]PlanCuentas!AI$2:AI$6092)</f>
        <v>0</v>
      </c>
      <c r="E890" s="12">
        <f>LOOKUP(412010300,[1]PlanCuentas!$A$2:$A$6092,[1]PlanCuentas!AI$2:AI$6092)</f>
        <v>0</v>
      </c>
      <c r="F890" s="12">
        <f>LOOKUP(412010400,[1]PlanCuentas!$A$2:$A$6092,[1]PlanCuentas!AI$2:AI$6092)</f>
        <v>0</v>
      </c>
      <c r="G890" s="12">
        <f>LOOKUP(412010500,[1]PlanCuentas!$A$2:$A$6092,[1]PlanCuentas!AI$2:AI$6092)</f>
        <v>0</v>
      </c>
      <c r="H890" s="12">
        <f>LOOKUP(412010600,[1]PlanCuentas!$A$2:$A$6092,[1]PlanCuentas!AI$2:AI$6092)</f>
        <v>0</v>
      </c>
      <c r="I890" s="12">
        <f>LOOKUP(412010700,[1]PlanCuentas!$A$2:$A$6092,[1]PlanCuentas!AI$2:AI$6092)</f>
        <v>0</v>
      </c>
      <c r="J890" s="12">
        <f>LOOKUP(412010800,[1]PlanCuentas!$A$2:$A$6092,[1]PlanCuentas!AI$2:AI$6092)</f>
        <v>0</v>
      </c>
      <c r="K890" s="12">
        <f>LOOKUP(412010900,[1]PlanCuentas!$A$2:$A$6092,[1]PlanCuentas!AI$2:AI$6092)</f>
        <v>0</v>
      </c>
      <c r="L890" s="12">
        <f>LOOKUP(412011000,[1]PlanCuentas!$A$2:$A$6092,[1]PlanCuentas!AI$2:AI$6092)</f>
        <v>0</v>
      </c>
      <c r="M890" s="12">
        <f>LOOKUP(412011100,[1]PlanCuentas!$A$2:$A$6092,[1]PlanCuentas!AI$2:AI$6092)</f>
        <v>0</v>
      </c>
      <c r="N890" s="12">
        <f>LOOKUP(412011200,[1]PlanCuentas!$A$2:$A$6092,[1]PlanCuentas!AI$2:AI$6092)</f>
        <v>0</v>
      </c>
      <c r="O890" s="12">
        <f>LOOKUP(412011300,[1]PlanCuentas!$A$2:$A$6092,[1]PlanCuentas!AI$2:AI$6092)</f>
        <v>0</v>
      </c>
      <c r="P890" s="12">
        <f>LOOKUP(412012000,[1]PlanCuentas!$A$2:$A$6092,[1]PlanCuentas!AI$2:AI$6092)</f>
        <v>0</v>
      </c>
      <c r="Q890" s="13">
        <f>SUM(C890:P890)</f>
        <v>0</v>
      </c>
    </row>
    <row r="891" spans="1:29" x14ac:dyDescent="0.2">
      <c r="A891" s="14"/>
      <c r="B891" s="15" t="s">
        <v>18</v>
      </c>
      <c r="C891" s="17">
        <f t="shared" ref="C891:Q891" si="45">SUBTOTAL(109,C858:C890)</f>
        <v>0</v>
      </c>
      <c r="D891" s="17">
        <f t="shared" si="45"/>
        <v>0</v>
      </c>
      <c r="E891" s="17">
        <f t="shared" si="45"/>
        <v>0</v>
      </c>
      <c r="F891" s="17">
        <f t="shared" si="45"/>
        <v>0</v>
      </c>
      <c r="G891" s="17">
        <f t="shared" si="45"/>
        <v>0</v>
      </c>
      <c r="H891" s="17">
        <f t="shared" si="45"/>
        <v>0</v>
      </c>
      <c r="I891" s="17">
        <f t="shared" si="45"/>
        <v>0</v>
      </c>
      <c r="J891" s="17">
        <f t="shared" si="45"/>
        <v>0</v>
      </c>
      <c r="K891" s="17">
        <f t="shared" si="45"/>
        <v>0</v>
      </c>
      <c r="L891" s="17">
        <f t="shared" si="45"/>
        <v>0</v>
      </c>
      <c r="M891" s="17">
        <f t="shared" si="45"/>
        <v>0</v>
      </c>
      <c r="N891" s="17">
        <f t="shared" si="45"/>
        <v>0</v>
      </c>
      <c r="O891" s="17">
        <f t="shared" si="45"/>
        <v>0</v>
      </c>
      <c r="P891" s="17">
        <f t="shared" si="45"/>
        <v>0</v>
      </c>
      <c r="Q891" s="17">
        <f t="shared" si="45"/>
        <v>0</v>
      </c>
    </row>
    <row r="892" spans="1:29" x14ac:dyDescent="0.2"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</row>
    <row r="893" spans="1:29" ht="28.35" customHeight="1" x14ac:dyDescent="0.2">
      <c r="A893" s="1" t="s">
        <v>52</v>
      </c>
      <c r="B893" s="47" t="s">
        <v>54</v>
      </c>
      <c r="C893" s="47"/>
      <c r="D893" s="2"/>
      <c r="E893" s="30"/>
      <c r="F893" s="4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</row>
    <row r="894" spans="1:29" ht="24" x14ac:dyDescent="0.2">
      <c r="A894" s="7" t="s">
        <v>2</v>
      </c>
      <c r="B894" s="8" t="s">
        <v>3</v>
      </c>
      <c r="C894" s="9" t="s">
        <v>4</v>
      </c>
      <c r="D894" s="9" t="s">
        <v>5</v>
      </c>
      <c r="E894" s="9" t="s">
        <v>6</v>
      </c>
      <c r="F894" s="36" t="s">
        <v>7</v>
      </c>
      <c r="G894" s="9" t="s">
        <v>8</v>
      </c>
      <c r="H894" s="9" t="s">
        <v>9</v>
      </c>
      <c r="I894" s="9" t="s">
        <v>10</v>
      </c>
      <c r="J894" s="9" t="s">
        <v>11</v>
      </c>
      <c r="K894" s="9" t="s">
        <v>12</v>
      </c>
      <c r="L894" s="9" t="s">
        <v>13</v>
      </c>
      <c r="M894" s="9" t="s">
        <v>14</v>
      </c>
      <c r="N894" s="9" t="s">
        <v>15</v>
      </c>
      <c r="O894" s="9" t="s">
        <v>16</v>
      </c>
      <c r="P894" s="8" t="s">
        <v>17</v>
      </c>
      <c r="Q894" s="8" t="s">
        <v>18</v>
      </c>
    </row>
    <row r="895" spans="1:29" x14ac:dyDescent="0.2">
      <c r="A895" s="10">
        <v>1</v>
      </c>
      <c r="B895" s="11" t="str">
        <f>[1]Aseguradoras!B2</f>
        <v>El Comercio Paraguayo S.A. de Seguros</v>
      </c>
      <c r="C895" s="12">
        <f>LOOKUP(412020100,[1]PlanCuentas!$A$2:$A$6092,[1]PlanCuentas!C$2:C$6092)</f>
        <v>0</v>
      </c>
      <c r="D895" s="12">
        <f>LOOKUP(412020200,[1]PlanCuentas!$A$2:$A$6092,[1]PlanCuentas!C$2:C$6092)</f>
        <v>0</v>
      </c>
      <c r="E895" s="12">
        <f>LOOKUP(412020300,[1]PlanCuentas!$A$2:$A$6092,[1]PlanCuentas!C$2:C$6092)</f>
        <v>0</v>
      </c>
      <c r="F895" s="12">
        <f>LOOKUP(412020400,[1]PlanCuentas!$A$2:$A$6092,[1]PlanCuentas!C$2:C$6092)</f>
        <v>0</v>
      </c>
      <c r="G895" s="12">
        <f>LOOKUP(412020500,[1]PlanCuentas!$A$2:$A$6092,[1]PlanCuentas!C$2:C$6092)</f>
        <v>0</v>
      </c>
      <c r="H895" s="12">
        <f>LOOKUP(412020600,[1]PlanCuentas!$A$2:$A$6092,[1]PlanCuentas!C$2:C$6092)</f>
        <v>0</v>
      </c>
      <c r="I895" s="12">
        <f>LOOKUP(412020700,[1]PlanCuentas!$A$2:$A$6092,[1]PlanCuentas!C$2:C$6092)</f>
        <v>0</v>
      </c>
      <c r="J895" s="12">
        <f>LOOKUP(412020800,[1]PlanCuentas!$A$2:$A$6092,[1]PlanCuentas!C$2:C$6092)</f>
        <v>0</v>
      </c>
      <c r="K895" s="12">
        <f>LOOKUP(412020900,[1]PlanCuentas!$A$2:$A$6092,[1]PlanCuentas!C$2:C$6092)</f>
        <v>0</v>
      </c>
      <c r="L895" s="12">
        <f>LOOKUP(412021000,[1]PlanCuentas!$A$2:$A$6092,[1]PlanCuentas!C$2:C$6092)</f>
        <v>0</v>
      </c>
      <c r="M895" s="12">
        <f>LOOKUP(412021100,[1]PlanCuentas!$A$2:$A$6092,[1]PlanCuentas!C$2:C$6092)</f>
        <v>0</v>
      </c>
      <c r="N895" s="12">
        <f>LOOKUP(412021200,[1]PlanCuentas!$A$2:$A$6092,[1]PlanCuentas!C$2:C$6092)</f>
        <v>0</v>
      </c>
      <c r="O895" s="12">
        <f>LOOKUP(412021300,[1]PlanCuentas!$A$2:$A$6092,[1]PlanCuentas!C$2:C$6092)</f>
        <v>0</v>
      </c>
      <c r="P895" s="12">
        <f>LOOKUP(412022000,[1]PlanCuentas!$A$2:$A$6092,[1]PlanCuentas!C$2:C$6092)</f>
        <v>0</v>
      </c>
      <c r="Q895" s="13">
        <f t="shared" ref="Q895:Q926" si="46">SUM(C895:P895)</f>
        <v>0</v>
      </c>
    </row>
    <row r="896" spans="1:29" x14ac:dyDescent="0.2">
      <c r="A896" s="10">
        <v>2</v>
      </c>
      <c r="B896" s="11" t="str">
        <f>[1]Aseguradoras!B3</f>
        <v>La Rural S.A de Seguros</v>
      </c>
      <c r="C896" s="12">
        <f>LOOKUP(412020100,[1]PlanCuentas!$A$2:$A$6092,[1]PlanCuentas!D$2:D$6092)</f>
        <v>0</v>
      </c>
      <c r="D896" s="12">
        <f>LOOKUP(412020200,[1]PlanCuentas!$A$2:$A$6092,[1]PlanCuentas!D$2:D$6092)</f>
        <v>0</v>
      </c>
      <c r="E896" s="12">
        <f>LOOKUP(412020300,[1]PlanCuentas!$A$2:$A$6092,[1]PlanCuentas!D$2:D$6092)</f>
        <v>0</v>
      </c>
      <c r="F896" s="12">
        <f>LOOKUP(412020400,[1]PlanCuentas!$A$2:$A$6092,[1]PlanCuentas!D$2:D$6092)</f>
        <v>0</v>
      </c>
      <c r="G896" s="12">
        <f>LOOKUP(412020500,[1]PlanCuentas!$A$2:$A$6092,[1]PlanCuentas!D$2:D$6092)</f>
        <v>0</v>
      </c>
      <c r="H896" s="12">
        <f>LOOKUP(412020600,[1]PlanCuentas!$A$2:$A$6092,[1]PlanCuentas!D$2:D$6092)</f>
        <v>0</v>
      </c>
      <c r="I896" s="12">
        <f>LOOKUP(412020700,[1]PlanCuentas!$A$2:$A$6092,[1]PlanCuentas!D$2:D$6092)</f>
        <v>0</v>
      </c>
      <c r="J896" s="12">
        <f>LOOKUP(412020800,[1]PlanCuentas!$A$2:$A$6092,[1]PlanCuentas!D$2:D$6092)</f>
        <v>0</v>
      </c>
      <c r="K896" s="12">
        <f>LOOKUP(412020900,[1]PlanCuentas!$A$2:$A$6092,[1]PlanCuentas!D$2:D$6092)</f>
        <v>0</v>
      </c>
      <c r="L896" s="12">
        <f>LOOKUP(412021000,[1]PlanCuentas!$A$2:$A$6092,[1]PlanCuentas!D$2:D$6092)</f>
        <v>0</v>
      </c>
      <c r="M896" s="12">
        <f>LOOKUP(412021100,[1]PlanCuentas!$A$2:$A$6092,[1]PlanCuentas!D$2:D$6092)</f>
        <v>0</v>
      </c>
      <c r="N896" s="12">
        <f>LOOKUP(412021200,[1]PlanCuentas!$A$2:$A$6092,[1]PlanCuentas!D$2:D$6092)</f>
        <v>0</v>
      </c>
      <c r="O896" s="12">
        <f>LOOKUP(412021300,[1]PlanCuentas!$A$2:$A$6092,[1]PlanCuentas!D$2:D$6092)</f>
        <v>0</v>
      </c>
      <c r="P896" s="12">
        <f>LOOKUP(412022000,[1]PlanCuentas!$A$2:$A$6092,[1]PlanCuentas!D$2:D$6092)</f>
        <v>0</v>
      </c>
      <c r="Q896" s="13">
        <f t="shared" si="46"/>
        <v>0</v>
      </c>
    </row>
    <row r="897" spans="1:17" x14ac:dyDescent="0.2">
      <c r="A897" s="10">
        <v>3</v>
      </c>
      <c r="B897" s="11" t="str">
        <f>[1]Aseguradoras!B4</f>
        <v>La Paraguaya S.A de Seguros</v>
      </c>
      <c r="C897" s="12">
        <f>LOOKUP(412020100,[1]PlanCuentas!$A$2:$A$6092,[1]PlanCuentas!E$2:E$6092)</f>
        <v>0</v>
      </c>
      <c r="D897" s="12">
        <f>LOOKUP(412020200,[1]PlanCuentas!$A$2:$A$6092,[1]PlanCuentas!E$2:E$6092)</f>
        <v>0</v>
      </c>
      <c r="E897" s="12">
        <f>LOOKUP(412020300,[1]PlanCuentas!$A$2:$A$6092,[1]PlanCuentas!E$2:E$6092)</f>
        <v>0</v>
      </c>
      <c r="F897" s="12">
        <f>LOOKUP(412020400,[1]PlanCuentas!$A$2:$A$6092,[1]PlanCuentas!E$2:E$6092)</f>
        <v>0</v>
      </c>
      <c r="G897" s="12">
        <f>LOOKUP(412020500,[1]PlanCuentas!$A$2:$A$6092,[1]PlanCuentas!E$2:E$6092)</f>
        <v>0</v>
      </c>
      <c r="H897" s="12">
        <f>LOOKUP(412020600,[1]PlanCuentas!$A$2:$A$6092,[1]PlanCuentas!E$2:E$6092)</f>
        <v>0</v>
      </c>
      <c r="I897" s="12">
        <f>LOOKUP(412020700,[1]PlanCuentas!$A$2:$A$6092,[1]PlanCuentas!E$2:E$6092)</f>
        <v>0</v>
      </c>
      <c r="J897" s="12">
        <f>LOOKUP(412020800,[1]PlanCuentas!$A$2:$A$6092,[1]PlanCuentas!E$2:E$6092)</f>
        <v>0</v>
      </c>
      <c r="K897" s="12">
        <f>LOOKUP(412020900,[1]PlanCuentas!$A$2:$A$6092,[1]PlanCuentas!E$2:E$6092)</f>
        <v>0</v>
      </c>
      <c r="L897" s="12">
        <f>LOOKUP(412021000,[1]PlanCuentas!$A$2:$A$6092,[1]PlanCuentas!E$2:E$6092)</f>
        <v>0</v>
      </c>
      <c r="M897" s="12">
        <f>LOOKUP(412021100,[1]PlanCuentas!$A$2:$A$6092,[1]PlanCuentas!E$2:E$6092)</f>
        <v>0</v>
      </c>
      <c r="N897" s="12">
        <f>LOOKUP(412021200,[1]PlanCuentas!$A$2:$A$6092,[1]PlanCuentas!E$2:E$6092)</f>
        <v>0</v>
      </c>
      <c r="O897" s="12">
        <f>LOOKUP(412021300,[1]PlanCuentas!$A$2:$A$6092,[1]PlanCuentas!E$2:E$6092)</f>
        <v>0</v>
      </c>
      <c r="P897" s="12">
        <f>LOOKUP(412022000,[1]PlanCuentas!$A$2:$A$6092,[1]PlanCuentas!E$2:E$6092)</f>
        <v>0</v>
      </c>
      <c r="Q897" s="13">
        <f t="shared" si="46"/>
        <v>0</v>
      </c>
    </row>
    <row r="898" spans="1:17" x14ac:dyDescent="0.2">
      <c r="A898" s="10">
        <v>4</v>
      </c>
      <c r="B898" s="11" t="str">
        <f>[1]Aseguradoras!B5</f>
        <v>Seguros Generales S. A (SEGESA)</v>
      </c>
      <c r="C898" s="12">
        <f>LOOKUP(412020100,[1]PlanCuentas!$A$2:$A$6092,[1]PlanCuentas!F$2:F$6092)</f>
        <v>0</v>
      </c>
      <c r="D898" s="12">
        <f>LOOKUP(412020200,[1]PlanCuentas!$A$2:$A$6092,[1]PlanCuentas!F$2:F$6092)</f>
        <v>0</v>
      </c>
      <c r="E898" s="12">
        <f>LOOKUP(412020300,[1]PlanCuentas!$A$2:$A$6092,[1]PlanCuentas!F$2:F$6092)</f>
        <v>0</v>
      </c>
      <c r="F898" s="12">
        <f>LOOKUP(412020400,[1]PlanCuentas!$A$2:$A$6092,[1]PlanCuentas!F$2:F$6092)</f>
        <v>0</v>
      </c>
      <c r="G898" s="12">
        <f>LOOKUP(412020500,[1]PlanCuentas!$A$2:$A$6092,[1]PlanCuentas!F$2:F$6092)</f>
        <v>0</v>
      </c>
      <c r="H898" s="12">
        <f>LOOKUP(412020600,[1]PlanCuentas!$A$2:$A$6092,[1]PlanCuentas!F$2:F$6092)</f>
        <v>0</v>
      </c>
      <c r="I898" s="12">
        <f>LOOKUP(412020700,[1]PlanCuentas!$A$2:$A$6092,[1]PlanCuentas!F$2:F$6092)</f>
        <v>0</v>
      </c>
      <c r="J898" s="12">
        <f>LOOKUP(412020800,[1]PlanCuentas!$A$2:$A$6092,[1]PlanCuentas!F$2:F$6092)</f>
        <v>0</v>
      </c>
      <c r="K898" s="12">
        <f>LOOKUP(412020900,[1]PlanCuentas!$A$2:$A$6092,[1]PlanCuentas!F$2:F$6092)</f>
        <v>0</v>
      </c>
      <c r="L898" s="12">
        <f>LOOKUP(412021000,[1]PlanCuentas!$A$2:$A$6092,[1]PlanCuentas!F$2:F$6092)</f>
        <v>0</v>
      </c>
      <c r="M898" s="12">
        <f>LOOKUP(412021100,[1]PlanCuentas!$A$2:$A$6092,[1]PlanCuentas!F$2:F$6092)</f>
        <v>0</v>
      </c>
      <c r="N898" s="12">
        <f>LOOKUP(412021200,[1]PlanCuentas!$A$2:$A$6092,[1]PlanCuentas!F$2:F$6092)</f>
        <v>0</v>
      </c>
      <c r="O898" s="12">
        <f>LOOKUP(412021300,[1]PlanCuentas!$A$2:$A$6092,[1]PlanCuentas!F$2:F$6092)</f>
        <v>0</v>
      </c>
      <c r="P898" s="12">
        <f>LOOKUP(412022000,[1]PlanCuentas!$A$2:$A$6092,[1]PlanCuentas!F$2:F$6092)</f>
        <v>0</v>
      </c>
      <c r="Q898" s="13">
        <f t="shared" si="46"/>
        <v>0</v>
      </c>
    </row>
    <row r="899" spans="1:17" x14ac:dyDescent="0.2">
      <c r="A899" s="10">
        <v>5</v>
      </c>
      <c r="B899" s="11" t="str">
        <f>[1]Aseguradoras!B6</f>
        <v>Rumbos S.A de Seguros</v>
      </c>
      <c r="C899" s="12">
        <f>LOOKUP(412020100,[1]PlanCuentas!$A$2:$A$6092,[1]PlanCuentas!G$2:G$6092)</f>
        <v>0</v>
      </c>
      <c r="D899" s="12">
        <f>LOOKUP(412020200,[1]PlanCuentas!$A$2:$A$6092,[1]PlanCuentas!G$2:G$6092)</f>
        <v>0</v>
      </c>
      <c r="E899" s="12">
        <f>LOOKUP(412020300,[1]PlanCuentas!$A$2:$A$6092,[1]PlanCuentas!G$2:G$6092)</f>
        <v>0</v>
      </c>
      <c r="F899" s="12">
        <f>LOOKUP(412020400,[1]PlanCuentas!$A$2:$A$6092,[1]PlanCuentas!G$2:G$6092)</f>
        <v>0</v>
      </c>
      <c r="G899" s="12">
        <f>LOOKUP(412020500,[1]PlanCuentas!$A$2:$A$6092,[1]PlanCuentas!G$2:G$6092)</f>
        <v>0</v>
      </c>
      <c r="H899" s="12">
        <f>LOOKUP(412020600,[1]PlanCuentas!$A$2:$A$6092,[1]PlanCuentas!G$2:G$6092)</f>
        <v>0</v>
      </c>
      <c r="I899" s="12">
        <f>LOOKUP(412020700,[1]PlanCuentas!$A$2:$A$6092,[1]PlanCuentas!G$2:G$6092)</f>
        <v>0</v>
      </c>
      <c r="J899" s="12">
        <f>LOOKUP(412020800,[1]PlanCuentas!$A$2:$A$6092,[1]PlanCuentas!G$2:G$6092)</f>
        <v>0</v>
      </c>
      <c r="K899" s="12">
        <f>LOOKUP(412020900,[1]PlanCuentas!$A$2:$A$6092,[1]PlanCuentas!G$2:G$6092)</f>
        <v>0</v>
      </c>
      <c r="L899" s="12">
        <f>LOOKUP(412021000,[1]PlanCuentas!$A$2:$A$6092,[1]PlanCuentas!G$2:G$6092)</f>
        <v>0</v>
      </c>
      <c r="M899" s="12">
        <f>LOOKUP(412021100,[1]PlanCuentas!$A$2:$A$6092,[1]PlanCuentas!G$2:G$6092)</f>
        <v>0</v>
      </c>
      <c r="N899" s="12">
        <f>LOOKUP(412021200,[1]PlanCuentas!$A$2:$A$6092,[1]PlanCuentas!G$2:G$6092)</f>
        <v>0</v>
      </c>
      <c r="O899" s="12">
        <f>LOOKUP(412021300,[1]PlanCuentas!$A$2:$A$6092,[1]PlanCuentas!G$2:G$6092)</f>
        <v>0</v>
      </c>
      <c r="P899" s="12">
        <f>LOOKUP(412022000,[1]PlanCuentas!$A$2:$A$6092,[1]PlanCuentas!G$2:G$6092)</f>
        <v>0</v>
      </c>
      <c r="Q899" s="13">
        <f t="shared" si="46"/>
        <v>0</v>
      </c>
    </row>
    <row r="900" spans="1:17" x14ac:dyDescent="0.2">
      <c r="A900" s="10">
        <v>6</v>
      </c>
      <c r="B900" s="11" t="str">
        <f>[1]Aseguradoras!B7</f>
        <v>La Consolidada S.A de Seguros</v>
      </c>
      <c r="C900" s="12">
        <f>LOOKUP(412020100,[1]PlanCuentas!$A$2:$A$6092,[1]PlanCuentas!H$2:H$6092)</f>
        <v>0</v>
      </c>
      <c r="D900" s="12">
        <f>LOOKUP(412020200,[1]PlanCuentas!$A$2:$A$6092,[1]PlanCuentas!H$2:H$6092)</f>
        <v>0</v>
      </c>
      <c r="E900" s="12">
        <f>LOOKUP(412020300,[1]PlanCuentas!$A$2:$A$6092,[1]PlanCuentas!H$2:H$6092)</f>
        <v>0</v>
      </c>
      <c r="F900" s="12">
        <f>LOOKUP(412020400,[1]PlanCuentas!$A$2:$A$6092,[1]PlanCuentas!H$2:H$6092)</f>
        <v>0</v>
      </c>
      <c r="G900" s="12">
        <f>LOOKUP(412020500,[1]PlanCuentas!$A$2:$A$6092,[1]PlanCuentas!H$2:H$6092)</f>
        <v>0</v>
      </c>
      <c r="H900" s="12">
        <f>LOOKUP(412020600,[1]PlanCuentas!$A$2:$A$6092,[1]PlanCuentas!H$2:H$6092)</f>
        <v>0</v>
      </c>
      <c r="I900" s="12">
        <f>LOOKUP(412020700,[1]PlanCuentas!$A$2:$A$6092,[1]PlanCuentas!H$2:H$6092)</f>
        <v>0</v>
      </c>
      <c r="J900" s="12">
        <f>LOOKUP(412020800,[1]PlanCuentas!$A$2:$A$6092,[1]PlanCuentas!H$2:H$6092)</f>
        <v>0</v>
      </c>
      <c r="K900" s="12">
        <f>LOOKUP(412020900,[1]PlanCuentas!$A$2:$A$6092,[1]PlanCuentas!H$2:H$6092)</f>
        <v>0</v>
      </c>
      <c r="L900" s="12">
        <f>LOOKUP(412021000,[1]PlanCuentas!$A$2:$A$6092,[1]PlanCuentas!H$2:H$6092)</f>
        <v>0</v>
      </c>
      <c r="M900" s="12">
        <f>LOOKUP(412021100,[1]PlanCuentas!$A$2:$A$6092,[1]PlanCuentas!H$2:H$6092)</f>
        <v>0</v>
      </c>
      <c r="N900" s="12">
        <f>LOOKUP(412021200,[1]PlanCuentas!$A$2:$A$6092,[1]PlanCuentas!H$2:H$6092)</f>
        <v>0</v>
      </c>
      <c r="O900" s="12">
        <f>LOOKUP(412021300,[1]PlanCuentas!$A$2:$A$6092,[1]PlanCuentas!H$2:H$6092)</f>
        <v>0</v>
      </c>
      <c r="P900" s="12">
        <f>LOOKUP(412022000,[1]PlanCuentas!$A$2:$A$6092,[1]PlanCuentas!H$2:H$6092)</f>
        <v>0</v>
      </c>
      <c r="Q900" s="13">
        <f t="shared" si="46"/>
        <v>0</v>
      </c>
    </row>
    <row r="901" spans="1:17" x14ac:dyDescent="0.2">
      <c r="A901" s="10">
        <v>7</v>
      </c>
      <c r="B901" s="11" t="str">
        <f>[1]Aseguradoras!B8</f>
        <v>El Productor S.A de Seguros y Reaseguros</v>
      </c>
      <c r="C901" s="12">
        <f>LOOKUP(412020100,[1]PlanCuentas!$A$2:$A$6092,[1]PlanCuentas!I$2:I$6092)</f>
        <v>0</v>
      </c>
      <c r="D901" s="12">
        <f>LOOKUP(412020200,[1]PlanCuentas!$A$2:$A$6092,[1]PlanCuentas!I$2:I$6092)</f>
        <v>0</v>
      </c>
      <c r="E901" s="12">
        <f>LOOKUP(412020300,[1]PlanCuentas!$A$2:$A$6092,[1]PlanCuentas!I$2:I$6092)</f>
        <v>0</v>
      </c>
      <c r="F901" s="12">
        <f>LOOKUP(412020400,[1]PlanCuentas!$A$2:$A$6092,[1]PlanCuentas!I$2:I$6092)</f>
        <v>0</v>
      </c>
      <c r="G901" s="12">
        <f>LOOKUP(412020500,[1]PlanCuentas!$A$2:$A$6092,[1]PlanCuentas!I$2:I$6092)</f>
        <v>0</v>
      </c>
      <c r="H901" s="12">
        <f>LOOKUP(412020600,[1]PlanCuentas!$A$2:$A$6092,[1]PlanCuentas!I$2:I$6092)</f>
        <v>0</v>
      </c>
      <c r="I901" s="12">
        <f>LOOKUP(412020700,[1]PlanCuentas!$A$2:$A$6092,[1]PlanCuentas!I$2:I$6092)</f>
        <v>0</v>
      </c>
      <c r="J901" s="12">
        <f>LOOKUP(412020800,[1]PlanCuentas!$A$2:$A$6092,[1]PlanCuentas!I$2:I$6092)</f>
        <v>0</v>
      </c>
      <c r="K901" s="12">
        <f>LOOKUP(412020900,[1]PlanCuentas!$A$2:$A$6092,[1]PlanCuentas!I$2:I$6092)</f>
        <v>0</v>
      </c>
      <c r="L901" s="12">
        <f>LOOKUP(412021000,[1]PlanCuentas!$A$2:$A$6092,[1]PlanCuentas!I$2:I$6092)</f>
        <v>0</v>
      </c>
      <c r="M901" s="12">
        <f>LOOKUP(412021100,[1]PlanCuentas!$A$2:$A$6092,[1]PlanCuentas!I$2:I$6092)</f>
        <v>0</v>
      </c>
      <c r="N901" s="12">
        <f>LOOKUP(412021200,[1]PlanCuentas!$A$2:$A$6092,[1]PlanCuentas!I$2:I$6092)</f>
        <v>0</v>
      </c>
      <c r="O901" s="12">
        <f>LOOKUP(412021300,[1]PlanCuentas!$A$2:$A$6092,[1]PlanCuentas!I$2:I$6092)</f>
        <v>0</v>
      </c>
      <c r="P901" s="12">
        <f>LOOKUP(412022000,[1]PlanCuentas!$A$2:$A$6092,[1]PlanCuentas!I$2:I$6092)</f>
        <v>0</v>
      </c>
      <c r="Q901" s="13">
        <f t="shared" si="46"/>
        <v>0</v>
      </c>
    </row>
    <row r="902" spans="1:17" x14ac:dyDescent="0.2">
      <c r="A902" s="10">
        <v>8</v>
      </c>
      <c r="B902" s="11" t="str">
        <f>[1]Aseguradoras!B9</f>
        <v>Atalaya S.A de Seguros Generales</v>
      </c>
      <c r="C902" s="12">
        <f>LOOKUP(412020100,[1]PlanCuentas!$A$2:$A$6092,[1]PlanCuentas!J$2:J$6092)</f>
        <v>0</v>
      </c>
      <c r="D902" s="12">
        <f>LOOKUP(412020200,[1]PlanCuentas!$A$2:$A$6092,[1]PlanCuentas!J$2:J$6092)</f>
        <v>0</v>
      </c>
      <c r="E902" s="12">
        <f>LOOKUP(412020300,[1]PlanCuentas!$A$2:$A$6092,[1]PlanCuentas!J$2:J$6092)</f>
        <v>0</v>
      </c>
      <c r="F902" s="12">
        <f>LOOKUP(412020400,[1]PlanCuentas!$A$2:$A$6092,[1]PlanCuentas!J$2:J$6092)</f>
        <v>0</v>
      </c>
      <c r="G902" s="12">
        <f>LOOKUP(412020500,[1]PlanCuentas!$A$2:$A$6092,[1]PlanCuentas!J$2:J$6092)</f>
        <v>0</v>
      </c>
      <c r="H902" s="12">
        <f>LOOKUP(412020600,[1]PlanCuentas!$A$2:$A$6092,[1]PlanCuentas!J$2:J$6092)</f>
        <v>0</v>
      </c>
      <c r="I902" s="12">
        <f>LOOKUP(412020700,[1]PlanCuentas!$A$2:$A$6092,[1]PlanCuentas!J$2:J$6092)</f>
        <v>0</v>
      </c>
      <c r="J902" s="12">
        <f>LOOKUP(412020800,[1]PlanCuentas!$A$2:$A$6092,[1]PlanCuentas!J$2:J$6092)</f>
        <v>0</v>
      </c>
      <c r="K902" s="12">
        <f>LOOKUP(412020900,[1]PlanCuentas!$A$2:$A$6092,[1]PlanCuentas!J$2:J$6092)</f>
        <v>0</v>
      </c>
      <c r="L902" s="12">
        <f>LOOKUP(412021000,[1]PlanCuentas!$A$2:$A$6092,[1]PlanCuentas!J$2:J$6092)</f>
        <v>0</v>
      </c>
      <c r="M902" s="12">
        <f>LOOKUP(412021100,[1]PlanCuentas!$A$2:$A$6092,[1]PlanCuentas!J$2:J$6092)</f>
        <v>0</v>
      </c>
      <c r="N902" s="12">
        <f>LOOKUP(412021200,[1]PlanCuentas!$A$2:$A$6092,[1]PlanCuentas!J$2:J$6092)</f>
        <v>0</v>
      </c>
      <c r="O902" s="12">
        <f>LOOKUP(412021300,[1]PlanCuentas!$A$2:$A$6092,[1]PlanCuentas!J$2:J$6092)</f>
        <v>0</v>
      </c>
      <c r="P902" s="12">
        <f>LOOKUP(412022000,[1]PlanCuentas!$A$2:$A$6092,[1]PlanCuentas!J$2:J$6092)</f>
        <v>0</v>
      </c>
      <c r="Q902" s="13">
        <f t="shared" si="46"/>
        <v>0</v>
      </c>
    </row>
    <row r="903" spans="1:17" x14ac:dyDescent="0.2">
      <c r="A903" s="10">
        <v>9</v>
      </c>
      <c r="B903" s="11" t="str">
        <f>[1]Aseguradoras!B10</f>
        <v>La Independencia de Seguros S.A.</v>
      </c>
      <c r="C903" s="12">
        <f>LOOKUP(412020100,[1]PlanCuentas!$A$2:$A$6092,[1]PlanCuentas!K$2:K$6092)</f>
        <v>0</v>
      </c>
      <c r="D903" s="12">
        <f>LOOKUP(412020200,[1]PlanCuentas!$A$2:$A$6092,[1]PlanCuentas!K$2:K$6092)</f>
        <v>0</v>
      </c>
      <c r="E903" s="12">
        <f>LOOKUP(412020300,[1]PlanCuentas!$A$2:$A$6092,[1]PlanCuentas!K$2:K$6092)</f>
        <v>0</v>
      </c>
      <c r="F903" s="12">
        <f>LOOKUP(412020400,[1]PlanCuentas!$A$2:$A$6092,[1]PlanCuentas!K$2:K$6092)</f>
        <v>0</v>
      </c>
      <c r="G903" s="12">
        <f>LOOKUP(412020500,[1]PlanCuentas!$A$2:$A$6092,[1]PlanCuentas!K$2:K$6092)</f>
        <v>0</v>
      </c>
      <c r="H903" s="12">
        <f>LOOKUP(412020600,[1]PlanCuentas!$A$2:$A$6092,[1]PlanCuentas!K$2:K$6092)</f>
        <v>0</v>
      </c>
      <c r="I903" s="12">
        <f>LOOKUP(412020700,[1]PlanCuentas!$A$2:$A$6092,[1]PlanCuentas!K$2:K$6092)</f>
        <v>0</v>
      </c>
      <c r="J903" s="12">
        <f>LOOKUP(412020800,[1]PlanCuentas!$A$2:$A$6092,[1]PlanCuentas!K$2:K$6092)</f>
        <v>0</v>
      </c>
      <c r="K903" s="12">
        <f>LOOKUP(412020900,[1]PlanCuentas!$A$2:$A$6092,[1]PlanCuentas!K$2:K$6092)</f>
        <v>0</v>
      </c>
      <c r="L903" s="12">
        <f>LOOKUP(412021000,[1]PlanCuentas!$A$2:$A$6092,[1]PlanCuentas!K$2:K$6092)</f>
        <v>0</v>
      </c>
      <c r="M903" s="12">
        <f>LOOKUP(412021100,[1]PlanCuentas!$A$2:$A$6092,[1]PlanCuentas!K$2:K$6092)</f>
        <v>0</v>
      </c>
      <c r="N903" s="12">
        <f>LOOKUP(412021200,[1]PlanCuentas!$A$2:$A$6092,[1]PlanCuentas!K$2:K$6092)</f>
        <v>0</v>
      </c>
      <c r="O903" s="12">
        <f>LOOKUP(412021300,[1]PlanCuentas!$A$2:$A$6092,[1]PlanCuentas!K$2:K$6092)</f>
        <v>0</v>
      </c>
      <c r="P903" s="12">
        <f>LOOKUP(412022000,[1]PlanCuentas!$A$2:$A$6092,[1]PlanCuentas!K$2:K$6092)</f>
        <v>0</v>
      </c>
      <c r="Q903" s="13">
        <f t="shared" si="46"/>
        <v>0</v>
      </c>
    </row>
    <row r="904" spans="1:17" x14ac:dyDescent="0.2">
      <c r="A904" s="10">
        <v>10</v>
      </c>
      <c r="B904" s="11" t="str">
        <f>[1]Aseguradoras!B11</f>
        <v>Patria S.A de Seguros y Reaseguros</v>
      </c>
      <c r="C904" s="12">
        <f>LOOKUP(412020100,[1]PlanCuentas!$A$2:$A$6092,[1]PlanCuentas!L$2:L$6092)</f>
        <v>0</v>
      </c>
      <c r="D904" s="12">
        <f>LOOKUP(412020200,[1]PlanCuentas!$A$2:$A$6092,[1]PlanCuentas!L$2:L$6092)</f>
        <v>0</v>
      </c>
      <c r="E904" s="12">
        <f>LOOKUP(412020300,[1]PlanCuentas!$A$2:$A$6092,[1]PlanCuentas!L$2:L$6092)</f>
        <v>0</v>
      </c>
      <c r="F904" s="12">
        <f>LOOKUP(412020400,[1]PlanCuentas!$A$2:$A$6092,[1]PlanCuentas!L$2:L$6092)</f>
        <v>0</v>
      </c>
      <c r="G904" s="12">
        <f>LOOKUP(412020500,[1]PlanCuentas!$A$2:$A$6092,[1]PlanCuentas!L$2:L$6092)</f>
        <v>0</v>
      </c>
      <c r="H904" s="12">
        <f>LOOKUP(412020600,[1]PlanCuentas!$A$2:$A$6092,[1]PlanCuentas!L$2:L$6092)</f>
        <v>0</v>
      </c>
      <c r="I904" s="12">
        <f>LOOKUP(412020700,[1]PlanCuentas!$A$2:$A$6092,[1]PlanCuentas!L$2:L$6092)</f>
        <v>0</v>
      </c>
      <c r="J904" s="12">
        <f>LOOKUP(412020800,[1]PlanCuentas!$A$2:$A$6092,[1]PlanCuentas!L$2:L$6092)</f>
        <v>0</v>
      </c>
      <c r="K904" s="12">
        <f>LOOKUP(412020900,[1]PlanCuentas!$A$2:$A$6092,[1]PlanCuentas!L$2:L$6092)</f>
        <v>0</v>
      </c>
      <c r="L904" s="12">
        <f>LOOKUP(412021000,[1]PlanCuentas!$A$2:$A$6092,[1]PlanCuentas!L$2:L$6092)</f>
        <v>0</v>
      </c>
      <c r="M904" s="12">
        <f>LOOKUP(412021100,[1]PlanCuentas!$A$2:$A$6092,[1]PlanCuentas!L$2:L$6092)</f>
        <v>0</v>
      </c>
      <c r="N904" s="12">
        <f>LOOKUP(412021200,[1]PlanCuentas!$A$2:$A$6092,[1]PlanCuentas!L$2:L$6092)</f>
        <v>0</v>
      </c>
      <c r="O904" s="12">
        <f>LOOKUP(412021300,[1]PlanCuentas!$A$2:$A$6092,[1]PlanCuentas!L$2:L$6092)</f>
        <v>0</v>
      </c>
      <c r="P904" s="12">
        <f>LOOKUP(412022000,[1]PlanCuentas!$A$2:$A$6092,[1]PlanCuentas!L$2:L$6092)</f>
        <v>0</v>
      </c>
      <c r="Q904" s="13">
        <f t="shared" si="46"/>
        <v>0</v>
      </c>
    </row>
    <row r="905" spans="1:17" x14ac:dyDescent="0.2">
      <c r="A905" s="10">
        <v>11</v>
      </c>
      <c r="B905" s="11" t="str">
        <f>[1]Aseguradoras!B12</f>
        <v>Garantía S.A de Seguros y Reaseguros</v>
      </c>
      <c r="C905" s="12">
        <f>LOOKUP(412020100,[1]PlanCuentas!$A$2:$A$6092,[1]PlanCuentas!M$2:M$6092)</f>
        <v>0</v>
      </c>
      <c r="D905" s="12">
        <f>LOOKUP(412020200,[1]PlanCuentas!$A$2:$A$6092,[1]PlanCuentas!M$2:M$6092)</f>
        <v>0</v>
      </c>
      <c r="E905" s="12">
        <f>LOOKUP(412020300,[1]PlanCuentas!$A$2:$A$6092,[1]PlanCuentas!M$2:M$6092)</f>
        <v>0</v>
      </c>
      <c r="F905" s="12">
        <f>LOOKUP(412020400,[1]PlanCuentas!$A$2:$A$6092,[1]PlanCuentas!M$2:M$6092)</f>
        <v>0</v>
      </c>
      <c r="G905" s="12">
        <f>LOOKUP(412020500,[1]PlanCuentas!$A$2:$A$6092,[1]PlanCuentas!M$2:M$6092)</f>
        <v>0</v>
      </c>
      <c r="H905" s="12">
        <f>LOOKUP(412020600,[1]PlanCuentas!$A$2:$A$6092,[1]PlanCuentas!M$2:M$6092)</f>
        <v>0</v>
      </c>
      <c r="I905" s="12">
        <f>LOOKUP(412020700,[1]PlanCuentas!$A$2:$A$6092,[1]PlanCuentas!M$2:M$6092)</f>
        <v>0</v>
      </c>
      <c r="J905" s="12">
        <f>LOOKUP(412020800,[1]PlanCuentas!$A$2:$A$6092,[1]PlanCuentas!M$2:M$6092)</f>
        <v>0</v>
      </c>
      <c r="K905" s="12">
        <f>LOOKUP(412020900,[1]PlanCuentas!$A$2:$A$6092,[1]PlanCuentas!M$2:M$6092)</f>
        <v>0</v>
      </c>
      <c r="L905" s="12">
        <f>LOOKUP(412021000,[1]PlanCuentas!$A$2:$A$6092,[1]PlanCuentas!M$2:M$6092)</f>
        <v>0</v>
      </c>
      <c r="M905" s="12">
        <f>LOOKUP(412021100,[1]PlanCuentas!$A$2:$A$6092,[1]PlanCuentas!M$2:M$6092)</f>
        <v>0</v>
      </c>
      <c r="N905" s="12">
        <f>LOOKUP(412021200,[1]PlanCuentas!$A$2:$A$6092,[1]PlanCuentas!M$2:M$6092)</f>
        <v>0</v>
      </c>
      <c r="O905" s="12">
        <f>LOOKUP(412021300,[1]PlanCuentas!$A$2:$A$6092,[1]PlanCuentas!M$2:M$6092)</f>
        <v>0</v>
      </c>
      <c r="P905" s="12">
        <f>LOOKUP(412022000,[1]PlanCuentas!$A$2:$A$6092,[1]PlanCuentas!M$2:M$6092)</f>
        <v>0</v>
      </c>
      <c r="Q905" s="13">
        <f t="shared" si="46"/>
        <v>0</v>
      </c>
    </row>
    <row r="906" spans="1:17" x14ac:dyDescent="0.2">
      <c r="A906" s="10">
        <v>12</v>
      </c>
      <c r="B906" s="11" t="str">
        <f>[1]Aseguradoras!B13</f>
        <v>Aseguradora Paraguaya S.A.</v>
      </c>
      <c r="C906" s="12">
        <f>LOOKUP(412020100,[1]PlanCuentas!$A$2:$A$6092,[1]PlanCuentas!N$2:N$6092)</f>
        <v>0</v>
      </c>
      <c r="D906" s="12">
        <f>LOOKUP(412020200,[1]PlanCuentas!$A$2:$A$6092,[1]PlanCuentas!N$2:N$6092)</f>
        <v>0</v>
      </c>
      <c r="E906" s="12">
        <f>LOOKUP(412020300,[1]PlanCuentas!$A$2:$A$6092,[1]PlanCuentas!N$2:N$6092)</f>
        <v>0</v>
      </c>
      <c r="F906" s="12">
        <f>LOOKUP(412020400,[1]PlanCuentas!$A$2:$A$6092,[1]PlanCuentas!N$2:N$6092)</f>
        <v>0</v>
      </c>
      <c r="G906" s="12">
        <f>LOOKUP(412020500,[1]PlanCuentas!$A$2:$A$6092,[1]PlanCuentas!N$2:N$6092)</f>
        <v>0</v>
      </c>
      <c r="H906" s="12">
        <f>LOOKUP(412020600,[1]PlanCuentas!$A$2:$A$6092,[1]PlanCuentas!N$2:N$6092)</f>
        <v>0</v>
      </c>
      <c r="I906" s="12">
        <f>LOOKUP(412020700,[1]PlanCuentas!$A$2:$A$6092,[1]PlanCuentas!N$2:N$6092)</f>
        <v>0</v>
      </c>
      <c r="J906" s="12">
        <f>LOOKUP(412020800,[1]PlanCuentas!$A$2:$A$6092,[1]PlanCuentas!N$2:N$6092)</f>
        <v>0</v>
      </c>
      <c r="K906" s="12">
        <f>LOOKUP(412020900,[1]PlanCuentas!$A$2:$A$6092,[1]PlanCuentas!N$2:N$6092)</f>
        <v>0</v>
      </c>
      <c r="L906" s="12">
        <f>LOOKUP(412021000,[1]PlanCuentas!$A$2:$A$6092,[1]PlanCuentas!N$2:N$6092)</f>
        <v>0</v>
      </c>
      <c r="M906" s="12">
        <f>LOOKUP(412021100,[1]PlanCuentas!$A$2:$A$6092,[1]PlanCuentas!N$2:N$6092)</f>
        <v>0</v>
      </c>
      <c r="N906" s="12">
        <f>LOOKUP(412021200,[1]PlanCuentas!$A$2:$A$6092,[1]PlanCuentas!N$2:N$6092)</f>
        <v>0</v>
      </c>
      <c r="O906" s="12">
        <f>LOOKUP(412021300,[1]PlanCuentas!$A$2:$A$6092,[1]PlanCuentas!N$2:N$6092)</f>
        <v>0</v>
      </c>
      <c r="P906" s="12">
        <f>LOOKUP(412022000,[1]PlanCuentas!$A$2:$A$6092,[1]PlanCuentas!N$2:N$6092)</f>
        <v>0</v>
      </c>
      <c r="Q906" s="13">
        <f t="shared" si="46"/>
        <v>0</v>
      </c>
    </row>
    <row r="907" spans="1:17" x14ac:dyDescent="0.2">
      <c r="A907" s="10">
        <v>13</v>
      </c>
      <c r="B907" s="11" t="str">
        <f>[1]Aseguradoras!B14</f>
        <v>Fénix S.A de Seguros y Reaseguros</v>
      </c>
      <c r="C907" s="12">
        <f>LOOKUP(412020100,[1]PlanCuentas!$A$2:$A$6092,[1]PlanCuentas!O$2:O$6092)</f>
        <v>0</v>
      </c>
      <c r="D907" s="12">
        <f>LOOKUP(412020200,[1]PlanCuentas!$A$2:$A$6092,[1]PlanCuentas!O$2:O$6092)</f>
        <v>0</v>
      </c>
      <c r="E907" s="12">
        <f>LOOKUP(412020300,[1]PlanCuentas!$A$2:$A$6092,[1]PlanCuentas!O$2:O$6092)</f>
        <v>0</v>
      </c>
      <c r="F907" s="12">
        <f>LOOKUP(412020400,[1]PlanCuentas!$A$2:$A$6092,[1]PlanCuentas!O$2:O$6092)</f>
        <v>0</v>
      </c>
      <c r="G907" s="12">
        <f>LOOKUP(412020500,[1]PlanCuentas!$A$2:$A$6092,[1]PlanCuentas!O$2:O$6092)</f>
        <v>0</v>
      </c>
      <c r="H907" s="12">
        <f>LOOKUP(412020600,[1]PlanCuentas!$A$2:$A$6092,[1]PlanCuentas!O$2:O$6092)</f>
        <v>0</v>
      </c>
      <c r="I907" s="12">
        <f>LOOKUP(412020700,[1]PlanCuentas!$A$2:$A$6092,[1]PlanCuentas!O$2:O$6092)</f>
        <v>0</v>
      </c>
      <c r="J907" s="12">
        <f>LOOKUP(412020800,[1]PlanCuentas!$A$2:$A$6092,[1]PlanCuentas!O$2:O$6092)</f>
        <v>0</v>
      </c>
      <c r="K907" s="12">
        <f>LOOKUP(412020900,[1]PlanCuentas!$A$2:$A$6092,[1]PlanCuentas!O$2:O$6092)</f>
        <v>0</v>
      </c>
      <c r="L907" s="12">
        <f>LOOKUP(412021000,[1]PlanCuentas!$A$2:$A$6092,[1]PlanCuentas!O$2:O$6092)</f>
        <v>0</v>
      </c>
      <c r="M907" s="12">
        <f>LOOKUP(412021100,[1]PlanCuentas!$A$2:$A$6092,[1]PlanCuentas!O$2:O$6092)</f>
        <v>0</v>
      </c>
      <c r="N907" s="12">
        <f>LOOKUP(412021200,[1]PlanCuentas!$A$2:$A$6092,[1]PlanCuentas!O$2:O$6092)</f>
        <v>0</v>
      </c>
      <c r="O907" s="12">
        <f>LOOKUP(412021300,[1]PlanCuentas!$A$2:$A$6092,[1]PlanCuentas!O$2:O$6092)</f>
        <v>0</v>
      </c>
      <c r="P907" s="12">
        <f>LOOKUP(412022000,[1]PlanCuentas!$A$2:$A$6092,[1]PlanCuentas!O$2:O$6092)</f>
        <v>0</v>
      </c>
      <c r="Q907" s="13">
        <f t="shared" si="46"/>
        <v>0</v>
      </c>
    </row>
    <row r="908" spans="1:17" x14ac:dyDescent="0.2">
      <c r="A908" s="10">
        <v>14</v>
      </c>
      <c r="B908" s="11" t="str">
        <f>[1]Aseguradoras!B15</f>
        <v>Central S.A de Seguros</v>
      </c>
      <c r="C908" s="12">
        <f>LOOKUP(412020100,[1]PlanCuentas!$A$2:$A$6092,[1]PlanCuentas!P$2:P$6092)</f>
        <v>0</v>
      </c>
      <c r="D908" s="12">
        <f>LOOKUP(412020200,[1]PlanCuentas!$A$2:$A$6092,[1]PlanCuentas!P$2:P$6092)</f>
        <v>0</v>
      </c>
      <c r="E908" s="12">
        <f>LOOKUP(412020300,[1]PlanCuentas!$A$2:$A$6092,[1]PlanCuentas!P$2:P$6092)</f>
        <v>0</v>
      </c>
      <c r="F908" s="12">
        <f>LOOKUP(412020400,[1]PlanCuentas!$A$2:$A$6092,[1]PlanCuentas!P$2:P$6092)</f>
        <v>0</v>
      </c>
      <c r="G908" s="12">
        <f>LOOKUP(412020500,[1]PlanCuentas!$A$2:$A$6092,[1]PlanCuentas!P$2:P$6092)</f>
        <v>0</v>
      </c>
      <c r="H908" s="12">
        <f>LOOKUP(412020600,[1]PlanCuentas!$A$2:$A$6092,[1]PlanCuentas!P$2:P$6092)</f>
        <v>0</v>
      </c>
      <c r="I908" s="12">
        <f>LOOKUP(412020700,[1]PlanCuentas!$A$2:$A$6092,[1]PlanCuentas!P$2:P$6092)</f>
        <v>0</v>
      </c>
      <c r="J908" s="12">
        <f>LOOKUP(412020800,[1]PlanCuentas!$A$2:$A$6092,[1]PlanCuentas!P$2:P$6092)</f>
        <v>0</v>
      </c>
      <c r="K908" s="12">
        <f>LOOKUP(412020900,[1]PlanCuentas!$A$2:$A$6092,[1]PlanCuentas!P$2:P$6092)</f>
        <v>0</v>
      </c>
      <c r="L908" s="12">
        <f>LOOKUP(412021000,[1]PlanCuentas!$A$2:$A$6092,[1]PlanCuentas!P$2:P$6092)</f>
        <v>0</v>
      </c>
      <c r="M908" s="12">
        <f>LOOKUP(412021100,[1]PlanCuentas!$A$2:$A$6092,[1]PlanCuentas!P$2:P$6092)</f>
        <v>0</v>
      </c>
      <c r="N908" s="12">
        <f>LOOKUP(412021200,[1]PlanCuentas!$A$2:$A$6092,[1]PlanCuentas!P$2:P$6092)</f>
        <v>0</v>
      </c>
      <c r="O908" s="12">
        <f>LOOKUP(412021300,[1]PlanCuentas!$A$2:$A$6092,[1]PlanCuentas!P$2:P$6092)</f>
        <v>0</v>
      </c>
      <c r="P908" s="12">
        <f>LOOKUP(412022000,[1]PlanCuentas!$A$2:$A$6092,[1]PlanCuentas!P$2:P$6092)</f>
        <v>0</v>
      </c>
      <c r="Q908" s="13">
        <f t="shared" si="46"/>
        <v>0</v>
      </c>
    </row>
    <row r="909" spans="1:17" x14ac:dyDescent="0.2">
      <c r="A909" s="10">
        <v>15</v>
      </c>
      <c r="B909" s="11" t="str">
        <f>[1]Aseguradoras!B16</f>
        <v>Seguros Chaco S.A de Seguros y Reaseguros</v>
      </c>
      <c r="C909" s="12">
        <f>LOOKUP(412020100,[1]PlanCuentas!$A$2:$A$6092,[1]PlanCuentas!Q$2:Q$6092)</f>
        <v>0</v>
      </c>
      <c r="D909" s="12">
        <f>LOOKUP(412020200,[1]PlanCuentas!$A$2:$A$6092,[1]PlanCuentas!Q$2:Q$6092)</f>
        <v>0</v>
      </c>
      <c r="E909" s="12">
        <f>LOOKUP(412020300,[1]PlanCuentas!$A$2:$A$6092,[1]PlanCuentas!Q$2:Q$6092)</f>
        <v>0</v>
      </c>
      <c r="F909" s="12">
        <f>LOOKUP(412020400,[1]PlanCuentas!$A$2:$A$6092,[1]PlanCuentas!Q$2:Q$6092)</f>
        <v>0</v>
      </c>
      <c r="G909" s="12">
        <f>LOOKUP(412020500,[1]PlanCuentas!$A$2:$A$6092,[1]PlanCuentas!Q$2:Q$6092)</f>
        <v>0</v>
      </c>
      <c r="H909" s="12">
        <f>LOOKUP(412020600,[1]PlanCuentas!$A$2:$A$6092,[1]PlanCuentas!Q$2:Q$6092)</f>
        <v>0</v>
      </c>
      <c r="I909" s="12">
        <f>LOOKUP(412020700,[1]PlanCuentas!$A$2:$A$6092,[1]PlanCuentas!Q$2:Q$6092)</f>
        <v>0</v>
      </c>
      <c r="J909" s="12">
        <f>LOOKUP(412020800,[1]PlanCuentas!$A$2:$A$6092,[1]PlanCuentas!Q$2:Q$6092)</f>
        <v>0</v>
      </c>
      <c r="K909" s="12">
        <f>LOOKUP(412020900,[1]PlanCuentas!$A$2:$A$6092,[1]PlanCuentas!Q$2:Q$6092)</f>
        <v>0</v>
      </c>
      <c r="L909" s="12">
        <f>LOOKUP(412021000,[1]PlanCuentas!$A$2:$A$6092,[1]PlanCuentas!Q$2:Q$6092)</f>
        <v>0</v>
      </c>
      <c r="M909" s="12">
        <f>LOOKUP(412021100,[1]PlanCuentas!$A$2:$A$6092,[1]PlanCuentas!Q$2:Q$6092)</f>
        <v>0</v>
      </c>
      <c r="N909" s="12">
        <f>LOOKUP(412021200,[1]PlanCuentas!$A$2:$A$6092,[1]PlanCuentas!Q$2:Q$6092)</f>
        <v>0</v>
      </c>
      <c r="O909" s="12">
        <f>LOOKUP(412021300,[1]PlanCuentas!$A$2:$A$6092,[1]PlanCuentas!Q$2:Q$6092)</f>
        <v>0</v>
      </c>
      <c r="P909" s="12">
        <f>LOOKUP(412022000,[1]PlanCuentas!$A$2:$A$6092,[1]PlanCuentas!Q$2:Q$6092)</f>
        <v>0</v>
      </c>
      <c r="Q909" s="13">
        <f t="shared" si="46"/>
        <v>0</v>
      </c>
    </row>
    <row r="910" spans="1:17" x14ac:dyDescent="0.2">
      <c r="A910" s="10">
        <v>16</v>
      </c>
      <c r="B910" s="11" t="str">
        <f>[1]Aseguradoras!B17</f>
        <v>El Sol Del Paraguay Compañía de Seguros y Reaseguros S.A.</v>
      </c>
      <c r="C910" s="12">
        <f>LOOKUP(412020100,[1]PlanCuentas!$A$2:$A$6092,[1]PlanCuentas!R$2:R$6092)</f>
        <v>0</v>
      </c>
      <c r="D910" s="12">
        <f>LOOKUP(412020200,[1]PlanCuentas!$A$2:$A$6092,[1]PlanCuentas!R$2:R$6092)</f>
        <v>0</v>
      </c>
      <c r="E910" s="12">
        <f>LOOKUP(412020300,[1]PlanCuentas!$A$2:$A$6092,[1]PlanCuentas!R$2:R$6092)</f>
        <v>0</v>
      </c>
      <c r="F910" s="12">
        <f>LOOKUP(412020400,[1]PlanCuentas!$A$2:$A$6092,[1]PlanCuentas!R$2:R$6092)</f>
        <v>0</v>
      </c>
      <c r="G910" s="12">
        <f>LOOKUP(412020500,[1]PlanCuentas!$A$2:$A$6092,[1]PlanCuentas!R$2:R$6092)</f>
        <v>0</v>
      </c>
      <c r="H910" s="12">
        <f>LOOKUP(412020600,[1]PlanCuentas!$A$2:$A$6092,[1]PlanCuentas!R$2:R$6092)</f>
        <v>0</v>
      </c>
      <c r="I910" s="12">
        <f>LOOKUP(412020700,[1]PlanCuentas!$A$2:$A$6092,[1]PlanCuentas!R$2:R$6092)</f>
        <v>0</v>
      </c>
      <c r="J910" s="12">
        <f>LOOKUP(412020800,[1]PlanCuentas!$A$2:$A$6092,[1]PlanCuentas!R$2:R$6092)</f>
        <v>0</v>
      </c>
      <c r="K910" s="12">
        <f>LOOKUP(412020900,[1]PlanCuentas!$A$2:$A$6092,[1]PlanCuentas!R$2:R$6092)</f>
        <v>0</v>
      </c>
      <c r="L910" s="12">
        <f>LOOKUP(412021000,[1]PlanCuentas!$A$2:$A$6092,[1]PlanCuentas!R$2:R$6092)</f>
        <v>0</v>
      </c>
      <c r="M910" s="12">
        <f>LOOKUP(412021100,[1]PlanCuentas!$A$2:$A$6092,[1]PlanCuentas!R$2:R$6092)</f>
        <v>0</v>
      </c>
      <c r="N910" s="12">
        <f>LOOKUP(412021200,[1]PlanCuentas!$A$2:$A$6092,[1]PlanCuentas!R$2:R$6092)</f>
        <v>0</v>
      </c>
      <c r="O910" s="12">
        <f>LOOKUP(412021300,[1]PlanCuentas!$A$2:$A$6092,[1]PlanCuentas!R$2:R$6092)</f>
        <v>0</v>
      </c>
      <c r="P910" s="12">
        <f>LOOKUP(412022000,[1]PlanCuentas!$A$2:$A$6092,[1]PlanCuentas!R$2:R$6092)</f>
        <v>0</v>
      </c>
      <c r="Q910" s="13">
        <f t="shared" si="46"/>
        <v>0</v>
      </c>
    </row>
    <row r="911" spans="1:17" x14ac:dyDescent="0.2">
      <c r="A911" s="10">
        <v>17</v>
      </c>
      <c r="B911" s="11" t="str">
        <f>[1]Aseguradoras!B18</f>
        <v>Intercontinental de Seguros y Reaseguros S.A.</v>
      </c>
      <c r="C911" s="12">
        <f>LOOKUP(412020100,[1]PlanCuentas!$A$2:$A$6092,[1]PlanCuentas!S$2:S$6092)</f>
        <v>0</v>
      </c>
      <c r="D911" s="12">
        <f>LOOKUP(412020200,[1]PlanCuentas!$A$2:$A$6092,[1]PlanCuentas!S$2:S$6092)</f>
        <v>0</v>
      </c>
      <c r="E911" s="12">
        <f>LOOKUP(412020300,[1]PlanCuentas!$A$2:$A$6092,[1]PlanCuentas!S$2:S$6092)</f>
        <v>0</v>
      </c>
      <c r="F911" s="12">
        <f>LOOKUP(412020400,[1]PlanCuentas!$A$2:$A$6092,[1]PlanCuentas!S$2:S$6092)</f>
        <v>0</v>
      </c>
      <c r="G911" s="12">
        <f>LOOKUP(412020500,[1]PlanCuentas!$A$2:$A$6092,[1]PlanCuentas!S$2:S$6092)</f>
        <v>0</v>
      </c>
      <c r="H911" s="12">
        <f>LOOKUP(412020600,[1]PlanCuentas!$A$2:$A$6092,[1]PlanCuentas!S$2:S$6092)</f>
        <v>0</v>
      </c>
      <c r="I911" s="12">
        <f>LOOKUP(412020700,[1]PlanCuentas!$A$2:$A$6092,[1]PlanCuentas!S$2:S$6092)</f>
        <v>0</v>
      </c>
      <c r="J911" s="12">
        <f>LOOKUP(412020800,[1]PlanCuentas!$A$2:$A$6092,[1]PlanCuentas!S$2:S$6092)</f>
        <v>0</v>
      </c>
      <c r="K911" s="12">
        <f>LOOKUP(412020900,[1]PlanCuentas!$A$2:$A$6092,[1]PlanCuentas!S$2:S$6092)</f>
        <v>0</v>
      </c>
      <c r="L911" s="12">
        <f>LOOKUP(412021000,[1]PlanCuentas!$A$2:$A$6092,[1]PlanCuentas!S$2:S$6092)</f>
        <v>0</v>
      </c>
      <c r="M911" s="12">
        <f>LOOKUP(412021100,[1]PlanCuentas!$A$2:$A$6092,[1]PlanCuentas!S$2:S$6092)</f>
        <v>0</v>
      </c>
      <c r="N911" s="12">
        <f>LOOKUP(412021200,[1]PlanCuentas!$A$2:$A$6092,[1]PlanCuentas!S$2:S$6092)</f>
        <v>0</v>
      </c>
      <c r="O911" s="12">
        <f>LOOKUP(412021300,[1]PlanCuentas!$A$2:$A$6092,[1]PlanCuentas!S$2:S$6092)</f>
        <v>0</v>
      </c>
      <c r="P911" s="12">
        <f>LOOKUP(412022000,[1]PlanCuentas!$A$2:$A$6092,[1]PlanCuentas!S$2:S$6092)</f>
        <v>0</v>
      </c>
      <c r="Q911" s="13">
        <f t="shared" si="46"/>
        <v>0</v>
      </c>
    </row>
    <row r="912" spans="1:17" x14ac:dyDescent="0.2">
      <c r="A912" s="10">
        <v>18</v>
      </c>
      <c r="B912" s="11" t="str">
        <f>[1]Aseguradoras!B19</f>
        <v>Seguridad S.A Compañía de Seguros</v>
      </c>
      <c r="C912" s="12">
        <f>LOOKUP(412020100,[1]PlanCuentas!$A$2:$A$6092,[1]PlanCuentas!T$2:T$6092)</f>
        <v>0</v>
      </c>
      <c r="D912" s="12">
        <f>LOOKUP(412020200,[1]PlanCuentas!$A$2:$A$6092,[1]PlanCuentas!T$2:T$6092)</f>
        <v>0</v>
      </c>
      <c r="E912" s="12">
        <f>LOOKUP(412020300,[1]PlanCuentas!$A$2:$A$6092,[1]PlanCuentas!T$2:T$6092)</f>
        <v>0</v>
      </c>
      <c r="F912" s="12">
        <f>LOOKUP(412020400,[1]PlanCuentas!$A$2:$A$6092,[1]PlanCuentas!T$2:T$6092)</f>
        <v>0</v>
      </c>
      <c r="G912" s="12">
        <f>LOOKUP(412020500,[1]PlanCuentas!$A$2:$A$6092,[1]PlanCuentas!T$2:T$6092)</f>
        <v>0</v>
      </c>
      <c r="H912" s="12">
        <f>LOOKUP(412020600,[1]PlanCuentas!$A$2:$A$6092,[1]PlanCuentas!T$2:T$6092)</f>
        <v>0</v>
      </c>
      <c r="I912" s="12">
        <f>LOOKUP(412020700,[1]PlanCuentas!$A$2:$A$6092,[1]PlanCuentas!T$2:T$6092)</f>
        <v>0</v>
      </c>
      <c r="J912" s="12">
        <f>LOOKUP(412020800,[1]PlanCuentas!$A$2:$A$6092,[1]PlanCuentas!T$2:T$6092)</f>
        <v>0</v>
      </c>
      <c r="K912" s="12">
        <f>LOOKUP(412020900,[1]PlanCuentas!$A$2:$A$6092,[1]PlanCuentas!T$2:T$6092)</f>
        <v>0</v>
      </c>
      <c r="L912" s="12">
        <f>LOOKUP(412021000,[1]PlanCuentas!$A$2:$A$6092,[1]PlanCuentas!T$2:T$6092)</f>
        <v>0</v>
      </c>
      <c r="M912" s="12">
        <f>LOOKUP(412021100,[1]PlanCuentas!$A$2:$A$6092,[1]PlanCuentas!T$2:T$6092)</f>
        <v>0</v>
      </c>
      <c r="N912" s="12">
        <f>LOOKUP(412021200,[1]PlanCuentas!$A$2:$A$6092,[1]PlanCuentas!T$2:T$6092)</f>
        <v>0</v>
      </c>
      <c r="O912" s="12">
        <f>LOOKUP(412021300,[1]PlanCuentas!$A$2:$A$6092,[1]PlanCuentas!T$2:T$6092)</f>
        <v>0</v>
      </c>
      <c r="P912" s="12">
        <f>LOOKUP(412022000,[1]PlanCuentas!$A$2:$A$6092,[1]PlanCuentas!T$2:T$6092)</f>
        <v>0</v>
      </c>
      <c r="Q912" s="13">
        <f t="shared" si="46"/>
        <v>0</v>
      </c>
    </row>
    <row r="913" spans="1:28" x14ac:dyDescent="0.2">
      <c r="A913" s="10">
        <v>19</v>
      </c>
      <c r="B913" s="11" t="str">
        <f>[1]Aseguradoras!B20</f>
        <v>Universo de Seguros y Reaseguros S.A.</v>
      </c>
      <c r="C913" s="12">
        <f>LOOKUP(412020100,[1]PlanCuentas!$A$2:$A$6092,[1]PlanCuentas!U$2:U$6092)</f>
        <v>0</v>
      </c>
      <c r="D913" s="12">
        <f>LOOKUP(412020200,[1]PlanCuentas!$A$2:$A$6092,[1]PlanCuentas!U$2:U$6092)</f>
        <v>0</v>
      </c>
      <c r="E913" s="12">
        <f>LOOKUP(412020300,[1]PlanCuentas!$A$2:$A$6092,[1]PlanCuentas!U$2:U$6092)</f>
        <v>0</v>
      </c>
      <c r="F913" s="12">
        <f>LOOKUP(412020400,[1]PlanCuentas!$A$2:$A$6092,[1]PlanCuentas!U$2:U$6092)</f>
        <v>0</v>
      </c>
      <c r="G913" s="12">
        <f>LOOKUP(412020500,[1]PlanCuentas!$A$2:$A$6092,[1]PlanCuentas!U$2:U$6092)</f>
        <v>0</v>
      </c>
      <c r="H913" s="12">
        <f>LOOKUP(412020600,[1]PlanCuentas!$A$2:$A$6092,[1]PlanCuentas!U$2:U$6092)</f>
        <v>0</v>
      </c>
      <c r="I913" s="12">
        <f>LOOKUP(412020700,[1]PlanCuentas!$A$2:$A$6092,[1]PlanCuentas!U$2:U$6092)</f>
        <v>0</v>
      </c>
      <c r="J913" s="12">
        <f>LOOKUP(412020800,[1]PlanCuentas!$A$2:$A$6092,[1]PlanCuentas!U$2:U$6092)</f>
        <v>0</v>
      </c>
      <c r="K913" s="12">
        <f>LOOKUP(412020900,[1]PlanCuentas!$A$2:$A$6092,[1]PlanCuentas!U$2:U$6092)</f>
        <v>0</v>
      </c>
      <c r="L913" s="12">
        <f>LOOKUP(412021000,[1]PlanCuentas!$A$2:$A$6092,[1]PlanCuentas!U$2:U$6092)</f>
        <v>0</v>
      </c>
      <c r="M913" s="12">
        <f>LOOKUP(412021100,[1]PlanCuentas!$A$2:$A$6092,[1]PlanCuentas!U$2:U$6092)</f>
        <v>0</v>
      </c>
      <c r="N913" s="12">
        <f>LOOKUP(412021200,[1]PlanCuentas!$A$2:$A$6092,[1]PlanCuentas!U$2:U$6092)</f>
        <v>0</v>
      </c>
      <c r="O913" s="12">
        <f>LOOKUP(412021300,[1]PlanCuentas!$A$2:$A$6092,[1]PlanCuentas!U$2:U$6092)</f>
        <v>0</v>
      </c>
      <c r="P913" s="12">
        <f>LOOKUP(412022000,[1]PlanCuentas!$A$2:$A$6092,[1]PlanCuentas!U$2:U$6092)</f>
        <v>0</v>
      </c>
      <c r="Q913" s="13">
        <f t="shared" si="46"/>
        <v>0</v>
      </c>
    </row>
    <row r="914" spans="1:28" x14ac:dyDescent="0.2">
      <c r="A914" s="10">
        <v>20</v>
      </c>
      <c r="B914" s="11" t="str">
        <f>[1]Aseguradoras!B21</f>
        <v>Aseguradora Yacyreta S.A de Seguros y Reaseguros</v>
      </c>
      <c r="C914" s="12">
        <f>LOOKUP(412020100,[1]PlanCuentas!$A$2:$A$6092,[1]PlanCuentas!V$2:V$6092)</f>
        <v>0</v>
      </c>
      <c r="D914" s="12">
        <f>LOOKUP(412020200,[1]PlanCuentas!$A$2:$A$6092,[1]PlanCuentas!V$2:V$6092)</f>
        <v>0</v>
      </c>
      <c r="E914" s="12">
        <f>LOOKUP(412020300,[1]PlanCuentas!$A$2:$A$6092,[1]PlanCuentas!V$2:V$6092)</f>
        <v>0</v>
      </c>
      <c r="F914" s="12">
        <f>LOOKUP(412020400,[1]PlanCuentas!$A$2:$A$6092,[1]PlanCuentas!V$2:V$6092)</f>
        <v>0</v>
      </c>
      <c r="G914" s="12">
        <f>LOOKUP(412020500,[1]PlanCuentas!$A$2:$A$6092,[1]PlanCuentas!V$2:V$6092)</f>
        <v>0</v>
      </c>
      <c r="H914" s="12">
        <f>LOOKUP(412020600,[1]PlanCuentas!$A$2:$A$6092,[1]PlanCuentas!V$2:V$6092)</f>
        <v>0</v>
      </c>
      <c r="I914" s="12">
        <f>LOOKUP(412020700,[1]PlanCuentas!$A$2:$A$6092,[1]PlanCuentas!V$2:V$6092)</f>
        <v>0</v>
      </c>
      <c r="J914" s="12">
        <f>LOOKUP(412020800,[1]PlanCuentas!$A$2:$A$6092,[1]PlanCuentas!V$2:V$6092)</f>
        <v>0</v>
      </c>
      <c r="K914" s="12">
        <f>LOOKUP(412020900,[1]PlanCuentas!$A$2:$A$6092,[1]PlanCuentas!V$2:V$6092)</f>
        <v>0</v>
      </c>
      <c r="L914" s="12">
        <f>LOOKUP(412021000,[1]PlanCuentas!$A$2:$A$6092,[1]PlanCuentas!V$2:V$6092)</f>
        <v>0</v>
      </c>
      <c r="M914" s="12">
        <f>LOOKUP(412021100,[1]PlanCuentas!$A$2:$A$6092,[1]PlanCuentas!V$2:V$6092)</f>
        <v>0</v>
      </c>
      <c r="N914" s="12">
        <f>LOOKUP(412021200,[1]PlanCuentas!$A$2:$A$6092,[1]PlanCuentas!V$2:V$6092)</f>
        <v>0</v>
      </c>
      <c r="O914" s="12">
        <f>LOOKUP(412021300,[1]PlanCuentas!$A$2:$A$6092,[1]PlanCuentas!V$2:V$6092)</f>
        <v>0</v>
      </c>
      <c r="P914" s="12">
        <f>LOOKUP(412022000,[1]PlanCuentas!$A$2:$A$6092,[1]PlanCuentas!V$2:V$6092)</f>
        <v>0</v>
      </c>
      <c r="Q914" s="13">
        <f t="shared" si="46"/>
        <v>0</v>
      </c>
    </row>
    <row r="915" spans="1:28" x14ac:dyDescent="0.2">
      <c r="A915" s="10">
        <v>21</v>
      </c>
      <c r="B915" s="11" t="str">
        <f>[1]Aseguradoras!B22</f>
        <v>La Agricola S.A de Seguros y Reaseguros</v>
      </c>
      <c r="C915" s="12">
        <f>LOOKUP(412020100,[1]PlanCuentas!$A$2:$A$6092,[1]PlanCuentas!W$2:W$6092)</f>
        <v>0</v>
      </c>
      <c r="D915" s="12">
        <f>LOOKUP(412020200,[1]PlanCuentas!$A$2:$A$6092,[1]PlanCuentas!W$2:W$6092)</f>
        <v>0</v>
      </c>
      <c r="E915" s="12">
        <f>LOOKUP(412020300,[1]PlanCuentas!$A$2:$A$6092,[1]PlanCuentas!W$2:W$6092)</f>
        <v>0</v>
      </c>
      <c r="F915" s="12">
        <f>LOOKUP(412020400,[1]PlanCuentas!$A$2:$A$6092,[1]PlanCuentas!W$2:W$6092)</f>
        <v>0</v>
      </c>
      <c r="G915" s="12">
        <f>LOOKUP(412020500,[1]PlanCuentas!$A$2:$A$6092,[1]PlanCuentas!W$2:W$6092)</f>
        <v>0</v>
      </c>
      <c r="H915" s="12">
        <f>LOOKUP(412020600,[1]PlanCuentas!$A$2:$A$6092,[1]PlanCuentas!W$2:W$6092)</f>
        <v>0</v>
      </c>
      <c r="I915" s="12">
        <f>LOOKUP(412020700,[1]PlanCuentas!$A$2:$A$6092,[1]PlanCuentas!W$2:W$6092)</f>
        <v>0</v>
      </c>
      <c r="J915" s="12">
        <f>LOOKUP(412020800,[1]PlanCuentas!$A$2:$A$6092,[1]PlanCuentas!W$2:W$6092)</f>
        <v>0</v>
      </c>
      <c r="K915" s="12">
        <f>LOOKUP(412020900,[1]PlanCuentas!$A$2:$A$6092,[1]PlanCuentas!W$2:W$6092)</f>
        <v>0</v>
      </c>
      <c r="L915" s="12">
        <f>LOOKUP(412021000,[1]PlanCuentas!$A$2:$A$6092,[1]PlanCuentas!W$2:W$6092)</f>
        <v>0</v>
      </c>
      <c r="M915" s="12">
        <f>LOOKUP(412021100,[1]PlanCuentas!$A$2:$A$6092,[1]PlanCuentas!W$2:W$6092)</f>
        <v>0</v>
      </c>
      <c r="N915" s="12">
        <f>LOOKUP(412021200,[1]PlanCuentas!$A$2:$A$6092,[1]PlanCuentas!W$2:W$6092)</f>
        <v>0</v>
      </c>
      <c r="O915" s="12">
        <f>LOOKUP(412021300,[1]PlanCuentas!$A$2:$A$6092,[1]PlanCuentas!W$2:W$6092)</f>
        <v>0</v>
      </c>
      <c r="P915" s="12">
        <f>LOOKUP(412022000,[1]PlanCuentas!$A$2:$A$6092,[1]PlanCuentas!W$2:W$6092)</f>
        <v>0</v>
      </c>
      <c r="Q915" s="13">
        <f t="shared" si="46"/>
        <v>0</v>
      </c>
    </row>
    <row r="916" spans="1:28" x14ac:dyDescent="0.2">
      <c r="A916" s="10">
        <v>22</v>
      </c>
      <c r="B916" s="11" t="str">
        <f>[1]Aseguradoras!B23</f>
        <v>Grupo General de Seguros y Reaseguros S.A.</v>
      </c>
      <c r="C916" s="12">
        <f>LOOKUP(412020100,[1]PlanCuentas!$A$2:$A$6092,[1]PlanCuentas!X$2:X$6092)</f>
        <v>0</v>
      </c>
      <c r="D916" s="12">
        <f>LOOKUP(412020200,[1]PlanCuentas!$A$2:$A$6092,[1]PlanCuentas!X$2:X$6092)</f>
        <v>0</v>
      </c>
      <c r="E916" s="12">
        <f>LOOKUP(412020300,[1]PlanCuentas!$A$2:$A$6092,[1]PlanCuentas!X$2:X$6092)</f>
        <v>0</v>
      </c>
      <c r="F916" s="12">
        <f>LOOKUP(412020400,[1]PlanCuentas!$A$2:$A$6092,[1]PlanCuentas!X$2:X$6092)</f>
        <v>0</v>
      </c>
      <c r="G916" s="12">
        <f>LOOKUP(412020500,[1]PlanCuentas!$A$2:$A$6092,[1]PlanCuentas!X$2:X$6092)</f>
        <v>0</v>
      </c>
      <c r="H916" s="12">
        <f>LOOKUP(412020600,[1]PlanCuentas!$A$2:$A$6092,[1]PlanCuentas!X$2:X$6092)</f>
        <v>0</v>
      </c>
      <c r="I916" s="12">
        <f>LOOKUP(412020700,[1]PlanCuentas!$A$2:$A$6092,[1]PlanCuentas!X$2:X$6092)</f>
        <v>0</v>
      </c>
      <c r="J916" s="12">
        <f>LOOKUP(412020800,[1]PlanCuentas!$A$2:$A$6092,[1]PlanCuentas!X$2:X$6092)</f>
        <v>0</v>
      </c>
      <c r="K916" s="12">
        <f>LOOKUP(412020900,[1]PlanCuentas!$A$2:$A$6092,[1]PlanCuentas!X$2:X$6092)</f>
        <v>0</v>
      </c>
      <c r="L916" s="12">
        <f>LOOKUP(412021000,[1]PlanCuentas!$A$2:$A$6092,[1]PlanCuentas!X$2:X$6092)</f>
        <v>0</v>
      </c>
      <c r="M916" s="12">
        <f>LOOKUP(412021100,[1]PlanCuentas!$A$2:$A$6092,[1]PlanCuentas!X$2:X$6092)</f>
        <v>0</v>
      </c>
      <c r="N916" s="12">
        <f>LOOKUP(412021200,[1]PlanCuentas!$A$2:$A$6092,[1]PlanCuentas!X$2:X$6092)</f>
        <v>0</v>
      </c>
      <c r="O916" s="12">
        <f>LOOKUP(412021300,[1]PlanCuentas!$A$2:$A$6092,[1]PlanCuentas!X$2:X$6092)</f>
        <v>0</v>
      </c>
      <c r="P916" s="12">
        <f>LOOKUP(412022000,[1]PlanCuentas!$A$2:$A$6092,[1]PlanCuentas!X$2:X$6092)</f>
        <v>0</v>
      </c>
      <c r="Q916" s="13">
        <f t="shared" si="46"/>
        <v>0</v>
      </c>
    </row>
    <row r="917" spans="1:28" x14ac:dyDescent="0.2">
      <c r="A917" s="10">
        <v>23</v>
      </c>
      <c r="B917" s="11" t="str">
        <f>[1]Aseguradoras!B24</f>
        <v>Alfa S.A de Seguros y Reaseguros</v>
      </c>
      <c r="C917" s="12">
        <f>LOOKUP(412020100,[1]PlanCuentas!$A$2:$A$6092,[1]PlanCuentas!Y$2:Y$6092)</f>
        <v>0</v>
      </c>
      <c r="D917" s="12">
        <f>LOOKUP(412020200,[1]PlanCuentas!$A$2:$A$6092,[1]PlanCuentas!Y$2:Y$6092)</f>
        <v>0</v>
      </c>
      <c r="E917" s="12">
        <f>LOOKUP(412020300,[1]PlanCuentas!$A$2:$A$6092,[1]PlanCuentas!Y$2:Y$6092)</f>
        <v>0</v>
      </c>
      <c r="F917" s="12">
        <f>LOOKUP(412020400,[1]PlanCuentas!$A$2:$A$6092,[1]PlanCuentas!Y$2:Y$6092)</f>
        <v>0</v>
      </c>
      <c r="G917" s="12">
        <f>LOOKUP(412020500,[1]PlanCuentas!$A$2:$A$6092,[1]PlanCuentas!Y$2:Y$6092)</f>
        <v>0</v>
      </c>
      <c r="H917" s="12">
        <f>LOOKUP(412020600,[1]PlanCuentas!$A$2:$A$6092,[1]PlanCuentas!Y$2:Y$6092)</f>
        <v>0</v>
      </c>
      <c r="I917" s="12">
        <f>LOOKUP(412020700,[1]PlanCuentas!$A$2:$A$6092,[1]PlanCuentas!Y$2:Y$6092)</f>
        <v>0</v>
      </c>
      <c r="J917" s="12">
        <f>LOOKUP(412020800,[1]PlanCuentas!$A$2:$A$6092,[1]PlanCuentas!Y$2:Y$6092)</f>
        <v>0</v>
      </c>
      <c r="K917" s="12">
        <f>LOOKUP(412020900,[1]PlanCuentas!$A$2:$A$6092,[1]PlanCuentas!Y$2:Y$6092)</f>
        <v>0</v>
      </c>
      <c r="L917" s="12">
        <f>LOOKUP(412021000,[1]PlanCuentas!$A$2:$A$6092,[1]PlanCuentas!Y$2:Y$6092)</f>
        <v>0</v>
      </c>
      <c r="M917" s="12">
        <f>LOOKUP(412021100,[1]PlanCuentas!$A$2:$A$6092,[1]PlanCuentas!Y$2:Y$6092)</f>
        <v>0</v>
      </c>
      <c r="N917" s="12">
        <f>LOOKUP(412021200,[1]PlanCuentas!$A$2:$A$6092,[1]PlanCuentas!Y$2:Y$6092)</f>
        <v>0</v>
      </c>
      <c r="O917" s="12">
        <f>LOOKUP(412021300,[1]PlanCuentas!$A$2:$A$6092,[1]PlanCuentas!Y$2:Y$6092)</f>
        <v>0</v>
      </c>
      <c r="P917" s="12">
        <f>LOOKUP(412022000,[1]PlanCuentas!$A$2:$A$6092,[1]PlanCuentas!Y$2:Y$6092)</f>
        <v>0</v>
      </c>
      <c r="Q917" s="13">
        <f t="shared" si="46"/>
        <v>0</v>
      </c>
    </row>
    <row r="918" spans="1:28" x14ac:dyDescent="0.2">
      <c r="A918" s="10">
        <v>24</v>
      </c>
      <c r="B918" s="11" t="str">
        <f>[1]Aseguradoras!B25</f>
        <v>Cenit de Seguros S.A.</v>
      </c>
      <c r="C918" s="12">
        <f>LOOKUP(412020100,[1]PlanCuentas!$A$2:$A$6092,[1]PlanCuentas!Z$2:Z$6092)</f>
        <v>0</v>
      </c>
      <c r="D918" s="12">
        <f>LOOKUP(412020200,[1]PlanCuentas!$A$2:$A$6092,[1]PlanCuentas!Z$2:Z$6092)</f>
        <v>0</v>
      </c>
      <c r="E918" s="12">
        <f>LOOKUP(412020300,[1]PlanCuentas!$A$2:$A$6092,[1]PlanCuentas!Z$2:Z$6092)</f>
        <v>0</v>
      </c>
      <c r="F918" s="12">
        <f>LOOKUP(412020400,[1]PlanCuentas!$A$2:$A$6092,[1]PlanCuentas!Z$2:Z$6092)</f>
        <v>0</v>
      </c>
      <c r="G918" s="12">
        <f>LOOKUP(412020500,[1]PlanCuentas!$A$2:$A$6092,[1]PlanCuentas!Z$2:Z$6092)</f>
        <v>0</v>
      </c>
      <c r="H918" s="12">
        <f>LOOKUP(412020600,[1]PlanCuentas!$A$2:$A$6092,[1]PlanCuentas!Z$2:Z$6092)</f>
        <v>0</v>
      </c>
      <c r="I918" s="12">
        <f>LOOKUP(412020700,[1]PlanCuentas!$A$2:$A$6092,[1]PlanCuentas!Z$2:Z$6092)</f>
        <v>0</v>
      </c>
      <c r="J918" s="12">
        <f>LOOKUP(412020800,[1]PlanCuentas!$A$2:$A$6092,[1]PlanCuentas!Z$2:Z$6092)</f>
        <v>0</v>
      </c>
      <c r="K918" s="12">
        <f>LOOKUP(412020900,[1]PlanCuentas!$A$2:$A$6092,[1]PlanCuentas!Z$2:Z$6092)</f>
        <v>0</v>
      </c>
      <c r="L918" s="12">
        <f>LOOKUP(412021000,[1]PlanCuentas!$A$2:$A$6092,[1]PlanCuentas!Z$2:Z$6092)</f>
        <v>0</v>
      </c>
      <c r="M918" s="12">
        <f>LOOKUP(412021100,[1]PlanCuentas!$A$2:$A$6092,[1]PlanCuentas!Z$2:Z$6092)</f>
        <v>0</v>
      </c>
      <c r="N918" s="12">
        <f>LOOKUP(412021200,[1]PlanCuentas!$A$2:$A$6092,[1]PlanCuentas!Z$2:Z$6092)</f>
        <v>0</v>
      </c>
      <c r="O918" s="12">
        <f>LOOKUP(412021300,[1]PlanCuentas!$A$2:$A$6092,[1]PlanCuentas!Z$2:Z$6092)</f>
        <v>0</v>
      </c>
      <c r="P918" s="12">
        <f>LOOKUP(412022000,[1]PlanCuentas!$A$2:$A$6092,[1]PlanCuentas!Z$2:Z$6092)</f>
        <v>0</v>
      </c>
      <c r="Q918" s="13">
        <f t="shared" si="46"/>
        <v>0</v>
      </c>
    </row>
    <row r="919" spans="1:28" x14ac:dyDescent="0.2">
      <c r="A919" s="10">
        <v>25</v>
      </c>
      <c r="B919" s="11" t="str">
        <f>[1]Aseguradoras!B26</f>
        <v>La Meridional Paraguaya S.A de Seguros</v>
      </c>
      <c r="C919" s="12">
        <f>LOOKUP(412020100,[1]PlanCuentas!$A$2:$A$6092,[1]PlanCuentas!AA$2:AA$6092)</f>
        <v>0</v>
      </c>
      <c r="D919" s="12">
        <f>LOOKUP(412020200,[1]PlanCuentas!$A$2:$A$6092,[1]PlanCuentas!AA$2:AA$6092)</f>
        <v>0</v>
      </c>
      <c r="E919" s="12">
        <f>LOOKUP(412020300,[1]PlanCuentas!$A$2:$A$6092,[1]PlanCuentas!AA$2:AA$6092)</f>
        <v>0</v>
      </c>
      <c r="F919" s="12">
        <f>LOOKUP(412020400,[1]PlanCuentas!$A$2:$A$6092,[1]PlanCuentas!AA$2:AA$6092)</f>
        <v>0</v>
      </c>
      <c r="G919" s="12">
        <f>LOOKUP(412020500,[1]PlanCuentas!$A$2:$A$6092,[1]PlanCuentas!AA$2:AA$6092)</f>
        <v>0</v>
      </c>
      <c r="H919" s="12">
        <f>LOOKUP(412020600,[1]PlanCuentas!$A$2:$A$6092,[1]PlanCuentas!AA$2:AA$6092)</f>
        <v>0</v>
      </c>
      <c r="I919" s="12">
        <f>LOOKUP(412020700,[1]PlanCuentas!$A$2:$A$6092,[1]PlanCuentas!AA$2:AA$6092)</f>
        <v>0</v>
      </c>
      <c r="J919" s="12">
        <f>LOOKUP(412020800,[1]PlanCuentas!$A$2:$A$6092,[1]PlanCuentas!AA$2:AA$6092)</f>
        <v>0</v>
      </c>
      <c r="K919" s="12">
        <f>LOOKUP(412020900,[1]PlanCuentas!$A$2:$A$6092,[1]PlanCuentas!AA$2:AA$6092)</f>
        <v>0</v>
      </c>
      <c r="L919" s="12">
        <f>LOOKUP(412021000,[1]PlanCuentas!$A$2:$A$6092,[1]PlanCuentas!AA$2:AA$6092)</f>
        <v>0</v>
      </c>
      <c r="M919" s="12">
        <f>LOOKUP(412021100,[1]PlanCuentas!$A$2:$A$6092,[1]PlanCuentas!AA$2:AA$6092)</f>
        <v>0</v>
      </c>
      <c r="N919" s="12">
        <f>LOOKUP(412021200,[1]PlanCuentas!$A$2:$A$6092,[1]PlanCuentas!AA$2:AA$6092)</f>
        <v>0</v>
      </c>
      <c r="O919" s="12">
        <f>LOOKUP(412021300,[1]PlanCuentas!$A$2:$A$6092,[1]PlanCuentas!AA$2:AA$6092)</f>
        <v>0</v>
      </c>
      <c r="P919" s="12">
        <f>LOOKUP(412022000,[1]PlanCuentas!$A$2:$A$6092,[1]PlanCuentas!AA$2:AA$6092)</f>
        <v>0</v>
      </c>
      <c r="Q919" s="13">
        <f t="shared" si="46"/>
        <v>0</v>
      </c>
    </row>
    <row r="920" spans="1:28" x14ac:dyDescent="0.2">
      <c r="A920" s="10">
        <v>26</v>
      </c>
      <c r="B920" s="11" t="str">
        <f>[1]Aseguradoras!B27</f>
        <v>Aseguradora Del Este S.A de Seguros y Reaseguros</v>
      </c>
      <c r="C920" s="12">
        <f>LOOKUP(412020100,[1]PlanCuentas!$A$2:$A$6092,[1]PlanCuentas!AB$2:AB$6092)</f>
        <v>0</v>
      </c>
      <c r="D920" s="12">
        <f>LOOKUP(412020200,[1]PlanCuentas!$A$2:$A$6092,[1]PlanCuentas!AB$2:AB$6092)</f>
        <v>0</v>
      </c>
      <c r="E920" s="12">
        <f>LOOKUP(412020300,[1]PlanCuentas!$A$2:$A$6092,[1]PlanCuentas!AB$2:AB$6092)</f>
        <v>0</v>
      </c>
      <c r="F920" s="12">
        <f>LOOKUP(412020400,[1]PlanCuentas!$A$2:$A$6092,[1]PlanCuentas!AB$2:AB$6092)</f>
        <v>0</v>
      </c>
      <c r="G920" s="12">
        <f>LOOKUP(412020500,[1]PlanCuentas!$A$2:$A$6092,[1]PlanCuentas!AB$2:AB$6092)</f>
        <v>0</v>
      </c>
      <c r="H920" s="12">
        <f>LOOKUP(412020600,[1]PlanCuentas!$A$2:$A$6092,[1]PlanCuentas!AB$2:AB$6092)</f>
        <v>0</v>
      </c>
      <c r="I920" s="12">
        <f>LOOKUP(412020700,[1]PlanCuentas!$A$2:$A$6092,[1]PlanCuentas!AB$2:AB$6092)</f>
        <v>0</v>
      </c>
      <c r="J920" s="12">
        <f>LOOKUP(412020800,[1]PlanCuentas!$A$2:$A$6092,[1]PlanCuentas!AB$2:AB$6092)</f>
        <v>0</v>
      </c>
      <c r="K920" s="12">
        <f>LOOKUP(412020900,[1]PlanCuentas!$A$2:$A$6092,[1]PlanCuentas!AB$2:AB$6092)</f>
        <v>0</v>
      </c>
      <c r="L920" s="12">
        <f>LOOKUP(412021000,[1]PlanCuentas!$A$2:$A$6092,[1]PlanCuentas!AB$2:AB$6092)</f>
        <v>0</v>
      </c>
      <c r="M920" s="12">
        <f>LOOKUP(412021100,[1]PlanCuentas!$A$2:$A$6092,[1]PlanCuentas!AB$2:AB$6092)</f>
        <v>0</v>
      </c>
      <c r="N920" s="12">
        <f>LOOKUP(412021200,[1]PlanCuentas!$A$2:$A$6092,[1]PlanCuentas!AB$2:AB$6092)</f>
        <v>0</v>
      </c>
      <c r="O920" s="12">
        <f>LOOKUP(412021300,[1]PlanCuentas!$A$2:$A$6092,[1]PlanCuentas!AB$2:AB$6092)</f>
        <v>0</v>
      </c>
      <c r="P920" s="12">
        <f>LOOKUP(412022000,[1]PlanCuentas!$A$2:$A$6092,[1]PlanCuentas!AB$2:AB$6092)</f>
        <v>0</v>
      </c>
      <c r="Q920" s="13">
        <f t="shared" si="46"/>
        <v>0</v>
      </c>
    </row>
    <row r="921" spans="1:28" x14ac:dyDescent="0.2">
      <c r="A921" s="10">
        <v>27</v>
      </c>
      <c r="B921" s="11" t="str">
        <f>[1]Aseguradoras!B28</f>
        <v>Imperio S.A de Seguros y Reaseguros</v>
      </c>
      <c r="C921" s="12">
        <f>LOOKUP(412020100,[1]PlanCuentas!$A$2:$A$6092,[1]PlanCuentas!AC$2:AC$6092)</f>
        <v>0</v>
      </c>
      <c r="D921" s="12">
        <f>LOOKUP(412020200,[1]PlanCuentas!$A$2:$A$6092,[1]PlanCuentas!AC$2:AC$6092)</f>
        <v>0</v>
      </c>
      <c r="E921" s="12">
        <f>LOOKUP(412020300,[1]PlanCuentas!$A$2:$A$6092,[1]PlanCuentas!AC$2:AC$6092)</f>
        <v>0</v>
      </c>
      <c r="F921" s="12">
        <f>LOOKUP(412020400,[1]PlanCuentas!$A$2:$A$6092,[1]PlanCuentas!AC$2:AC$6092)</f>
        <v>0</v>
      </c>
      <c r="G921" s="12">
        <f>LOOKUP(412020500,[1]PlanCuentas!$A$2:$A$6092,[1]PlanCuentas!AC$2:AC$6092)</f>
        <v>0</v>
      </c>
      <c r="H921" s="12">
        <f>LOOKUP(412020600,[1]PlanCuentas!$A$2:$A$6092,[1]PlanCuentas!AC$2:AC$6092)</f>
        <v>0</v>
      </c>
      <c r="I921" s="12">
        <f>LOOKUP(412020700,[1]PlanCuentas!$A$2:$A$6092,[1]PlanCuentas!AC$2:AC$6092)</f>
        <v>0</v>
      </c>
      <c r="J921" s="12">
        <f>LOOKUP(412020800,[1]PlanCuentas!$A$2:$A$6092,[1]PlanCuentas!AC$2:AC$6092)</f>
        <v>0</v>
      </c>
      <c r="K921" s="12">
        <f>LOOKUP(412020900,[1]PlanCuentas!$A$2:$A$6092,[1]PlanCuentas!AC$2:AC$6092)</f>
        <v>0</v>
      </c>
      <c r="L921" s="12">
        <f>LOOKUP(412021000,[1]PlanCuentas!$A$2:$A$6092,[1]PlanCuentas!AC$2:AC$6092)</f>
        <v>0</v>
      </c>
      <c r="M921" s="12">
        <f>LOOKUP(412021100,[1]PlanCuentas!$A$2:$A$6092,[1]PlanCuentas!AC$2:AC$6092)</f>
        <v>0</v>
      </c>
      <c r="N921" s="12">
        <f>LOOKUP(412021200,[1]PlanCuentas!$A$2:$A$6092,[1]PlanCuentas!AC$2:AC$6092)</f>
        <v>0</v>
      </c>
      <c r="O921" s="12">
        <f>LOOKUP(412021300,[1]PlanCuentas!$A$2:$A$6092,[1]PlanCuentas!AC$2:AC$6092)</f>
        <v>0</v>
      </c>
      <c r="P921" s="12">
        <f>LOOKUP(412022000,[1]PlanCuentas!$A$2:$A$6092,[1]PlanCuentas!AC$2:AC$6092)</f>
        <v>0</v>
      </c>
      <c r="Q921" s="13">
        <f t="shared" si="46"/>
        <v>0</v>
      </c>
    </row>
    <row r="922" spans="1:28" x14ac:dyDescent="0.2">
      <c r="A922" s="10">
        <v>28</v>
      </c>
      <c r="B922" s="11" t="str">
        <f>[1]Aseguradoras!B29</f>
        <v>Regional S.A de Seguros y Reaseguros</v>
      </c>
      <c r="C922" s="12">
        <f>LOOKUP(412020100,[1]PlanCuentas!$A$2:$A$6092,[1]PlanCuentas!AD$2:AD$6092)</f>
        <v>0</v>
      </c>
      <c r="D922" s="12">
        <f>LOOKUP(412020200,[1]PlanCuentas!$A$2:$A$6092,[1]PlanCuentas!AD$2:AD$6092)</f>
        <v>0</v>
      </c>
      <c r="E922" s="12">
        <f>LOOKUP(412020300,[1]PlanCuentas!$A$2:$A$6092,[1]PlanCuentas!AD$2:AD$6092)</f>
        <v>0</v>
      </c>
      <c r="F922" s="12">
        <f>LOOKUP(412020400,[1]PlanCuentas!$A$2:$A$6092,[1]PlanCuentas!AD$2:AD$6092)</f>
        <v>0</v>
      </c>
      <c r="G922" s="12">
        <f>LOOKUP(412020500,[1]PlanCuentas!$A$2:$A$6092,[1]PlanCuentas!AD$2:AD$6092)</f>
        <v>0</v>
      </c>
      <c r="H922" s="12">
        <f>LOOKUP(412020600,[1]PlanCuentas!$A$2:$A$6092,[1]PlanCuentas!AD$2:AD$6092)</f>
        <v>0</v>
      </c>
      <c r="I922" s="12">
        <f>LOOKUP(412020700,[1]PlanCuentas!$A$2:$A$6092,[1]PlanCuentas!AD$2:AD$6092)</f>
        <v>0</v>
      </c>
      <c r="J922" s="12">
        <f>LOOKUP(412020800,[1]PlanCuentas!$A$2:$A$6092,[1]PlanCuentas!AD$2:AD$6092)</f>
        <v>0</v>
      </c>
      <c r="K922" s="12">
        <f>LOOKUP(412020900,[1]PlanCuentas!$A$2:$A$6092,[1]PlanCuentas!AD$2:AD$6092)</f>
        <v>0</v>
      </c>
      <c r="L922" s="12">
        <f>LOOKUP(412021000,[1]PlanCuentas!$A$2:$A$6092,[1]PlanCuentas!AD$2:AD$6092)</f>
        <v>0</v>
      </c>
      <c r="M922" s="12">
        <f>LOOKUP(412021100,[1]PlanCuentas!$A$2:$A$6092,[1]PlanCuentas!AD$2:AD$6092)</f>
        <v>0</v>
      </c>
      <c r="N922" s="12">
        <f>LOOKUP(412021200,[1]PlanCuentas!$A$2:$A$6092,[1]PlanCuentas!AD$2:AD$6092)</f>
        <v>0</v>
      </c>
      <c r="O922" s="12">
        <f>LOOKUP(412021300,[1]PlanCuentas!$A$2:$A$6092,[1]PlanCuentas!AD$2:AD$6092)</f>
        <v>0</v>
      </c>
      <c r="P922" s="12">
        <f>LOOKUP(412022000,[1]PlanCuentas!$A$2:$A$6092,[1]PlanCuentas!AD$2:AD$6092)</f>
        <v>0</v>
      </c>
      <c r="Q922" s="13">
        <f t="shared" si="46"/>
        <v>0</v>
      </c>
    </row>
    <row r="923" spans="1:28" s="37" customFormat="1" x14ac:dyDescent="0.2">
      <c r="A923" s="10">
        <v>29</v>
      </c>
      <c r="B923" s="11" t="str">
        <f>[1]Aseguradoras!B30</f>
        <v>Mapfre Paraguay Compañía de Seguros S.A.</v>
      </c>
      <c r="C923" s="12">
        <f>LOOKUP(412020100,[1]PlanCuentas!$A$2:$A$6092,[1]PlanCuentas!AE$2:AE$6092)</f>
        <v>0</v>
      </c>
      <c r="D923" s="12">
        <f>LOOKUP(412020200,[1]PlanCuentas!$A$2:$A$6092,[1]PlanCuentas!AE$2:AE$6092)</f>
        <v>0</v>
      </c>
      <c r="E923" s="12">
        <f>LOOKUP(412020300,[1]PlanCuentas!$A$2:$A$6092,[1]PlanCuentas!AE$2:AE$6092)</f>
        <v>0</v>
      </c>
      <c r="F923" s="12">
        <f>LOOKUP(412020400,[1]PlanCuentas!$A$2:$A$6092,[1]PlanCuentas!AE$2:AE$6092)</f>
        <v>0</v>
      </c>
      <c r="G923" s="12">
        <f>LOOKUP(412020500,[1]PlanCuentas!$A$2:$A$6092,[1]PlanCuentas!AE$2:AE$6092)</f>
        <v>0</v>
      </c>
      <c r="H923" s="12">
        <f>LOOKUP(412020600,[1]PlanCuentas!$A$2:$A$6092,[1]PlanCuentas!AE$2:AE$6092)</f>
        <v>0</v>
      </c>
      <c r="I923" s="12">
        <f>LOOKUP(412020700,[1]PlanCuentas!$A$2:$A$6092,[1]PlanCuentas!AE$2:AE$6092)</f>
        <v>0</v>
      </c>
      <c r="J923" s="12">
        <f>LOOKUP(412020800,[1]PlanCuentas!$A$2:$A$6092,[1]PlanCuentas!AE$2:AE$6092)</f>
        <v>0</v>
      </c>
      <c r="K923" s="12">
        <f>LOOKUP(412020900,[1]PlanCuentas!$A$2:$A$6092,[1]PlanCuentas!AE$2:AE$6092)</f>
        <v>0</v>
      </c>
      <c r="L923" s="12">
        <f>LOOKUP(412021000,[1]PlanCuentas!$A$2:$A$6092,[1]PlanCuentas!AE$2:AE$6092)</f>
        <v>0</v>
      </c>
      <c r="M923" s="12">
        <f>LOOKUP(412021100,[1]PlanCuentas!$A$2:$A$6092,[1]PlanCuentas!AE$2:AE$6092)</f>
        <v>0</v>
      </c>
      <c r="N923" s="12">
        <f>LOOKUP(412021200,[1]PlanCuentas!$A$2:$A$6092,[1]PlanCuentas!AE$2:AE$6092)</f>
        <v>0</v>
      </c>
      <c r="O923" s="12">
        <f>LOOKUP(412021300,[1]PlanCuentas!$A$2:$A$6092,[1]PlanCuentas!AE$2:AE$6092)</f>
        <v>0</v>
      </c>
      <c r="P923" s="12">
        <f>LOOKUP(412022000,[1]PlanCuentas!$A$2:$A$6092,[1]PlanCuentas!AE$2:AE$6092)</f>
        <v>0</v>
      </c>
      <c r="Q923" s="13">
        <f t="shared" si="46"/>
        <v>0</v>
      </c>
    </row>
    <row r="924" spans="1:28" x14ac:dyDescent="0.2">
      <c r="A924" s="10">
        <v>30</v>
      </c>
      <c r="B924" s="11" t="str">
        <f>[1]Aseguradoras!B31</f>
        <v>Aseguradora Tajy Propiedad Cooperativa S.A. de Seguros</v>
      </c>
      <c r="C924" s="12">
        <f>LOOKUP(412020100,[1]PlanCuentas!$A$2:$A$6092,[1]PlanCuentas!AF$2:AF$6092)</f>
        <v>0</v>
      </c>
      <c r="D924" s="12">
        <f>LOOKUP(412020200,[1]PlanCuentas!$A$2:$A$6092,[1]PlanCuentas!AF$2:AF$6092)</f>
        <v>0</v>
      </c>
      <c r="E924" s="12">
        <f>LOOKUP(412020300,[1]PlanCuentas!$A$2:$A$6092,[1]PlanCuentas!AF$2:AF$6092)</f>
        <v>0</v>
      </c>
      <c r="F924" s="12">
        <f>LOOKUP(412020400,[1]PlanCuentas!$A$2:$A$6092,[1]PlanCuentas!AF$2:AF$6092)</f>
        <v>0</v>
      </c>
      <c r="G924" s="12">
        <f>LOOKUP(412020500,[1]PlanCuentas!$A$2:$A$6092,[1]PlanCuentas!AF$2:AF$6092)</f>
        <v>0</v>
      </c>
      <c r="H924" s="12">
        <f>LOOKUP(412020600,[1]PlanCuentas!$A$2:$A$6092,[1]PlanCuentas!AF$2:AF$6092)</f>
        <v>0</v>
      </c>
      <c r="I924" s="12">
        <f>LOOKUP(412020700,[1]PlanCuentas!$A$2:$A$6092,[1]PlanCuentas!AF$2:AF$6092)</f>
        <v>0</v>
      </c>
      <c r="J924" s="12">
        <f>LOOKUP(412020800,[1]PlanCuentas!$A$2:$A$6092,[1]PlanCuentas!AF$2:AF$6092)</f>
        <v>0</v>
      </c>
      <c r="K924" s="12">
        <f>LOOKUP(412020900,[1]PlanCuentas!$A$2:$A$6092,[1]PlanCuentas!AF$2:AF$6092)</f>
        <v>0</v>
      </c>
      <c r="L924" s="12">
        <f>LOOKUP(412021000,[1]PlanCuentas!$A$2:$A$6092,[1]PlanCuentas!AF$2:AF$6092)</f>
        <v>0</v>
      </c>
      <c r="M924" s="12">
        <f>LOOKUP(412021100,[1]PlanCuentas!$A$2:$A$6092,[1]PlanCuentas!AF$2:AF$6092)</f>
        <v>0</v>
      </c>
      <c r="N924" s="12">
        <f>LOOKUP(412021200,[1]PlanCuentas!$A$2:$A$6092,[1]PlanCuentas!AF$2:AF$6092)</f>
        <v>0</v>
      </c>
      <c r="O924" s="12">
        <f>LOOKUP(412021300,[1]PlanCuentas!$A$2:$A$6092,[1]PlanCuentas!AF$2:AF$6092)</f>
        <v>0</v>
      </c>
      <c r="P924" s="12">
        <f>LOOKUP(412022000,[1]PlanCuentas!$A$2:$A$6092,[1]PlanCuentas!AF$2:AF$6092)</f>
        <v>0</v>
      </c>
      <c r="Q924" s="13">
        <f t="shared" si="46"/>
        <v>0</v>
      </c>
    </row>
    <row r="925" spans="1:28" x14ac:dyDescent="0.2">
      <c r="A925" s="10">
        <v>31</v>
      </c>
      <c r="B925" s="11" t="str">
        <f>[1]Aseguradoras!B32</f>
        <v>Aseguradora del Sur S.A. Seguros Generales - ASUR</v>
      </c>
      <c r="C925" s="12">
        <f>LOOKUP(412020100,[1]PlanCuentas!$A$2:$A$6092,[1]PlanCuentas!AG$2:AG$6092)</f>
        <v>0</v>
      </c>
      <c r="D925" s="12">
        <f>LOOKUP(412020200,[1]PlanCuentas!$A$2:$A$6092,[1]PlanCuentas!AG$2:AG$6092)</f>
        <v>0</v>
      </c>
      <c r="E925" s="12">
        <f>LOOKUP(412020300,[1]PlanCuentas!$A$2:$A$6092,[1]PlanCuentas!AG$2:AG$6092)</f>
        <v>0</v>
      </c>
      <c r="F925" s="12">
        <f>LOOKUP(412020400,[1]PlanCuentas!$A$2:$A$6092,[1]PlanCuentas!AG$2:AG$6092)</f>
        <v>0</v>
      </c>
      <c r="G925" s="12">
        <f>LOOKUP(412020500,[1]PlanCuentas!$A$2:$A$6092,[1]PlanCuentas!AG$2:AG$6092)</f>
        <v>0</v>
      </c>
      <c r="H925" s="12">
        <f>LOOKUP(412020600,[1]PlanCuentas!$A$2:$A$6092,[1]PlanCuentas!AG$2:AG$6092)</f>
        <v>0</v>
      </c>
      <c r="I925" s="12">
        <f>LOOKUP(412020700,[1]PlanCuentas!$A$2:$A$6092,[1]PlanCuentas!AG$2:AG$6092)</f>
        <v>0</v>
      </c>
      <c r="J925" s="12">
        <f>LOOKUP(412020800,[1]PlanCuentas!$A$2:$A$6092,[1]PlanCuentas!AG$2:AG$6092)</f>
        <v>0</v>
      </c>
      <c r="K925" s="12">
        <f>LOOKUP(412020900,[1]PlanCuentas!$A$2:$A$6092,[1]PlanCuentas!AG$2:AG$6092)</f>
        <v>0</v>
      </c>
      <c r="L925" s="12">
        <f>LOOKUP(412021000,[1]PlanCuentas!$A$2:$A$6092,[1]PlanCuentas!AG$2:AG$6092)</f>
        <v>0</v>
      </c>
      <c r="M925" s="12">
        <f>LOOKUP(412021100,[1]PlanCuentas!$A$2:$A$6092,[1]PlanCuentas!AG$2:AG$6092)</f>
        <v>0</v>
      </c>
      <c r="N925" s="12">
        <f>LOOKUP(412021200,[1]PlanCuentas!$A$2:$A$6092,[1]PlanCuentas!AG$2:AG$6092)</f>
        <v>0</v>
      </c>
      <c r="O925" s="12">
        <f>LOOKUP(412021300,[1]PlanCuentas!$A$2:$A$6092,[1]PlanCuentas!AG$2:AG$6092)</f>
        <v>0</v>
      </c>
      <c r="P925" s="12">
        <f>LOOKUP(412022000,[1]PlanCuentas!$A$2:$A$6092,[1]PlanCuentas!AG$2:AG$6092)</f>
        <v>0</v>
      </c>
      <c r="Q925" s="13">
        <f t="shared" si="46"/>
        <v>0</v>
      </c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</row>
    <row r="926" spans="1:28" x14ac:dyDescent="0.2">
      <c r="A926" s="10">
        <v>32</v>
      </c>
      <c r="B926" s="11" t="str">
        <f>[1]Aseguradoras!B33</f>
        <v>Panal Compañía De Seguros Generales S.A.</v>
      </c>
      <c r="C926" s="12">
        <f>LOOKUP(412020100,[1]PlanCuentas!$A$2:$A$6092,[1]PlanCuentas!AH$2:AH$6092)</f>
        <v>0</v>
      </c>
      <c r="D926" s="12">
        <f>LOOKUP(412020200,[1]PlanCuentas!$A$2:$A$6092,[1]PlanCuentas!AH$2:AH$6092)</f>
        <v>0</v>
      </c>
      <c r="E926" s="12">
        <f>LOOKUP(412020300,[1]PlanCuentas!$A$2:$A$6092,[1]PlanCuentas!AH$2:AH$6092)</f>
        <v>0</v>
      </c>
      <c r="F926" s="12">
        <f>LOOKUP(412020400,[1]PlanCuentas!$A$2:$A$6092,[1]PlanCuentas!AH$2:AH$6092)</f>
        <v>0</v>
      </c>
      <c r="G926" s="12">
        <f>LOOKUP(412020500,[1]PlanCuentas!$A$2:$A$6092,[1]PlanCuentas!AH$2:AH$6092)</f>
        <v>0</v>
      </c>
      <c r="H926" s="12">
        <f>LOOKUP(412020600,[1]PlanCuentas!$A$2:$A$6092,[1]PlanCuentas!AH$2:AH$6092)</f>
        <v>0</v>
      </c>
      <c r="I926" s="12">
        <f>LOOKUP(412020700,[1]PlanCuentas!$A$2:$A$6092,[1]PlanCuentas!AH$2:AH$6092)</f>
        <v>0</v>
      </c>
      <c r="J926" s="12">
        <f>LOOKUP(412020800,[1]PlanCuentas!$A$2:$A$6092,[1]PlanCuentas!AH$2:AH$6092)</f>
        <v>0</v>
      </c>
      <c r="K926" s="12">
        <f>LOOKUP(412020900,[1]PlanCuentas!$A$2:$A$6092,[1]PlanCuentas!AH$2:AH$6092)</f>
        <v>0</v>
      </c>
      <c r="L926" s="12">
        <f>LOOKUP(412021000,[1]PlanCuentas!$A$2:$A$6092,[1]PlanCuentas!AH$2:AH$6092)</f>
        <v>0</v>
      </c>
      <c r="M926" s="12">
        <f>LOOKUP(412021100,[1]PlanCuentas!$A$2:$A$6092,[1]PlanCuentas!AH$2:AH$6092)</f>
        <v>0</v>
      </c>
      <c r="N926" s="12">
        <f>LOOKUP(412021200,[1]PlanCuentas!$A$2:$A$6092,[1]PlanCuentas!AH$2:AH$6092)</f>
        <v>0</v>
      </c>
      <c r="O926" s="12">
        <f>LOOKUP(412021300,[1]PlanCuentas!$A$2:$A$6092,[1]PlanCuentas!AH$2:AH$6092)</f>
        <v>0</v>
      </c>
      <c r="P926" s="12">
        <f>LOOKUP(412022000,[1]PlanCuentas!$A$2:$A$6092,[1]PlanCuentas!AH$2:AH$6092)</f>
        <v>0</v>
      </c>
      <c r="Q926" s="13">
        <f t="shared" si="46"/>
        <v>0</v>
      </c>
    </row>
    <row r="927" spans="1:28" x14ac:dyDescent="0.2">
      <c r="A927" s="14">
        <v>33</v>
      </c>
      <c r="B927" s="19" t="str">
        <f>[1]Aseguradoras!B34</f>
        <v>Sancor Seguros del Paraguay S.A.</v>
      </c>
      <c r="C927" s="12">
        <f>LOOKUP(412020100,[1]PlanCuentas!$A$2:$A$6092,[1]PlanCuentas!AI$2:AI$6092)</f>
        <v>0</v>
      </c>
      <c r="D927" s="12">
        <f>LOOKUP(412020200,[1]PlanCuentas!$A$2:$A$6092,[1]PlanCuentas!AI$2:AI$6092)</f>
        <v>0</v>
      </c>
      <c r="E927" s="12">
        <f>LOOKUP(412020300,[1]PlanCuentas!$A$2:$A$6092,[1]PlanCuentas!AI$2:AI$6092)</f>
        <v>0</v>
      </c>
      <c r="F927" s="12">
        <f>LOOKUP(412020400,[1]PlanCuentas!$A$2:$A$6092,[1]PlanCuentas!AI$2:AI$6092)</f>
        <v>0</v>
      </c>
      <c r="G927" s="12">
        <f>LOOKUP(412020500,[1]PlanCuentas!$A$2:$A$6092,[1]PlanCuentas!AI$2:AI$6092)</f>
        <v>0</v>
      </c>
      <c r="H927" s="12">
        <f>LOOKUP(412020600,[1]PlanCuentas!$A$2:$A$6092,[1]PlanCuentas!AI$2:AI$6092)</f>
        <v>0</v>
      </c>
      <c r="I927" s="12">
        <f>LOOKUP(412020700,[1]PlanCuentas!$A$2:$A$6092,[1]PlanCuentas!AI$2:AI$6092)</f>
        <v>0</v>
      </c>
      <c r="J927" s="12">
        <f>LOOKUP(412020800,[1]PlanCuentas!$A$2:$A$6092,[1]PlanCuentas!AI$2:AI$6092)</f>
        <v>0</v>
      </c>
      <c r="K927" s="12">
        <f>LOOKUP(412020900,[1]PlanCuentas!$A$2:$A$6092,[1]PlanCuentas!AI$2:AI$6092)</f>
        <v>0</v>
      </c>
      <c r="L927" s="12">
        <f>LOOKUP(412021000,[1]PlanCuentas!$A$2:$A$6092,[1]PlanCuentas!AI$2:AI$6092)</f>
        <v>0</v>
      </c>
      <c r="M927" s="12">
        <f>LOOKUP(412021100,[1]PlanCuentas!$A$2:$A$6092,[1]PlanCuentas!AI$2:AI$6092)</f>
        <v>0</v>
      </c>
      <c r="N927" s="12">
        <f>LOOKUP(412021200,[1]PlanCuentas!$A$2:$A$6092,[1]PlanCuentas!AI$2:AI$6092)</f>
        <v>0</v>
      </c>
      <c r="O927" s="12">
        <f>LOOKUP(412021300,[1]PlanCuentas!$A$2:$A$6092,[1]PlanCuentas!AI$2:AI$6092)</f>
        <v>0</v>
      </c>
      <c r="P927" s="12">
        <f>LOOKUP(412022000,[1]PlanCuentas!$A$2:$A$6092,[1]PlanCuentas!AI$2:AI$6092)</f>
        <v>0</v>
      </c>
      <c r="Q927" s="13">
        <f>SUM(C927:P927)</f>
        <v>0</v>
      </c>
    </row>
    <row r="928" spans="1:28" x14ac:dyDescent="0.2">
      <c r="A928" s="14"/>
      <c r="B928" s="15" t="s">
        <v>18</v>
      </c>
      <c r="C928" s="17">
        <f t="shared" ref="C928:Q928" si="47">SUBTOTAL(109,C895:C927)</f>
        <v>0</v>
      </c>
      <c r="D928" s="17">
        <f t="shared" si="47"/>
        <v>0</v>
      </c>
      <c r="E928" s="17">
        <f t="shared" si="47"/>
        <v>0</v>
      </c>
      <c r="F928" s="17">
        <f t="shared" si="47"/>
        <v>0</v>
      </c>
      <c r="G928" s="17">
        <f t="shared" si="47"/>
        <v>0</v>
      </c>
      <c r="H928" s="17">
        <f t="shared" si="47"/>
        <v>0</v>
      </c>
      <c r="I928" s="17">
        <f t="shared" si="47"/>
        <v>0</v>
      </c>
      <c r="J928" s="17">
        <f t="shared" si="47"/>
        <v>0</v>
      </c>
      <c r="K928" s="17">
        <f t="shared" si="47"/>
        <v>0</v>
      </c>
      <c r="L928" s="17">
        <f t="shared" si="47"/>
        <v>0</v>
      </c>
      <c r="M928" s="17">
        <f t="shared" si="47"/>
        <v>0</v>
      </c>
      <c r="N928" s="17">
        <f t="shared" si="47"/>
        <v>0</v>
      </c>
      <c r="O928" s="17">
        <f t="shared" si="47"/>
        <v>0</v>
      </c>
      <c r="P928" s="17">
        <f t="shared" si="47"/>
        <v>0</v>
      </c>
      <c r="Q928" s="17">
        <f t="shared" si="47"/>
        <v>0</v>
      </c>
    </row>
    <row r="929" spans="1:17" x14ac:dyDescent="0.2"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</row>
    <row r="930" spans="1:17" ht="28.35" customHeight="1" x14ac:dyDescent="0.2">
      <c r="A930" s="1" t="s">
        <v>55</v>
      </c>
      <c r="B930" s="47" t="s">
        <v>56</v>
      </c>
      <c r="C930" s="47"/>
      <c r="D930" s="2"/>
      <c r="E930" s="3"/>
      <c r="F930" s="4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</row>
    <row r="931" spans="1:17" ht="24" x14ac:dyDescent="0.2">
      <c r="A931" s="7" t="s">
        <v>2</v>
      </c>
      <c r="B931" s="8" t="s">
        <v>3</v>
      </c>
      <c r="C931" s="9" t="s">
        <v>4</v>
      </c>
      <c r="D931" s="9" t="s">
        <v>5</v>
      </c>
      <c r="E931" s="9" t="s">
        <v>6</v>
      </c>
      <c r="F931" s="36" t="s">
        <v>7</v>
      </c>
      <c r="G931" s="9" t="s">
        <v>8</v>
      </c>
      <c r="H931" s="9" t="s">
        <v>9</v>
      </c>
      <c r="I931" s="9" t="s">
        <v>10</v>
      </c>
      <c r="J931" s="9" t="s">
        <v>11</v>
      </c>
      <c r="K931" s="9" t="s">
        <v>12</v>
      </c>
      <c r="L931" s="9" t="s">
        <v>13</v>
      </c>
      <c r="M931" s="9" t="s">
        <v>14</v>
      </c>
      <c r="N931" s="9" t="s">
        <v>15</v>
      </c>
      <c r="O931" s="9" t="s">
        <v>16</v>
      </c>
      <c r="P931" s="8" t="s">
        <v>17</v>
      </c>
      <c r="Q931" s="8" t="s">
        <v>18</v>
      </c>
    </row>
    <row r="932" spans="1:17" x14ac:dyDescent="0.2">
      <c r="A932" s="10">
        <v>1</v>
      </c>
      <c r="B932" s="11" t="str">
        <f>[1]Aseguradoras!B2</f>
        <v>El Comercio Paraguayo S.A. de Seguros</v>
      </c>
      <c r="C932" s="12">
        <f>LOOKUP(413010100,[1]PlanCuentas!$A$2:$A$6092,[1]PlanCuentas!C$2:C$6092)</f>
        <v>0</v>
      </c>
      <c r="D932" s="12">
        <f>LOOKUP(413010200,[1]PlanCuentas!$A$2:$A$6092,[1]PlanCuentas!C$2:C$6092)</f>
        <v>0</v>
      </c>
      <c r="E932" s="12">
        <f>LOOKUP(413010300,[1]PlanCuentas!$A$2:$A$6092,[1]PlanCuentas!C$2:C$6092)</f>
        <v>0</v>
      </c>
      <c r="F932" s="12">
        <f>LOOKUP(413010400,[1]PlanCuentas!$A$2:$A$6092,[1]PlanCuentas!C$2:C$6092)</f>
        <v>0</v>
      </c>
      <c r="G932" s="12">
        <f>LOOKUP(413010500,[1]PlanCuentas!$A$2:$A$6092,[1]PlanCuentas!C$2:C$6092)</f>
        <v>0</v>
      </c>
      <c r="H932" s="12">
        <f>LOOKUP(413010600,[1]PlanCuentas!$A$2:$A$6092,[1]PlanCuentas!C$2:C$6092)</f>
        <v>0</v>
      </c>
      <c r="I932" s="12">
        <f>LOOKUP(413010700,[1]PlanCuentas!$A$2:$A$6092,[1]PlanCuentas!C$2:C$6092)</f>
        <v>0</v>
      </c>
      <c r="J932" s="12">
        <f>LOOKUP(413010800,[1]PlanCuentas!$A$2:$A$6092,[1]PlanCuentas!C$2:C$6092)</f>
        <v>0</v>
      </c>
      <c r="K932" s="12">
        <f>LOOKUP(413010900,[1]PlanCuentas!$A$2:$A$6092,[1]PlanCuentas!C$2:C$6092)</f>
        <v>0</v>
      </c>
      <c r="L932" s="12">
        <f>LOOKUP(413011000,[1]PlanCuentas!$A$2:$A$6092,[1]PlanCuentas!C$2:C$6092)</f>
        <v>0</v>
      </c>
      <c r="M932" s="12">
        <f>LOOKUP(413011100,[1]PlanCuentas!$A$2:$A$6092,[1]PlanCuentas!C$2:C$6092)</f>
        <v>0</v>
      </c>
      <c r="N932" s="12">
        <f>LOOKUP(413011200,[1]PlanCuentas!$A$2:$A$6092,[1]PlanCuentas!C$2:C$6092)</f>
        <v>0</v>
      </c>
      <c r="O932" s="12">
        <f>LOOKUP(413011300,[1]PlanCuentas!$A$2:$A$6092,[1]PlanCuentas!C$2:C$6092)</f>
        <v>0</v>
      </c>
      <c r="P932" s="12">
        <f>LOOKUP(413012000,[1]PlanCuentas!$A$2:$A$6092,[1]PlanCuentas!C$2:C$6092)</f>
        <v>0</v>
      </c>
      <c r="Q932" s="13">
        <f t="shared" ref="Q932:Q963" si="48">SUM(C932:P932)</f>
        <v>0</v>
      </c>
    </row>
    <row r="933" spans="1:17" x14ac:dyDescent="0.2">
      <c r="A933" s="10">
        <v>2</v>
      </c>
      <c r="B933" s="11" t="str">
        <f>[1]Aseguradoras!B3</f>
        <v>La Rural S.A de Seguros</v>
      </c>
      <c r="C933" s="12">
        <f>LOOKUP(413010100,[1]PlanCuentas!$A$2:$A$6092,[1]PlanCuentas!D$2:D$6092)</f>
        <v>0</v>
      </c>
      <c r="D933" s="12">
        <f>LOOKUP(413010200,[1]PlanCuentas!$A$2:$A$6092,[1]PlanCuentas!D$2:D$6092)</f>
        <v>0</v>
      </c>
      <c r="E933" s="12">
        <f>LOOKUP(413010300,[1]PlanCuentas!$A$2:$A$6092,[1]PlanCuentas!D$2:D$6092)</f>
        <v>0</v>
      </c>
      <c r="F933" s="12">
        <f>LOOKUP(413010400,[1]PlanCuentas!$A$2:$A$6092,[1]PlanCuentas!D$2:D$6092)</f>
        <v>0</v>
      </c>
      <c r="G933" s="12">
        <f>LOOKUP(413010500,[1]PlanCuentas!$A$2:$A$6092,[1]PlanCuentas!D$2:D$6092)</f>
        <v>0</v>
      </c>
      <c r="H933" s="12">
        <f>LOOKUP(413010600,[1]PlanCuentas!$A$2:$A$6092,[1]PlanCuentas!D$2:D$6092)</f>
        <v>0</v>
      </c>
      <c r="I933" s="12">
        <f>LOOKUP(413010700,[1]PlanCuentas!$A$2:$A$6092,[1]PlanCuentas!D$2:D$6092)</f>
        <v>0</v>
      </c>
      <c r="J933" s="12">
        <f>LOOKUP(413010800,[1]PlanCuentas!$A$2:$A$6092,[1]PlanCuentas!D$2:D$6092)</f>
        <v>0</v>
      </c>
      <c r="K933" s="12">
        <f>LOOKUP(413010900,[1]PlanCuentas!$A$2:$A$6092,[1]PlanCuentas!D$2:D$6092)</f>
        <v>0</v>
      </c>
      <c r="L933" s="12">
        <f>LOOKUP(413011000,[1]PlanCuentas!$A$2:$A$6092,[1]PlanCuentas!D$2:D$6092)</f>
        <v>0</v>
      </c>
      <c r="M933" s="12">
        <f>LOOKUP(413011100,[1]PlanCuentas!$A$2:$A$6092,[1]PlanCuentas!D$2:D$6092)</f>
        <v>0</v>
      </c>
      <c r="N933" s="12">
        <f>LOOKUP(413011200,[1]PlanCuentas!$A$2:$A$6092,[1]PlanCuentas!D$2:D$6092)</f>
        <v>0</v>
      </c>
      <c r="O933" s="12">
        <f>LOOKUP(413011300,[1]PlanCuentas!$A$2:$A$6092,[1]PlanCuentas!D$2:D$6092)</f>
        <v>0</v>
      </c>
      <c r="P933" s="12">
        <f>LOOKUP(413012000,[1]PlanCuentas!$A$2:$A$6092,[1]PlanCuentas!D$2:D$6092)</f>
        <v>0</v>
      </c>
      <c r="Q933" s="13">
        <f t="shared" si="48"/>
        <v>0</v>
      </c>
    </row>
    <row r="934" spans="1:17" x14ac:dyDescent="0.2">
      <c r="A934" s="10">
        <v>3</v>
      </c>
      <c r="B934" s="11" t="str">
        <f>[1]Aseguradoras!B4</f>
        <v>La Paraguaya S.A de Seguros</v>
      </c>
      <c r="C934" s="12">
        <f>LOOKUP(413010100,[1]PlanCuentas!$A$2:$A$6092,[1]PlanCuentas!E$2:E$6092)</f>
        <v>0</v>
      </c>
      <c r="D934" s="12">
        <f>LOOKUP(413010200,[1]PlanCuentas!$A$2:$A$6092,[1]PlanCuentas!E$2:E$6092)</f>
        <v>0</v>
      </c>
      <c r="E934" s="12">
        <f>LOOKUP(413010300,[1]PlanCuentas!$A$2:$A$6092,[1]PlanCuentas!E$2:E$6092)</f>
        <v>0</v>
      </c>
      <c r="F934" s="12">
        <f>LOOKUP(413010400,[1]PlanCuentas!$A$2:$A$6092,[1]PlanCuentas!E$2:E$6092)</f>
        <v>0</v>
      </c>
      <c r="G934" s="12">
        <f>LOOKUP(413010500,[1]PlanCuentas!$A$2:$A$6092,[1]PlanCuentas!E$2:E$6092)</f>
        <v>0</v>
      </c>
      <c r="H934" s="12">
        <f>LOOKUP(413010600,[1]PlanCuentas!$A$2:$A$6092,[1]PlanCuentas!E$2:E$6092)</f>
        <v>0</v>
      </c>
      <c r="I934" s="12">
        <f>LOOKUP(413010700,[1]PlanCuentas!$A$2:$A$6092,[1]PlanCuentas!E$2:E$6092)</f>
        <v>0</v>
      </c>
      <c r="J934" s="12">
        <f>LOOKUP(413010800,[1]PlanCuentas!$A$2:$A$6092,[1]PlanCuentas!E$2:E$6092)</f>
        <v>0</v>
      </c>
      <c r="K934" s="12">
        <f>LOOKUP(413010900,[1]PlanCuentas!$A$2:$A$6092,[1]PlanCuentas!E$2:E$6092)</f>
        <v>0</v>
      </c>
      <c r="L934" s="12">
        <f>LOOKUP(413011000,[1]PlanCuentas!$A$2:$A$6092,[1]PlanCuentas!E$2:E$6092)</f>
        <v>0</v>
      </c>
      <c r="M934" s="12">
        <f>LOOKUP(413011100,[1]PlanCuentas!$A$2:$A$6092,[1]PlanCuentas!E$2:E$6092)</f>
        <v>0</v>
      </c>
      <c r="N934" s="12">
        <f>LOOKUP(413011200,[1]PlanCuentas!$A$2:$A$6092,[1]PlanCuentas!E$2:E$6092)</f>
        <v>0</v>
      </c>
      <c r="O934" s="12">
        <f>LOOKUP(413011300,[1]PlanCuentas!$A$2:$A$6092,[1]PlanCuentas!E$2:E$6092)</f>
        <v>0</v>
      </c>
      <c r="P934" s="12">
        <f>LOOKUP(413012000,[1]PlanCuentas!$A$2:$A$6092,[1]PlanCuentas!E$2:E$6092)</f>
        <v>0</v>
      </c>
      <c r="Q934" s="13">
        <f t="shared" si="48"/>
        <v>0</v>
      </c>
    </row>
    <row r="935" spans="1:17" x14ac:dyDescent="0.2">
      <c r="A935" s="10">
        <v>4</v>
      </c>
      <c r="B935" s="11" t="str">
        <f>[1]Aseguradoras!B5</f>
        <v>Seguros Generales S. A (SEGESA)</v>
      </c>
      <c r="C935" s="12">
        <f>LOOKUP(413010100,[1]PlanCuentas!$A$2:$A$6092,[1]PlanCuentas!F$2:F$6092)</f>
        <v>0</v>
      </c>
      <c r="D935" s="12">
        <f>LOOKUP(413010200,[1]PlanCuentas!$A$2:$A$6092,[1]PlanCuentas!F$2:F$6092)</f>
        <v>0</v>
      </c>
      <c r="E935" s="12">
        <f>LOOKUP(413010300,[1]PlanCuentas!$A$2:$A$6092,[1]PlanCuentas!F$2:F$6092)</f>
        <v>0</v>
      </c>
      <c r="F935" s="12">
        <f>LOOKUP(413010400,[1]PlanCuentas!$A$2:$A$6092,[1]PlanCuentas!F$2:F$6092)</f>
        <v>0</v>
      </c>
      <c r="G935" s="12">
        <f>LOOKUP(413010500,[1]PlanCuentas!$A$2:$A$6092,[1]PlanCuentas!F$2:F$6092)</f>
        <v>0</v>
      </c>
      <c r="H935" s="12">
        <f>LOOKUP(413010600,[1]PlanCuentas!$A$2:$A$6092,[1]PlanCuentas!F$2:F$6092)</f>
        <v>0</v>
      </c>
      <c r="I935" s="12">
        <f>LOOKUP(413010700,[1]PlanCuentas!$A$2:$A$6092,[1]PlanCuentas!F$2:F$6092)</f>
        <v>0</v>
      </c>
      <c r="J935" s="12">
        <f>LOOKUP(413010800,[1]PlanCuentas!$A$2:$A$6092,[1]PlanCuentas!F$2:F$6092)</f>
        <v>0</v>
      </c>
      <c r="K935" s="12">
        <f>LOOKUP(413010900,[1]PlanCuentas!$A$2:$A$6092,[1]PlanCuentas!F$2:F$6092)</f>
        <v>0</v>
      </c>
      <c r="L935" s="12">
        <f>LOOKUP(413011000,[1]PlanCuentas!$A$2:$A$6092,[1]PlanCuentas!F$2:F$6092)</f>
        <v>0</v>
      </c>
      <c r="M935" s="12">
        <f>LOOKUP(413011100,[1]PlanCuentas!$A$2:$A$6092,[1]PlanCuentas!F$2:F$6092)</f>
        <v>0</v>
      </c>
      <c r="N935" s="12">
        <f>LOOKUP(413011200,[1]PlanCuentas!$A$2:$A$6092,[1]PlanCuentas!F$2:F$6092)</f>
        <v>0</v>
      </c>
      <c r="O935" s="12">
        <f>LOOKUP(413011300,[1]PlanCuentas!$A$2:$A$6092,[1]PlanCuentas!F$2:F$6092)</f>
        <v>0</v>
      </c>
      <c r="P935" s="12">
        <f>LOOKUP(413012000,[1]PlanCuentas!$A$2:$A$6092,[1]PlanCuentas!F$2:F$6092)</f>
        <v>0</v>
      </c>
      <c r="Q935" s="13">
        <f t="shared" si="48"/>
        <v>0</v>
      </c>
    </row>
    <row r="936" spans="1:17" x14ac:dyDescent="0.2">
      <c r="A936" s="10">
        <v>5</v>
      </c>
      <c r="B936" s="11" t="str">
        <f>[1]Aseguradoras!B6</f>
        <v>Rumbos S.A de Seguros</v>
      </c>
      <c r="C936" s="12">
        <f>LOOKUP(413010100,[1]PlanCuentas!$A$2:$A$6092,[1]PlanCuentas!G$2:G$6092)</f>
        <v>0</v>
      </c>
      <c r="D936" s="12">
        <f>LOOKUP(413010200,[1]PlanCuentas!$A$2:$A$6092,[1]PlanCuentas!G$2:G$6092)</f>
        <v>0</v>
      </c>
      <c r="E936" s="12">
        <f>LOOKUP(413010300,[1]PlanCuentas!$A$2:$A$6092,[1]PlanCuentas!G$2:G$6092)</f>
        <v>0</v>
      </c>
      <c r="F936" s="12">
        <f>LOOKUP(413010400,[1]PlanCuentas!$A$2:$A$6092,[1]PlanCuentas!G$2:G$6092)</f>
        <v>0</v>
      </c>
      <c r="G936" s="12">
        <f>LOOKUP(413010500,[1]PlanCuentas!$A$2:$A$6092,[1]PlanCuentas!G$2:G$6092)</f>
        <v>0</v>
      </c>
      <c r="H936" s="12">
        <f>LOOKUP(413010600,[1]PlanCuentas!$A$2:$A$6092,[1]PlanCuentas!G$2:G$6092)</f>
        <v>0</v>
      </c>
      <c r="I936" s="12">
        <f>LOOKUP(413010700,[1]PlanCuentas!$A$2:$A$6092,[1]PlanCuentas!G$2:G$6092)</f>
        <v>0</v>
      </c>
      <c r="J936" s="12">
        <f>LOOKUP(413010800,[1]PlanCuentas!$A$2:$A$6092,[1]PlanCuentas!G$2:G$6092)</f>
        <v>0</v>
      </c>
      <c r="K936" s="12">
        <f>LOOKUP(413010900,[1]PlanCuentas!$A$2:$A$6092,[1]PlanCuentas!G$2:G$6092)</f>
        <v>0</v>
      </c>
      <c r="L936" s="12">
        <f>LOOKUP(413011000,[1]PlanCuentas!$A$2:$A$6092,[1]PlanCuentas!G$2:G$6092)</f>
        <v>0</v>
      </c>
      <c r="M936" s="12">
        <f>LOOKUP(413011100,[1]PlanCuentas!$A$2:$A$6092,[1]PlanCuentas!G$2:G$6092)</f>
        <v>0</v>
      </c>
      <c r="N936" s="12">
        <f>LOOKUP(413011200,[1]PlanCuentas!$A$2:$A$6092,[1]PlanCuentas!G$2:G$6092)</f>
        <v>0</v>
      </c>
      <c r="O936" s="12">
        <f>LOOKUP(413011300,[1]PlanCuentas!$A$2:$A$6092,[1]PlanCuentas!G$2:G$6092)</f>
        <v>0</v>
      </c>
      <c r="P936" s="12">
        <f>LOOKUP(413012000,[1]PlanCuentas!$A$2:$A$6092,[1]PlanCuentas!G$2:G$6092)</f>
        <v>0</v>
      </c>
      <c r="Q936" s="13">
        <f t="shared" si="48"/>
        <v>0</v>
      </c>
    </row>
    <row r="937" spans="1:17" x14ac:dyDescent="0.2">
      <c r="A937" s="10">
        <v>6</v>
      </c>
      <c r="B937" s="11" t="str">
        <f>[1]Aseguradoras!B7</f>
        <v>La Consolidada S.A de Seguros</v>
      </c>
      <c r="C937" s="12">
        <f>LOOKUP(413010100,[1]PlanCuentas!$A$2:$A$6092,[1]PlanCuentas!H$2:H$6092)</f>
        <v>0</v>
      </c>
      <c r="D937" s="12">
        <f>LOOKUP(413010200,[1]PlanCuentas!$A$2:$A$6092,[1]PlanCuentas!H$2:H$6092)</f>
        <v>0</v>
      </c>
      <c r="E937" s="12">
        <f>LOOKUP(413010300,[1]PlanCuentas!$A$2:$A$6092,[1]PlanCuentas!H$2:H$6092)</f>
        <v>0</v>
      </c>
      <c r="F937" s="12">
        <f>LOOKUP(413010400,[1]PlanCuentas!$A$2:$A$6092,[1]PlanCuentas!H$2:H$6092)</f>
        <v>0</v>
      </c>
      <c r="G937" s="12">
        <f>LOOKUP(413010500,[1]PlanCuentas!$A$2:$A$6092,[1]PlanCuentas!H$2:H$6092)</f>
        <v>0</v>
      </c>
      <c r="H937" s="12">
        <f>LOOKUP(413010600,[1]PlanCuentas!$A$2:$A$6092,[1]PlanCuentas!H$2:H$6092)</f>
        <v>0</v>
      </c>
      <c r="I937" s="12">
        <f>LOOKUP(413010700,[1]PlanCuentas!$A$2:$A$6092,[1]PlanCuentas!H$2:H$6092)</f>
        <v>0</v>
      </c>
      <c r="J937" s="12">
        <f>LOOKUP(413010800,[1]PlanCuentas!$A$2:$A$6092,[1]PlanCuentas!H$2:H$6092)</f>
        <v>0</v>
      </c>
      <c r="K937" s="12">
        <f>LOOKUP(413010900,[1]PlanCuentas!$A$2:$A$6092,[1]PlanCuentas!H$2:H$6092)</f>
        <v>0</v>
      </c>
      <c r="L937" s="12">
        <f>LOOKUP(413011000,[1]PlanCuentas!$A$2:$A$6092,[1]PlanCuentas!H$2:H$6092)</f>
        <v>0</v>
      </c>
      <c r="M937" s="12">
        <f>LOOKUP(413011100,[1]PlanCuentas!$A$2:$A$6092,[1]PlanCuentas!H$2:H$6092)</f>
        <v>0</v>
      </c>
      <c r="N937" s="12">
        <f>LOOKUP(413011200,[1]PlanCuentas!$A$2:$A$6092,[1]PlanCuentas!H$2:H$6092)</f>
        <v>0</v>
      </c>
      <c r="O937" s="12">
        <f>LOOKUP(413011300,[1]PlanCuentas!$A$2:$A$6092,[1]PlanCuentas!H$2:H$6092)</f>
        <v>0</v>
      </c>
      <c r="P937" s="12">
        <f>LOOKUP(413012000,[1]PlanCuentas!$A$2:$A$6092,[1]PlanCuentas!H$2:H$6092)</f>
        <v>0</v>
      </c>
      <c r="Q937" s="13">
        <f t="shared" si="48"/>
        <v>0</v>
      </c>
    </row>
    <row r="938" spans="1:17" x14ac:dyDescent="0.2">
      <c r="A938" s="10">
        <v>7</v>
      </c>
      <c r="B938" s="11" t="str">
        <f>[1]Aseguradoras!B8</f>
        <v>El Productor S.A de Seguros y Reaseguros</v>
      </c>
      <c r="C938" s="12">
        <f>LOOKUP(413010100,[1]PlanCuentas!$A$2:$A$6092,[1]PlanCuentas!I$2:I$6092)</f>
        <v>0</v>
      </c>
      <c r="D938" s="12">
        <f>LOOKUP(413010200,[1]PlanCuentas!$A$2:$A$6092,[1]PlanCuentas!I$2:I$6092)</f>
        <v>0</v>
      </c>
      <c r="E938" s="12">
        <f>LOOKUP(413010300,[1]PlanCuentas!$A$2:$A$6092,[1]PlanCuentas!I$2:I$6092)</f>
        <v>0</v>
      </c>
      <c r="F938" s="12">
        <f>LOOKUP(413010400,[1]PlanCuentas!$A$2:$A$6092,[1]PlanCuentas!I$2:I$6092)</f>
        <v>0</v>
      </c>
      <c r="G938" s="12">
        <f>LOOKUP(413010500,[1]PlanCuentas!$A$2:$A$6092,[1]PlanCuentas!I$2:I$6092)</f>
        <v>0</v>
      </c>
      <c r="H938" s="12">
        <f>LOOKUP(413010600,[1]PlanCuentas!$A$2:$A$6092,[1]PlanCuentas!I$2:I$6092)</f>
        <v>0</v>
      </c>
      <c r="I938" s="12">
        <f>LOOKUP(413010700,[1]PlanCuentas!$A$2:$A$6092,[1]PlanCuentas!I$2:I$6092)</f>
        <v>0</v>
      </c>
      <c r="J938" s="12">
        <f>LOOKUP(413010800,[1]PlanCuentas!$A$2:$A$6092,[1]PlanCuentas!I$2:I$6092)</f>
        <v>0</v>
      </c>
      <c r="K938" s="12">
        <f>LOOKUP(413010900,[1]PlanCuentas!$A$2:$A$6092,[1]PlanCuentas!I$2:I$6092)</f>
        <v>0</v>
      </c>
      <c r="L938" s="12">
        <f>LOOKUP(413011000,[1]PlanCuentas!$A$2:$A$6092,[1]PlanCuentas!I$2:I$6092)</f>
        <v>0</v>
      </c>
      <c r="M938" s="12">
        <f>LOOKUP(413011100,[1]PlanCuentas!$A$2:$A$6092,[1]PlanCuentas!I$2:I$6092)</f>
        <v>0</v>
      </c>
      <c r="N938" s="12">
        <f>LOOKUP(413011200,[1]PlanCuentas!$A$2:$A$6092,[1]PlanCuentas!I$2:I$6092)</f>
        <v>0</v>
      </c>
      <c r="O938" s="12">
        <f>LOOKUP(413011300,[1]PlanCuentas!$A$2:$A$6092,[1]PlanCuentas!I$2:I$6092)</f>
        <v>0</v>
      </c>
      <c r="P938" s="12">
        <f>LOOKUP(413012000,[1]PlanCuentas!$A$2:$A$6092,[1]PlanCuentas!I$2:I$6092)</f>
        <v>0</v>
      </c>
      <c r="Q938" s="13">
        <f t="shared" si="48"/>
        <v>0</v>
      </c>
    </row>
    <row r="939" spans="1:17" x14ac:dyDescent="0.2">
      <c r="A939" s="10">
        <v>8</v>
      </c>
      <c r="B939" s="11" t="str">
        <f>[1]Aseguradoras!B9</f>
        <v>Atalaya S.A de Seguros Generales</v>
      </c>
      <c r="C939" s="12">
        <f>LOOKUP(413010100,[1]PlanCuentas!$A$2:$A$6092,[1]PlanCuentas!J$2:J$6092)</f>
        <v>0</v>
      </c>
      <c r="D939" s="12">
        <f>LOOKUP(413010200,[1]PlanCuentas!$A$2:$A$6092,[1]PlanCuentas!J$2:J$6092)</f>
        <v>0</v>
      </c>
      <c r="E939" s="12">
        <f>LOOKUP(413010300,[1]PlanCuentas!$A$2:$A$6092,[1]PlanCuentas!J$2:J$6092)</f>
        <v>0</v>
      </c>
      <c r="F939" s="12">
        <f>LOOKUP(413010400,[1]PlanCuentas!$A$2:$A$6092,[1]PlanCuentas!J$2:J$6092)</f>
        <v>0</v>
      </c>
      <c r="G939" s="12">
        <f>LOOKUP(413010500,[1]PlanCuentas!$A$2:$A$6092,[1]PlanCuentas!J$2:J$6092)</f>
        <v>0</v>
      </c>
      <c r="H939" s="12">
        <f>LOOKUP(413010600,[1]PlanCuentas!$A$2:$A$6092,[1]PlanCuentas!J$2:J$6092)</f>
        <v>0</v>
      </c>
      <c r="I939" s="12">
        <f>LOOKUP(413010700,[1]PlanCuentas!$A$2:$A$6092,[1]PlanCuentas!J$2:J$6092)</f>
        <v>0</v>
      </c>
      <c r="J939" s="12">
        <f>LOOKUP(413010800,[1]PlanCuentas!$A$2:$A$6092,[1]PlanCuentas!J$2:J$6092)</f>
        <v>0</v>
      </c>
      <c r="K939" s="12">
        <f>LOOKUP(413010900,[1]PlanCuentas!$A$2:$A$6092,[1]PlanCuentas!J$2:J$6092)</f>
        <v>0</v>
      </c>
      <c r="L939" s="12">
        <f>LOOKUP(413011000,[1]PlanCuentas!$A$2:$A$6092,[1]PlanCuentas!J$2:J$6092)</f>
        <v>0</v>
      </c>
      <c r="M939" s="12">
        <f>LOOKUP(413011100,[1]PlanCuentas!$A$2:$A$6092,[1]PlanCuentas!J$2:J$6092)</f>
        <v>0</v>
      </c>
      <c r="N939" s="12">
        <f>LOOKUP(413011200,[1]PlanCuentas!$A$2:$A$6092,[1]PlanCuentas!J$2:J$6092)</f>
        <v>0</v>
      </c>
      <c r="O939" s="12">
        <f>LOOKUP(413011300,[1]PlanCuentas!$A$2:$A$6092,[1]PlanCuentas!J$2:J$6092)</f>
        <v>0</v>
      </c>
      <c r="P939" s="12">
        <f>LOOKUP(413012000,[1]PlanCuentas!$A$2:$A$6092,[1]PlanCuentas!J$2:J$6092)</f>
        <v>0</v>
      </c>
      <c r="Q939" s="13">
        <f t="shared" si="48"/>
        <v>0</v>
      </c>
    </row>
    <row r="940" spans="1:17" x14ac:dyDescent="0.2">
      <c r="A940" s="10">
        <v>9</v>
      </c>
      <c r="B940" s="11" t="str">
        <f>[1]Aseguradoras!B10</f>
        <v>La Independencia de Seguros S.A.</v>
      </c>
      <c r="C940" s="12">
        <f>LOOKUP(413010100,[1]PlanCuentas!$A$2:$A$6092,[1]PlanCuentas!K$2:K$6092)</f>
        <v>0</v>
      </c>
      <c r="D940" s="12">
        <f>LOOKUP(413010200,[1]PlanCuentas!$A$2:$A$6092,[1]PlanCuentas!K$2:K$6092)</f>
        <v>0</v>
      </c>
      <c r="E940" s="12">
        <f>LOOKUP(413010300,[1]PlanCuentas!$A$2:$A$6092,[1]PlanCuentas!K$2:K$6092)</f>
        <v>0</v>
      </c>
      <c r="F940" s="12">
        <f>LOOKUP(413010400,[1]PlanCuentas!$A$2:$A$6092,[1]PlanCuentas!K$2:K$6092)</f>
        <v>0</v>
      </c>
      <c r="G940" s="12">
        <f>LOOKUP(413010500,[1]PlanCuentas!$A$2:$A$6092,[1]PlanCuentas!K$2:K$6092)</f>
        <v>0</v>
      </c>
      <c r="H940" s="12">
        <f>LOOKUP(413010600,[1]PlanCuentas!$A$2:$A$6092,[1]PlanCuentas!K$2:K$6092)</f>
        <v>0</v>
      </c>
      <c r="I940" s="12">
        <f>LOOKUP(413010700,[1]PlanCuentas!$A$2:$A$6092,[1]PlanCuentas!K$2:K$6092)</f>
        <v>0</v>
      </c>
      <c r="J940" s="12">
        <f>LOOKUP(413010800,[1]PlanCuentas!$A$2:$A$6092,[1]PlanCuentas!K$2:K$6092)</f>
        <v>0</v>
      </c>
      <c r="K940" s="12">
        <f>LOOKUP(413010900,[1]PlanCuentas!$A$2:$A$6092,[1]PlanCuentas!K$2:K$6092)</f>
        <v>0</v>
      </c>
      <c r="L940" s="12">
        <f>LOOKUP(413011000,[1]PlanCuentas!$A$2:$A$6092,[1]PlanCuentas!K$2:K$6092)</f>
        <v>0</v>
      </c>
      <c r="M940" s="12">
        <f>LOOKUP(413011100,[1]PlanCuentas!$A$2:$A$6092,[1]PlanCuentas!K$2:K$6092)</f>
        <v>0</v>
      </c>
      <c r="N940" s="12">
        <f>LOOKUP(413011200,[1]PlanCuentas!$A$2:$A$6092,[1]PlanCuentas!K$2:K$6092)</f>
        <v>0</v>
      </c>
      <c r="O940" s="12">
        <f>LOOKUP(413011300,[1]PlanCuentas!$A$2:$A$6092,[1]PlanCuentas!K$2:K$6092)</f>
        <v>0</v>
      </c>
      <c r="P940" s="12">
        <f>LOOKUP(413012000,[1]PlanCuentas!$A$2:$A$6092,[1]PlanCuentas!K$2:K$6092)</f>
        <v>0</v>
      </c>
      <c r="Q940" s="13">
        <f t="shared" si="48"/>
        <v>0</v>
      </c>
    </row>
    <row r="941" spans="1:17" x14ac:dyDescent="0.2">
      <c r="A941" s="10">
        <v>10</v>
      </c>
      <c r="B941" s="11" t="str">
        <f>[1]Aseguradoras!B11</f>
        <v>Patria S.A de Seguros y Reaseguros</v>
      </c>
      <c r="C941" s="12">
        <f>LOOKUP(413010100,[1]PlanCuentas!$A$2:$A$6092,[1]PlanCuentas!L$2:L$6092)</f>
        <v>0</v>
      </c>
      <c r="D941" s="12">
        <f>LOOKUP(413010200,[1]PlanCuentas!$A$2:$A$6092,[1]PlanCuentas!L$2:L$6092)</f>
        <v>0</v>
      </c>
      <c r="E941" s="12">
        <f>LOOKUP(413010300,[1]PlanCuentas!$A$2:$A$6092,[1]PlanCuentas!L$2:L$6092)</f>
        <v>0</v>
      </c>
      <c r="F941" s="12">
        <f>LOOKUP(413010400,[1]PlanCuentas!$A$2:$A$6092,[1]PlanCuentas!L$2:L$6092)</f>
        <v>0</v>
      </c>
      <c r="G941" s="12">
        <f>LOOKUP(413010500,[1]PlanCuentas!$A$2:$A$6092,[1]PlanCuentas!L$2:L$6092)</f>
        <v>0</v>
      </c>
      <c r="H941" s="12">
        <f>LOOKUP(413010600,[1]PlanCuentas!$A$2:$A$6092,[1]PlanCuentas!L$2:L$6092)</f>
        <v>0</v>
      </c>
      <c r="I941" s="12">
        <f>LOOKUP(413010700,[1]PlanCuentas!$A$2:$A$6092,[1]PlanCuentas!L$2:L$6092)</f>
        <v>0</v>
      </c>
      <c r="J941" s="12">
        <f>LOOKUP(413010800,[1]PlanCuentas!$A$2:$A$6092,[1]PlanCuentas!L$2:L$6092)</f>
        <v>0</v>
      </c>
      <c r="K941" s="12">
        <f>LOOKUP(413010900,[1]PlanCuentas!$A$2:$A$6092,[1]PlanCuentas!L$2:L$6092)</f>
        <v>0</v>
      </c>
      <c r="L941" s="12">
        <f>LOOKUP(413011000,[1]PlanCuentas!$A$2:$A$6092,[1]PlanCuentas!L$2:L$6092)</f>
        <v>0</v>
      </c>
      <c r="M941" s="12">
        <f>LOOKUP(413011100,[1]PlanCuentas!$A$2:$A$6092,[1]PlanCuentas!L$2:L$6092)</f>
        <v>0</v>
      </c>
      <c r="N941" s="12">
        <f>LOOKUP(413011200,[1]PlanCuentas!$A$2:$A$6092,[1]PlanCuentas!L$2:L$6092)</f>
        <v>0</v>
      </c>
      <c r="O941" s="12">
        <f>LOOKUP(413011300,[1]PlanCuentas!$A$2:$A$6092,[1]PlanCuentas!L$2:L$6092)</f>
        <v>0</v>
      </c>
      <c r="P941" s="12">
        <f>LOOKUP(413012000,[1]PlanCuentas!$A$2:$A$6092,[1]PlanCuentas!L$2:L$6092)</f>
        <v>0</v>
      </c>
      <c r="Q941" s="13">
        <f t="shared" si="48"/>
        <v>0</v>
      </c>
    </row>
    <row r="942" spans="1:17" x14ac:dyDescent="0.2">
      <c r="A942" s="10">
        <v>11</v>
      </c>
      <c r="B942" s="11" t="str">
        <f>[1]Aseguradoras!B12</f>
        <v>Garantía S.A de Seguros y Reaseguros</v>
      </c>
      <c r="C942" s="12">
        <f>LOOKUP(413010100,[1]PlanCuentas!$A$2:$A$6092,[1]PlanCuentas!M$2:M$6092)</f>
        <v>0</v>
      </c>
      <c r="D942" s="12">
        <f>LOOKUP(413010200,[1]PlanCuentas!$A$2:$A$6092,[1]PlanCuentas!M$2:M$6092)</f>
        <v>0</v>
      </c>
      <c r="E942" s="12">
        <f>LOOKUP(413010300,[1]PlanCuentas!$A$2:$A$6092,[1]PlanCuentas!M$2:M$6092)</f>
        <v>0</v>
      </c>
      <c r="F942" s="12">
        <f>LOOKUP(413010400,[1]PlanCuentas!$A$2:$A$6092,[1]PlanCuentas!M$2:M$6092)</f>
        <v>0</v>
      </c>
      <c r="G942" s="12">
        <f>LOOKUP(413010500,[1]PlanCuentas!$A$2:$A$6092,[1]PlanCuentas!M$2:M$6092)</f>
        <v>0</v>
      </c>
      <c r="H942" s="12">
        <f>LOOKUP(413010600,[1]PlanCuentas!$A$2:$A$6092,[1]PlanCuentas!M$2:M$6092)</f>
        <v>0</v>
      </c>
      <c r="I942" s="12">
        <f>LOOKUP(413010700,[1]PlanCuentas!$A$2:$A$6092,[1]PlanCuentas!M$2:M$6092)</f>
        <v>0</v>
      </c>
      <c r="J942" s="12">
        <f>LOOKUP(413010800,[1]PlanCuentas!$A$2:$A$6092,[1]PlanCuentas!M$2:M$6092)</f>
        <v>0</v>
      </c>
      <c r="K942" s="12">
        <f>LOOKUP(413010900,[1]PlanCuentas!$A$2:$A$6092,[1]PlanCuentas!M$2:M$6092)</f>
        <v>0</v>
      </c>
      <c r="L942" s="12">
        <f>LOOKUP(413011000,[1]PlanCuentas!$A$2:$A$6092,[1]PlanCuentas!M$2:M$6092)</f>
        <v>0</v>
      </c>
      <c r="M942" s="12">
        <f>LOOKUP(413011100,[1]PlanCuentas!$A$2:$A$6092,[1]PlanCuentas!M$2:M$6092)</f>
        <v>0</v>
      </c>
      <c r="N942" s="12">
        <f>LOOKUP(413011200,[1]PlanCuentas!$A$2:$A$6092,[1]PlanCuentas!M$2:M$6092)</f>
        <v>0</v>
      </c>
      <c r="O942" s="12">
        <f>LOOKUP(413011300,[1]PlanCuentas!$A$2:$A$6092,[1]PlanCuentas!M$2:M$6092)</f>
        <v>0</v>
      </c>
      <c r="P942" s="12">
        <f>LOOKUP(413012000,[1]PlanCuentas!$A$2:$A$6092,[1]PlanCuentas!M$2:M$6092)</f>
        <v>0</v>
      </c>
      <c r="Q942" s="13">
        <f t="shared" si="48"/>
        <v>0</v>
      </c>
    </row>
    <row r="943" spans="1:17" x14ac:dyDescent="0.2">
      <c r="A943" s="10">
        <v>12</v>
      </c>
      <c r="B943" s="11" t="str">
        <f>[1]Aseguradoras!B13</f>
        <v>Aseguradora Paraguaya S.A.</v>
      </c>
      <c r="C943" s="12">
        <f>LOOKUP(413010100,[1]PlanCuentas!$A$2:$A$6092,[1]PlanCuentas!N$2:N$6092)</f>
        <v>0</v>
      </c>
      <c r="D943" s="12">
        <f>LOOKUP(413010200,[1]PlanCuentas!$A$2:$A$6092,[1]PlanCuentas!N$2:N$6092)</f>
        <v>0</v>
      </c>
      <c r="E943" s="12">
        <f>LOOKUP(413010300,[1]PlanCuentas!$A$2:$A$6092,[1]PlanCuentas!N$2:N$6092)</f>
        <v>0</v>
      </c>
      <c r="F943" s="12">
        <f>LOOKUP(413010400,[1]PlanCuentas!$A$2:$A$6092,[1]PlanCuentas!N$2:N$6092)</f>
        <v>0</v>
      </c>
      <c r="G943" s="12">
        <f>LOOKUP(413010500,[1]PlanCuentas!$A$2:$A$6092,[1]PlanCuentas!N$2:N$6092)</f>
        <v>0</v>
      </c>
      <c r="H943" s="12">
        <f>LOOKUP(413010600,[1]PlanCuentas!$A$2:$A$6092,[1]PlanCuentas!N$2:N$6092)</f>
        <v>0</v>
      </c>
      <c r="I943" s="12">
        <f>LOOKUP(413010700,[1]PlanCuentas!$A$2:$A$6092,[1]PlanCuentas!N$2:N$6092)</f>
        <v>0</v>
      </c>
      <c r="J943" s="12">
        <f>LOOKUP(413010800,[1]PlanCuentas!$A$2:$A$6092,[1]PlanCuentas!N$2:N$6092)</f>
        <v>0</v>
      </c>
      <c r="K943" s="12">
        <f>LOOKUP(413010900,[1]PlanCuentas!$A$2:$A$6092,[1]PlanCuentas!N$2:N$6092)</f>
        <v>0</v>
      </c>
      <c r="L943" s="12">
        <f>LOOKUP(413011000,[1]PlanCuentas!$A$2:$A$6092,[1]PlanCuentas!N$2:N$6092)</f>
        <v>0</v>
      </c>
      <c r="M943" s="12">
        <f>LOOKUP(413011100,[1]PlanCuentas!$A$2:$A$6092,[1]PlanCuentas!N$2:N$6092)</f>
        <v>0</v>
      </c>
      <c r="N943" s="12">
        <f>LOOKUP(413011200,[1]PlanCuentas!$A$2:$A$6092,[1]PlanCuentas!N$2:N$6092)</f>
        <v>0</v>
      </c>
      <c r="O943" s="12">
        <f>LOOKUP(413011300,[1]PlanCuentas!$A$2:$A$6092,[1]PlanCuentas!N$2:N$6092)</f>
        <v>0</v>
      </c>
      <c r="P943" s="12">
        <f>LOOKUP(413012000,[1]PlanCuentas!$A$2:$A$6092,[1]PlanCuentas!N$2:N$6092)</f>
        <v>0</v>
      </c>
      <c r="Q943" s="13">
        <f t="shared" si="48"/>
        <v>0</v>
      </c>
    </row>
    <row r="944" spans="1:17" x14ac:dyDescent="0.2">
      <c r="A944" s="10">
        <v>13</v>
      </c>
      <c r="B944" s="11" t="str">
        <f>[1]Aseguradoras!B14</f>
        <v>Fénix S.A de Seguros y Reaseguros</v>
      </c>
      <c r="C944" s="12">
        <f>LOOKUP(413010100,[1]PlanCuentas!$A$2:$A$6092,[1]PlanCuentas!O$2:O$6092)</f>
        <v>0</v>
      </c>
      <c r="D944" s="12">
        <f>LOOKUP(413010200,[1]PlanCuentas!$A$2:$A$6092,[1]PlanCuentas!O$2:O$6092)</f>
        <v>0</v>
      </c>
      <c r="E944" s="12">
        <f>LOOKUP(413010300,[1]PlanCuentas!$A$2:$A$6092,[1]PlanCuentas!O$2:O$6092)</f>
        <v>0</v>
      </c>
      <c r="F944" s="12">
        <f>LOOKUP(413010400,[1]PlanCuentas!$A$2:$A$6092,[1]PlanCuentas!O$2:O$6092)</f>
        <v>0</v>
      </c>
      <c r="G944" s="12">
        <f>LOOKUP(413010500,[1]PlanCuentas!$A$2:$A$6092,[1]PlanCuentas!O$2:O$6092)</f>
        <v>0</v>
      </c>
      <c r="H944" s="12">
        <f>LOOKUP(413010600,[1]PlanCuentas!$A$2:$A$6092,[1]PlanCuentas!O$2:O$6092)</f>
        <v>0</v>
      </c>
      <c r="I944" s="12">
        <f>LOOKUP(413010700,[1]PlanCuentas!$A$2:$A$6092,[1]PlanCuentas!O$2:O$6092)</f>
        <v>0</v>
      </c>
      <c r="J944" s="12">
        <f>LOOKUP(413010800,[1]PlanCuentas!$A$2:$A$6092,[1]PlanCuentas!O$2:O$6092)</f>
        <v>0</v>
      </c>
      <c r="K944" s="12">
        <f>LOOKUP(413010900,[1]PlanCuentas!$A$2:$A$6092,[1]PlanCuentas!O$2:O$6092)</f>
        <v>0</v>
      </c>
      <c r="L944" s="12">
        <f>LOOKUP(413011000,[1]PlanCuentas!$A$2:$A$6092,[1]PlanCuentas!O$2:O$6092)</f>
        <v>0</v>
      </c>
      <c r="M944" s="12">
        <f>LOOKUP(413011100,[1]PlanCuentas!$A$2:$A$6092,[1]PlanCuentas!O$2:O$6092)</f>
        <v>0</v>
      </c>
      <c r="N944" s="12">
        <f>LOOKUP(413011200,[1]PlanCuentas!$A$2:$A$6092,[1]PlanCuentas!O$2:O$6092)</f>
        <v>0</v>
      </c>
      <c r="O944" s="12">
        <f>LOOKUP(413011300,[1]PlanCuentas!$A$2:$A$6092,[1]PlanCuentas!O$2:O$6092)</f>
        <v>0</v>
      </c>
      <c r="P944" s="12">
        <f>LOOKUP(413012000,[1]PlanCuentas!$A$2:$A$6092,[1]PlanCuentas!O$2:O$6092)</f>
        <v>0</v>
      </c>
      <c r="Q944" s="13">
        <f t="shared" si="48"/>
        <v>0</v>
      </c>
    </row>
    <row r="945" spans="1:17" x14ac:dyDescent="0.2">
      <c r="A945" s="10">
        <v>14</v>
      </c>
      <c r="B945" s="11" t="str">
        <f>[1]Aseguradoras!B15</f>
        <v>Central S.A de Seguros</v>
      </c>
      <c r="C945" s="12">
        <f>LOOKUP(413010100,[1]PlanCuentas!$A$2:$A$6092,[1]PlanCuentas!P$2:P$6092)</f>
        <v>0</v>
      </c>
      <c r="D945" s="12">
        <f>LOOKUP(413010200,[1]PlanCuentas!$A$2:$A$6092,[1]PlanCuentas!P$2:P$6092)</f>
        <v>0</v>
      </c>
      <c r="E945" s="12">
        <f>LOOKUP(413010300,[1]PlanCuentas!$A$2:$A$6092,[1]PlanCuentas!P$2:P$6092)</f>
        <v>0</v>
      </c>
      <c r="F945" s="12">
        <f>LOOKUP(413010400,[1]PlanCuentas!$A$2:$A$6092,[1]PlanCuentas!P$2:P$6092)</f>
        <v>0</v>
      </c>
      <c r="G945" s="12">
        <f>LOOKUP(413010500,[1]PlanCuentas!$A$2:$A$6092,[1]PlanCuentas!P$2:P$6092)</f>
        <v>0</v>
      </c>
      <c r="H945" s="12">
        <f>LOOKUP(413010600,[1]PlanCuentas!$A$2:$A$6092,[1]PlanCuentas!P$2:P$6092)</f>
        <v>0</v>
      </c>
      <c r="I945" s="12">
        <f>LOOKUP(413010700,[1]PlanCuentas!$A$2:$A$6092,[1]PlanCuentas!P$2:P$6092)</f>
        <v>0</v>
      </c>
      <c r="J945" s="12">
        <f>LOOKUP(413010800,[1]PlanCuentas!$A$2:$A$6092,[1]PlanCuentas!P$2:P$6092)</f>
        <v>0</v>
      </c>
      <c r="K945" s="12">
        <f>LOOKUP(413010900,[1]PlanCuentas!$A$2:$A$6092,[1]PlanCuentas!P$2:P$6092)</f>
        <v>0</v>
      </c>
      <c r="L945" s="12">
        <f>LOOKUP(413011000,[1]PlanCuentas!$A$2:$A$6092,[1]PlanCuentas!P$2:P$6092)</f>
        <v>0</v>
      </c>
      <c r="M945" s="12">
        <f>LOOKUP(413011100,[1]PlanCuentas!$A$2:$A$6092,[1]PlanCuentas!P$2:P$6092)</f>
        <v>0</v>
      </c>
      <c r="N945" s="12">
        <f>LOOKUP(413011200,[1]PlanCuentas!$A$2:$A$6092,[1]PlanCuentas!P$2:P$6092)</f>
        <v>0</v>
      </c>
      <c r="O945" s="12">
        <f>LOOKUP(413011300,[1]PlanCuentas!$A$2:$A$6092,[1]PlanCuentas!P$2:P$6092)</f>
        <v>0</v>
      </c>
      <c r="P945" s="12">
        <f>LOOKUP(413012000,[1]PlanCuentas!$A$2:$A$6092,[1]PlanCuentas!P$2:P$6092)</f>
        <v>0</v>
      </c>
      <c r="Q945" s="13">
        <f t="shared" si="48"/>
        <v>0</v>
      </c>
    </row>
    <row r="946" spans="1:17" x14ac:dyDescent="0.2">
      <c r="A946" s="10">
        <v>15</v>
      </c>
      <c r="B946" s="11" t="str">
        <f>[1]Aseguradoras!B16</f>
        <v>Seguros Chaco S.A de Seguros y Reaseguros</v>
      </c>
      <c r="C946" s="12">
        <f>LOOKUP(413010100,[1]PlanCuentas!$A$2:$A$6092,[1]PlanCuentas!Q$2:Q$6092)</f>
        <v>0</v>
      </c>
      <c r="D946" s="12">
        <f>LOOKUP(413010200,[1]PlanCuentas!$A$2:$A$6092,[1]PlanCuentas!Q$2:Q$6092)</f>
        <v>0</v>
      </c>
      <c r="E946" s="12">
        <f>LOOKUP(413010300,[1]PlanCuentas!$A$2:$A$6092,[1]PlanCuentas!Q$2:Q$6092)</f>
        <v>0</v>
      </c>
      <c r="F946" s="12">
        <f>LOOKUP(413010400,[1]PlanCuentas!$A$2:$A$6092,[1]PlanCuentas!Q$2:Q$6092)</f>
        <v>0</v>
      </c>
      <c r="G946" s="12">
        <f>LOOKUP(413010500,[1]PlanCuentas!$A$2:$A$6092,[1]PlanCuentas!Q$2:Q$6092)</f>
        <v>0</v>
      </c>
      <c r="H946" s="12">
        <f>LOOKUP(413010600,[1]PlanCuentas!$A$2:$A$6092,[1]PlanCuentas!Q$2:Q$6092)</f>
        <v>0</v>
      </c>
      <c r="I946" s="12">
        <f>LOOKUP(413010700,[1]PlanCuentas!$A$2:$A$6092,[1]PlanCuentas!Q$2:Q$6092)</f>
        <v>0</v>
      </c>
      <c r="J946" s="12">
        <f>LOOKUP(413010800,[1]PlanCuentas!$A$2:$A$6092,[1]PlanCuentas!Q$2:Q$6092)</f>
        <v>0</v>
      </c>
      <c r="K946" s="12">
        <f>LOOKUP(413010900,[1]PlanCuentas!$A$2:$A$6092,[1]PlanCuentas!Q$2:Q$6092)</f>
        <v>0</v>
      </c>
      <c r="L946" s="12">
        <f>LOOKUP(413011000,[1]PlanCuentas!$A$2:$A$6092,[1]PlanCuentas!Q$2:Q$6092)</f>
        <v>0</v>
      </c>
      <c r="M946" s="12">
        <f>LOOKUP(413011100,[1]PlanCuentas!$A$2:$A$6092,[1]PlanCuentas!Q$2:Q$6092)</f>
        <v>0</v>
      </c>
      <c r="N946" s="12">
        <f>LOOKUP(413011200,[1]PlanCuentas!$A$2:$A$6092,[1]PlanCuentas!Q$2:Q$6092)</f>
        <v>0</v>
      </c>
      <c r="O946" s="12">
        <f>LOOKUP(413011300,[1]PlanCuentas!$A$2:$A$6092,[1]PlanCuentas!Q$2:Q$6092)</f>
        <v>0</v>
      </c>
      <c r="P946" s="12">
        <f>LOOKUP(413012000,[1]PlanCuentas!$A$2:$A$6092,[1]PlanCuentas!Q$2:Q$6092)</f>
        <v>0</v>
      </c>
      <c r="Q946" s="13">
        <f t="shared" si="48"/>
        <v>0</v>
      </c>
    </row>
    <row r="947" spans="1:17" x14ac:dyDescent="0.2">
      <c r="A947" s="10">
        <v>16</v>
      </c>
      <c r="B947" s="11" t="str">
        <f>[1]Aseguradoras!B17</f>
        <v>El Sol Del Paraguay Compañía de Seguros y Reaseguros S.A.</v>
      </c>
      <c r="C947" s="12">
        <f>LOOKUP(413010100,[1]PlanCuentas!$A$2:$A$6092,[1]PlanCuentas!R$2:R$6092)</f>
        <v>0</v>
      </c>
      <c r="D947" s="12">
        <f>LOOKUP(413010200,[1]PlanCuentas!$A$2:$A$6092,[1]PlanCuentas!R$2:R$6092)</f>
        <v>0</v>
      </c>
      <c r="E947" s="12">
        <f>LOOKUP(413010300,[1]PlanCuentas!$A$2:$A$6092,[1]PlanCuentas!R$2:R$6092)</f>
        <v>0</v>
      </c>
      <c r="F947" s="12">
        <f>LOOKUP(413010400,[1]PlanCuentas!$A$2:$A$6092,[1]PlanCuentas!R$2:R$6092)</f>
        <v>0</v>
      </c>
      <c r="G947" s="12">
        <f>LOOKUP(413010500,[1]PlanCuentas!$A$2:$A$6092,[1]PlanCuentas!R$2:R$6092)</f>
        <v>0</v>
      </c>
      <c r="H947" s="12">
        <f>LOOKUP(413010600,[1]PlanCuentas!$A$2:$A$6092,[1]PlanCuentas!R$2:R$6092)</f>
        <v>0</v>
      </c>
      <c r="I947" s="12">
        <f>LOOKUP(413010700,[1]PlanCuentas!$A$2:$A$6092,[1]PlanCuentas!R$2:R$6092)</f>
        <v>0</v>
      </c>
      <c r="J947" s="12">
        <f>LOOKUP(413010800,[1]PlanCuentas!$A$2:$A$6092,[1]PlanCuentas!R$2:R$6092)</f>
        <v>0</v>
      </c>
      <c r="K947" s="12">
        <f>LOOKUP(413010900,[1]PlanCuentas!$A$2:$A$6092,[1]PlanCuentas!R$2:R$6092)</f>
        <v>0</v>
      </c>
      <c r="L947" s="12">
        <f>LOOKUP(413011000,[1]PlanCuentas!$A$2:$A$6092,[1]PlanCuentas!R$2:R$6092)</f>
        <v>0</v>
      </c>
      <c r="M947" s="12">
        <f>LOOKUP(413011100,[1]PlanCuentas!$A$2:$A$6092,[1]PlanCuentas!R$2:R$6092)</f>
        <v>0</v>
      </c>
      <c r="N947" s="12">
        <f>LOOKUP(413011200,[1]PlanCuentas!$A$2:$A$6092,[1]PlanCuentas!R$2:R$6092)</f>
        <v>0</v>
      </c>
      <c r="O947" s="12">
        <f>LOOKUP(413011300,[1]PlanCuentas!$A$2:$A$6092,[1]PlanCuentas!R$2:R$6092)</f>
        <v>0</v>
      </c>
      <c r="P947" s="12">
        <f>LOOKUP(413012000,[1]PlanCuentas!$A$2:$A$6092,[1]PlanCuentas!R$2:R$6092)</f>
        <v>0</v>
      </c>
      <c r="Q947" s="13">
        <f t="shared" si="48"/>
        <v>0</v>
      </c>
    </row>
    <row r="948" spans="1:17" x14ac:dyDescent="0.2">
      <c r="A948" s="10">
        <v>17</v>
      </c>
      <c r="B948" s="11" t="str">
        <f>[1]Aseguradoras!B18</f>
        <v>Intercontinental de Seguros y Reaseguros S.A.</v>
      </c>
      <c r="C948" s="12">
        <f>LOOKUP(413010100,[1]PlanCuentas!$A$2:$A$6092,[1]PlanCuentas!S$2:S$6092)</f>
        <v>0</v>
      </c>
      <c r="D948" s="12">
        <f>LOOKUP(413010200,[1]PlanCuentas!$A$2:$A$6092,[1]PlanCuentas!S$2:S$6092)</f>
        <v>0</v>
      </c>
      <c r="E948" s="12">
        <f>LOOKUP(413010300,[1]PlanCuentas!$A$2:$A$6092,[1]PlanCuentas!S$2:S$6092)</f>
        <v>0</v>
      </c>
      <c r="F948" s="12">
        <f>LOOKUP(413010400,[1]PlanCuentas!$A$2:$A$6092,[1]PlanCuentas!S$2:S$6092)</f>
        <v>0</v>
      </c>
      <c r="G948" s="12">
        <f>LOOKUP(413010500,[1]PlanCuentas!$A$2:$A$6092,[1]PlanCuentas!S$2:S$6092)</f>
        <v>0</v>
      </c>
      <c r="H948" s="12">
        <f>LOOKUP(413010600,[1]PlanCuentas!$A$2:$A$6092,[1]PlanCuentas!S$2:S$6092)</f>
        <v>0</v>
      </c>
      <c r="I948" s="12">
        <f>LOOKUP(413010700,[1]PlanCuentas!$A$2:$A$6092,[1]PlanCuentas!S$2:S$6092)</f>
        <v>0</v>
      </c>
      <c r="J948" s="12">
        <f>LOOKUP(413010800,[1]PlanCuentas!$A$2:$A$6092,[1]PlanCuentas!S$2:S$6092)</f>
        <v>0</v>
      </c>
      <c r="K948" s="12">
        <f>LOOKUP(413010900,[1]PlanCuentas!$A$2:$A$6092,[1]PlanCuentas!S$2:S$6092)</f>
        <v>0</v>
      </c>
      <c r="L948" s="12">
        <f>LOOKUP(413011000,[1]PlanCuentas!$A$2:$A$6092,[1]PlanCuentas!S$2:S$6092)</f>
        <v>0</v>
      </c>
      <c r="M948" s="12">
        <f>LOOKUP(413011100,[1]PlanCuentas!$A$2:$A$6092,[1]PlanCuentas!S$2:S$6092)</f>
        <v>0</v>
      </c>
      <c r="N948" s="12">
        <f>LOOKUP(413011200,[1]PlanCuentas!$A$2:$A$6092,[1]PlanCuentas!S$2:S$6092)</f>
        <v>0</v>
      </c>
      <c r="O948" s="12">
        <f>LOOKUP(413011300,[1]PlanCuentas!$A$2:$A$6092,[1]PlanCuentas!S$2:S$6092)</f>
        <v>0</v>
      </c>
      <c r="P948" s="12">
        <f>LOOKUP(413012000,[1]PlanCuentas!$A$2:$A$6092,[1]PlanCuentas!S$2:S$6092)</f>
        <v>0</v>
      </c>
      <c r="Q948" s="13">
        <f t="shared" si="48"/>
        <v>0</v>
      </c>
    </row>
    <row r="949" spans="1:17" x14ac:dyDescent="0.2">
      <c r="A949" s="10">
        <v>18</v>
      </c>
      <c r="B949" s="11" t="str">
        <f>[1]Aseguradoras!B19</f>
        <v>Seguridad S.A Compañía de Seguros</v>
      </c>
      <c r="C949" s="12">
        <f>LOOKUP(413010100,[1]PlanCuentas!$A$2:$A$6092,[1]PlanCuentas!T$2:T$6092)</f>
        <v>0</v>
      </c>
      <c r="D949" s="12">
        <f>LOOKUP(413010200,[1]PlanCuentas!$A$2:$A$6092,[1]PlanCuentas!T$2:T$6092)</f>
        <v>0</v>
      </c>
      <c r="E949" s="12">
        <f>LOOKUP(413010300,[1]PlanCuentas!$A$2:$A$6092,[1]PlanCuentas!T$2:T$6092)</f>
        <v>0</v>
      </c>
      <c r="F949" s="12">
        <f>LOOKUP(413010400,[1]PlanCuentas!$A$2:$A$6092,[1]PlanCuentas!T$2:T$6092)</f>
        <v>0</v>
      </c>
      <c r="G949" s="12">
        <f>LOOKUP(413010500,[1]PlanCuentas!$A$2:$A$6092,[1]PlanCuentas!T$2:T$6092)</f>
        <v>0</v>
      </c>
      <c r="H949" s="12">
        <f>LOOKUP(413010600,[1]PlanCuentas!$A$2:$A$6092,[1]PlanCuentas!T$2:T$6092)</f>
        <v>0</v>
      </c>
      <c r="I949" s="12">
        <f>LOOKUP(413010700,[1]PlanCuentas!$A$2:$A$6092,[1]PlanCuentas!T$2:T$6092)</f>
        <v>0</v>
      </c>
      <c r="J949" s="12">
        <f>LOOKUP(413010800,[1]PlanCuentas!$A$2:$A$6092,[1]PlanCuentas!T$2:T$6092)</f>
        <v>0</v>
      </c>
      <c r="K949" s="12">
        <f>LOOKUP(413010900,[1]PlanCuentas!$A$2:$A$6092,[1]PlanCuentas!T$2:T$6092)</f>
        <v>0</v>
      </c>
      <c r="L949" s="12">
        <f>LOOKUP(413011000,[1]PlanCuentas!$A$2:$A$6092,[1]PlanCuentas!T$2:T$6092)</f>
        <v>0</v>
      </c>
      <c r="M949" s="12">
        <f>LOOKUP(413011100,[1]PlanCuentas!$A$2:$A$6092,[1]PlanCuentas!T$2:T$6092)</f>
        <v>0</v>
      </c>
      <c r="N949" s="12">
        <f>LOOKUP(413011200,[1]PlanCuentas!$A$2:$A$6092,[1]PlanCuentas!T$2:T$6092)</f>
        <v>0</v>
      </c>
      <c r="O949" s="12">
        <f>LOOKUP(413011300,[1]PlanCuentas!$A$2:$A$6092,[1]PlanCuentas!T$2:T$6092)</f>
        <v>0</v>
      </c>
      <c r="P949" s="12">
        <f>LOOKUP(413012000,[1]PlanCuentas!$A$2:$A$6092,[1]PlanCuentas!T$2:T$6092)</f>
        <v>0</v>
      </c>
      <c r="Q949" s="13">
        <f t="shared" si="48"/>
        <v>0</v>
      </c>
    </row>
    <row r="950" spans="1:17" x14ac:dyDescent="0.2">
      <c r="A950" s="10">
        <v>19</v>
      </c>
      <c r="B950" s="11" t="str">
        <f>[1]Aseguradoras!B20</f>
        <v>Universo de Seguros y Reaseguros S.A.</v>
      </c>
      <c r="C950" s="12">
        <f>LOOKUP(413010100,[1]PlanCuentas!$A$2:$A$6092,[1]PlanCuentas!U$2:U$6092)</f>
        <v>0</v>
      </c>
      <c r="D950" s="12">
        <f>LOOKUP(413010200,[1]PlanCuentas!$A$2:$A$6092,[1]PlanCuentas!U$2:U$6092)</f>
        <v>0</v>
      </c>
      <c r="E950" s="12">
        <f>LOOKUP(413010300,[1]PlanCuentas!$A$2:$A$6092,[1]PlanCuentas!U$2:U$6092)</f>
        <v>0</v>
      </c>
      <c r="F950" s="12">
        <f>LOOKUP(413010400,[1]PlanCuentas!$A$2:$A$6092,[1]PlanCuentas!U$2:U$6092)</f>
        <v>0</v>
      </c>
      <c r="G950" s="12">
        <f>LOOKUP(413010500,[1]PlanCuentas!$A$2:$A$6092,[1]PlanCuentas!U$2:U$6092)</f>
        <v>0</v>
      </c>
      <c r="H950" s="12">
        <f>LOOKUP(413010600,[1]PlanCuentas!$A$2:$A$6092,[1]PlanCuentas!U$2:U$6092)</f>
        <v>0</v>
      </c>
      <c r="I950" s="12">
        <f>LOOKUP(413010700,[1]PlanCuentas!$A$2:$A$6092,[1]PlanCuentas!U$2:U$6092)</f>
        <v>0</v>
      </c>
      <c r="J950" s="12">
        <f>LOOKUP(413010800,[1]PlanCuentas!$A$2:$A$6092,[1]PlanCuentas!U$2:U$6092)</f>
        <v>0</v>
      </c>
      <c r="K950" s="12">
        <f>LOOKUP(413010900,[1]PlanCuentas!$A$2:$A$6092,[1]PlanCuentas!U$2:U$6092)</f>
        <v>0</v>
      </c>
      <c r="L950" s="12">
        <f>LOOKUP(413011000,[1]PlanCuentas!$A$2:$A$6092,[1]PlanCuentas!U$2:U$6092)</f>
        <v>0</v>
      </c>
      <c r="M950" s="12">
        <f>LOOKUP(413011100,[1]PlanCuentas!$A$2:$A$6092,[1]PlanCuentas!U$2:U$6092)</f>
        <v>0</v>
      </c>
      <c r="N950" s="12">
        <f>LOOKUP(413011200,[1]PlanCuentas!$A$2:$A$6092,[1]PlanCuentas!U$2:U$6092)</f>
        <v>0</v>
      </c>
      <c r="O950" s="12">
        <f>LOOKUP(413011300,[1]PlanCuentas!$A$2:$A$6092,[1]PlanCuentas!U$2:U$6092)</f>
        <v>0</v>
      </c>
      <c r="P950" s="12">
        <f>LOOKUP(413012000,[1]PlanCuentas!$A$2:$A$6092,[1]PlanCuentas!U$2:U$6092)</f>
        <v>0</v>
      </c>
      <c r="Q950" s="13">
        <f t="shared" si="48"/>
        <v>0</v>
      </c>
    </row>
    <row r="951" spans="1:17" x14ac:dyDescent="0.2">
      <c r="A951" s="10">
        <v>20</v>
      </c>
      <c r="B951" s="11" t="str">
        <f>[1]Aseguradoras!B21</f>
        <v>Aseguradora Yacyreta S.A de Seguros y Reaseguros</v>
      </c>
      <c r="C951" s="12">
        <f>LOOKUP(413010100,[1]PlanCuentas!$A$2:$A$6092,[1]PlanCuentas!V$2:V$6092)</f>
        <v>0</v>
      </c>
      <c r="D951" s="12">
        <f>LOOKUP(413010200,[1]PlanCuentas!$A$2:$A$6092,[1]PlanCuentas!V$2:V$6092)</f>
        <v>0</v>
      </c>
      <c r="E951" s="12">
        <f>LOOKUP(413010300,[1]PlanCuentas!$A$2:$A$6092,[1]PlanCuentas!V$2:V$6092)</f>
        <v>0</v>
      </c>
      <c r="F951" s="12">
        <f>LOOKUP(413010400,[1]PlanCuentas!$A$2:$A$6092,[1]PlanCuentas!V$2:V$6092)</f>
        <v>0</v>
      </c>
      <c r="G951" s="12">
        <f>LOOKUP(413010500,[1]PlanCuentas!$A$2:$A$6092,[1]PlanCuentas!V$2:V$6092)</f>
        <v>0</v>
      </c>
      <c r="H951" s="12">
        <f>LOOKUP(413010600,[1]PlanCuentas!$A$2:$A$6092,[1]PlanCuentas!V$2:V$6092)</f>
        <v>0</v>
      </c>
      <c r="I951" s="12">
        <f>LOOKUP(413010700,[1]PlanCuentas!$A$2:$A$6092,[1]PlanCuentas!V$2:V$6092)</f>
        <v>0</v>
      </c>
      <c r="J951" s="12">
        <f>LOOKUP(413010800,[1]PlanCuentas!$A$2:$A$6092,[1]PlanCuentas!V$2:V$6092)</f>
        <v>0</v>
      </c>
      <c r="K951" s="12">
        <f>LOOKUP(413010900,[1]PlanCuentas!$A$2:$A$6092,[1]PlanCuentas!V$2:V$6092)</f>
        <v>0</v>
      </c>
      <c r="L951" s="12">
        <f>LOOKUP(413011000,[1]PlanCuentas!$A$2:$A$6092,[1]PlanCuentas!V$2:V$6092)</f>
        <v>0</v>
      </c>
      <c r="M951" s="12">
        <f>LOOKUP(413011100,[1]PlanCuentas!$A$2:$A$6092,[1]PlanCuentas!V$2:V$6092)</f>
        <v>0</v>
      </c>
      <c r="N951" s="12">
        <f>LOOKUP(413011200,[1]PlanCuentas!$A$2:$A$6092,[1]PlanCuentas!V$2:V$6092)</f>
        <v>0</v>
      </c>
      <c r="O951" s="12">
        <f>LOOKUP(413011300,[1]PlanCuentas!$A$2:$A$6092,[1]PlanCuentas!V$2:V$6092)</f>
        <v>0</v>
      </c>
      <c r="P951" s="12">
        <f>LOOKUP(413012000,[1]PlanCuentas!$A$2:$A$6092,[1]PlanCuentas!V$2:V$6092)</f>
        <v>0</v>
      </c>
      <c r="Q951" s="13">
        <f t="shared" si="48"/>
        <v>0</v>
      </c>
    </row>
    <row r="952" spans="1:17" x14ac:dyDescent="0.2">
      <c r="A952" s="10">
        <v>21</v>
      </c>
      <c r="B952" s="11" t="str">
        <f>[1]Aseguradoras!B22</f>
        <v>La Agricola S.A de Seguros y Reaseguros</v>
      </c>
      <c r="C952" s="12">
        <f>LOOKUP(413010100,[1]PlanCuentas!$A$2:$A$6092,[1]PlanCuentas!W$2:W$6092)</f>
        <v>0</v>
      </c>
      <c r="D952" s="12">
        <f>LOOKUP(413010200,[1]PlanCuentas!$A$2:$A$6092,[1]PlanCuentas!W$2:W$6092)</f>
        <v>0</v>
      </c>
      <c r="E952" s="12">
        <f>LOOKUP(413010300,[1]PlanCuentas!$A$2:$A$6092,[1]PlanCuentas!W$2:W$6092)</f>
        <v>0</v>
      </c>
      <c r="F952" s="12">
        <f>LOOKUP(413010400,[1]PlanCuentas!$A$2:$A$6092,[1]PlanCuentas!W$2:W$6092)</f>
        <v>0</v>
      </c>
      <c r="G952" s="12">
        <f>LOOKUP(413010500,[1]PlanCuentas!$A$2:$A$6092,[1]PlanCuentas!W$2:W$6092)</f>
        <v>0</v>
      </c>
      <c r="H952" s="12">
        <f>LOOKUP(413010600,[1]PlanCuentas!$A$2:$A$6092,[1]PlanCuentas!W$2:W$6092)</f>
        <v>0</v>
      </c>
      <c r="I952" s="12">
        <f>LOOKUP(413010700,[1]PlanCuentas!$A$2:$A$6092,[1]PlanCuentas!W$2:W$6092)</f>
        <v>0</v>
      </c>
      <c r="J952" s="12">
        <f>LOOKUP(413010800,[1]PlanCuentas!$A$2:$A$6092,[1]PlanCuentas!W$2:W$6092)</f>
        <v>0</v>
      </c>
      <c r="K952" s="12">
        <f>LOOKUP(413010900,[1]PlanCuentas!$A$2:$A$6092,[1]PlanCuentas!W$2:W$6092)</f>
        <v>0</v>
      </c>
      <c r="L952" s="12">
        <f>LOOKUP(413011000,[1]PlanCuentas!$A$2:$A$6092,[1]PlanCuentas!W$2:W$6092)</f>
        <v>0</v>
      </c>
      <c r="M952" s="12">
        <f>LOOKUP(413011100,[1]PlanCuentas!$A$2:$A$6092,[1]PlanCuentas!W$2:W$6092)</f>
        <v>0</v>
      </c>
      <c r="N952" s="12">
        <f>LOOKUP(413011200,[1]PlanCuentas!$A$2:$A$6092,[1]PlanCuentas!W$2:W$6092)</f>
        <v>0</v>
      </c>
      <c r="O952" s="12">
        <f>LOOKUP(413011300,[1]PlanCuentas!$A$2:$A$6092,[1]PlanCuentas!W$2:W$6092)</f>
        <v>0</v>
      </c>
      <c r="P952" s="12">
        <f>LOOKUP(413012000,[1]PlanCuentas!$A$2:$A$6092,[1]PlanCuentas!W$2:W$6092)</f>
        <v>0</v>
      </c>
      <c r="Q952" s="13">
        <f t="shared" si="48"/>
        <v>0</v>
      </c>
    </row>
    <row r="953" spans="1:17" x14ac:dyDescent="0.2">
      <c r="A953" s="10">
        <v>22</v>
      </c>
      <c r="B953" s="11" t="str">
        <f>[1]Aseguradoras!B23</f>
        <v>Grupo General de Seguros y Reaseguros S.A.</v>
      </c>
      <c r="C953" s="12">
        <f>LOOKUP(413010100,[1]PlanCuentas!$A$2:$A$6092,[1]PlanCuentas!X$2:X$6092)</f>
        <v>0</v>
      </c>
      <c r="D953" s="12">
        <f>LOOKUP(413010200,[1]PlanCuentas!$A$2:$A$6092,[1]PlanCuentas!X$2:X$6092)</f>
        <v>0</v>
      </c>
      <c r="E953" s="12">
        <f>LOOKUP(413010300,[1]PlanCuentas!$A$2:$A$6092,[1]PlanCuentas!X$2:X$6092)</f>
        <v>0</v>
      </c>
      <c r="F953" s="12">
        <f>LOOKUP(413010400,[1]PlanCuentas!$A$2:$A$6092,[1]PlanCuentas!X$2:X$6092)</f>
        <v>0</v>
      </c>
      <c r="G953" s="12">
        <f>LOOKUP(413010500,[1]PlanCuentas!$A$2:$A$6092,[1]PlanCuentas!X$2:X$6092)</f>
        <v>0</v>
      </c>
      <c r="H953" s="12">
        <f>LOOKUP(413010600,[1]PlanCuentas!$A$2:$A$6092,[1]PlanCuentas!X$2:X$6092)</f>
        <v>0</v>
      </c>
      <c r="I953" s="12">
        <f>LOOKUP(413010700,[1]PlanCuentas!$A$2:$A$6092,[1]PlanCuentas!X$2:X$6092)</f>
        <v>0</v>
      </c>
      <c r="J953" s="12">
        <f>LOOKUP(413010800,[1]PlanCuentas!$A$2:$A$6092,[1]PlanCuentas!X$2:X$6092)</f>
        <v>0</v>
      </c>
      <c r="K953" s="12">
        <f>LOOKUP(413010900,[1]PlanCuentas!$A$2:$A$6092,[1]PlanCuentas!X$2:X$6092)</f>
        <v>0</v>
      </c>
      <c r="L953" s="12">
        <f>LOOKUP(413011000,[1]PlanCuentas!$A$2:$A$6092,[1]PlanCuentas!X$2:X$6092)</f>
        <v>0</v>
      </c>
      <c r="M953" s="12">
        <f>LOOKUP(413011100,[1]PlanCuentas!$A$2:$A$6092,[1]PlanCuentas!X$2:X$6092)</f>
        <v>0</v>
      </c>
      <c r="N953" s="12">
        <f>LOOKUP(413011200,[1]PlanCuentas!$A$2:$A$6092,[1]PlanCuentas!X$2:X$6092)</f>
        <v>0</v>
      </c>
      <c r="O953" s="12">
        <f>LOOKUP(413011300,[1]PlanCuentas!$A$2:$A$6092,[1]PlanCuentas!X$2:X$6092)</f>
        <v>0</v>
      </c>
      <c r="P953" s="12">
        <f>LOOKUP(413012000,[1]PlanCuentas!$A$2:$A$6092,[1]PlanCuentas!X$2:X$6092)</f>
        <v>0</v>
      </c>
      <c r="Q953" s="13">
        <f t="shared" si="48"/>
        <v>0</v>
      </c>
    </row>
    <row r="954" spans="1:17" x14ac:dyDescent="0.2">
      <c r="A954" s="10">
        <v>23</v>
      </c>
      <c r="B954" s="11" t="str">
        <f>[1]Aseguradoras!B24</f>
        <v>Alfa S.A de Seguros y Reaseguros</v>
      </c>
      <c r="C954" s="12">
        <f>LOOKUP(413010100,[1]PlanCuentas!$A$2:$A$6092,[1]PlanCuentas!Y$2:Y$6092)</f>
        <v>0</v>
      </c>
      <c r="D954" s="12">
        <f>LOOKUP(413010200,[1]PlanCuentas!$A$2:$A$6092,[1]PlanCuentas!Y$2:Y$6092)</f>
        <v>0</v>
      </c>
      <c r="E954" s="12">
        <f>LOOKUP(413010300,[1]PlanCuentas!$A$2:$A$6092,[1]PlanCuentas!Y$2:Y$6092)</f>
        <v>0</v>
      </c>
      <c r="F954" s="12">
        <f>LOOKUP(413010400,[1]PlanCuentas!$A$2:$A$6092,[1]PlanCuentas!Y$2:Y$6092)</f>
        <v>0</v>
      </c>
      <c r="G954" s="12">
        <f>LOOKUP(413010500,[1]PlanCuentas!$A$2:$A$6092,[1]PlanCuentas!Y$2:Y$6092)</f>
        <v>0</v>
      </c>
      <c r="H954" s="12">
        <f>LOOKUP(413010600,[1]PlanCuentas!$A$2:$A$6092,[1]PlanCuentas!Y$2:Y$6092)</f>
        <v>0</v>
      </c>
      <c r="I954" s="12">
        <f>LOOKUP(413010700,[1]PlanCuentas!$A$2:$A$6092,[1]PlanCuentas!Y$2:Y$6092)</f>
        <v>0</v>
      </c>
      <c r="J954" s="12">
        <f>LOOKUP(413010800,[1]PlanCuentas!$A$2:$A$6092,[1]PlanCuentas!Y$2:Y$6092)</f>
        <v>0</v>
      </c>
      <c r="K954" s="12">
        <f>LOOKUP(413010900,[1]PlanCuentas!$A$2:$A$6092,[1]PlanCuentas!Y$2:Y$6092)</f>
        <v>0</v>
      </c>
      <c r="L954" s="12">
        <f>LOOKUP(413011000,[1]PlanCuentas!$A$2:$A$6092,[1]PlanCuentas!Y$2:Y$6092)</f>
        <v>0</v>
      </c>
      <c r="M954" s="12">
        <f>LOOKUP(413011100,[1]PlanCuentas!$A$2:$A$6092,[1]PlanCuentas!Y$2:Y$6092)</f>
        <v>0</v>
      </c>
      <c r="N954" s="12">
        <f>LOOKUP(413011200,[1]PlanCuentas!$A$2:$A$6092,[1]PlanCuentas!Y$2:Y$6092)</f>
        <v>0</v>
      </c>
      <c r="O954" s="12">
        <f>LOOKUP(413011300,[1]PlanCuentas!$A$2:$A$6092,[1]PlanCuentas!Y$2:Y$6092)</f>
        <v>0</v>
      </c>
      <c r="P954" s="12">
        <f>LOOKUP(413012000,[1]PlanCuentas!$A$2:$A$6092,[1]PlanCuentas!Y$2:Y$6092)</f>
        <v>0</v>
      </c>
      <c r="Q954" s="13">
        <f t="shared" si="48"/>
        <v>0</v>
      </c>
    </row>
    <row r="955" spans="1:17" x14ac:dyDescent="0.2">
      <c r="A955" s="10">
        <v>24</v>
      </c>
      <c r="B955" s="11" t="str">
        <f>[1]Aseguradoras!B25</f>
        <v>Cenit de Seguros S.A.</v>
      </c>
      <c r="C955" s="12">
        <f>LOOKUP(413010100,[1]PlanCuentas!$A$2:$A$6092,[1]PlanCuentas!Z$2:Z$6092)</f>
        <v>0</v>
      </c>
      <c r="D955" s="12">
        <f>LOOKUP(413010200,[1]PlanCuentas!$A$2:$A$6092,[1]PlanCuentas!Z$2:Z$6092)</f>
        <v>0</v>
      </c>
      <c r="E955" s="12">
        <f>LOOKUP(413010300,[1]PlanCuentas!$A$2:$A$6092,[1]PlanCuentas!Z$2:Z$6092)</f>
        <v>0</v>
      </c>
      <c r="F955" s="12">
        <f>LOOKUP(413010400,[1]PlanCuentas!$A$2:$A$6092,[1]PlanCuentas!Z$2:Z$6092)</f>
        <v>0</v>
      </c>
      <c r="G955" s="12">
        <f>LOOKUP(413010500,[1]PlanCuentas!$A$2:$A$6092,[1]PlanCuentas!Z$2:Z$6092)</f>
        <v>0</v>
      </c>
      <c r="H955" s="12">
        <f>LOOKUP(413010600,[1]PlanCuentas!$A$2:$A$6092,[1]PlanCuentas!Z$2:Z$6092)</f>
        <v>0</v>
      </c>
      <c r="I955" s="12">
        <f>LOOKUP(413010700,[1]PlanCuentas!$A$2:$A$6092,[1]PlanCuentas!Z$2:Z$6092)</f>
        <v>0</v>
      </c>
      <c r="J955" s="12">
        <f>LOOKUP(413010800,[1]PlanCuentas!$A$2:$A$6092,[1]PlanCuentas!Z$2:Z$6092)</f>
        <v>0</v>
      </c>
      <c r="K955" s="12">
        <f>LOOKUP(413010900,[1]PlanCuentas!$A$2:$A$6092,[1]PlanCuentas!Z$2:Z$6092)</f>
        <v>0</v>
      </c>
      <c r="L955" s="12">
        <f>LOOKUP(413011000,[1]PlanCuentas!$A$2:$A$6092,[1]PlanCuentas!Z$2:Z$6092)</f>
        <v>0</v>
      </c>
      <c r="M955" s="12">
        <f>LOOKUP(413011100,[1]PlanCuentas!$A$2:$A$6092,[1]PlanCuentas!Z$2:Z$6092)</f>
        <v>0</v>
      </c>
      <c r="N955" s="12">
        <f>LOOKUP(413011200,[1]PlanCuentas!$A$2:$A$6092,[1]PlanCuentas!Z$2:Z$6092)</f>
        <v>0</v>
      </c>
      <c r="O955" s="12">
        <f>LOOKUP(413011300,[1]PlanCuentas!$A$2:$A$6092,[1]PlanCuentas!Z$2:Z$6092)</f>
        <v>0</v>
      </c>
      <c r="P955" s="12">
        <f>LOOKUP(413012000,[1]PlanCuentas!$A$2:$A$6092,[1]PlanCuentas!Z$2:Z$6092)</f>
        <v>0</v>
      </c>
      <c r="Q955" s="13">
        <f t="shared" si="48"/>
        <v>0</v>
      </c>
    </row>
    <row r="956" spans="1:17" x14ac:dyDescent="0.2">
      <c r="A956" s="10">
        <v>25</v>
      </c>
      <c r="B956" s="11" t="str">
        <f>[1]Aseguradoras!B26</f>
        <v>La Meridional Paraguaya S.A de Seguros</v>
      </c>
      <c r="C956" s="12">
        <f>LOOKUP(413010100,[1]PlanCuentas!$A$2:$A$6092,[1]PlanCuentas!AA$2:AA$6092)</f>
        <v>0</v>
      </c>
      <c r="D956" s="12">
        <f>LOOKUP(413010200,[1]PlanCuentas!$A$2:$A$6092,[1]PlanCuentas!AA$2:AA$6092)</f>
        <v>0</v>
      </c>
      <c r="E956" s="12">
        <f>LOOKUP(413010300,[1]PlanCuentas!$A$2:$A$6092,[1]PlanCuentas!AA$2:AA$6092)</f>
        <v>0</v>
      </c>
      <c r="F956" s="12">
        <f>LOOKUP(413010400,[1]PlanCuentas!$A$2:$A$6092,[1]PlanCuentas!AA$2:AA$6092)</f>
        <v>0</v>
      </c>
      <c r="G956" s="12">
        <f>LOOKUP(413010500,[1]PlanCuentas!$A$2:$A$6092,[1]PlanCuentas!AA$2:AA$6092)</f>
        <v>0</v>
      </c>
      <c r="H956" s="12">
        <f>LOOKUP(413010600,[1]PlanCuentas!$A$2:$A$6092,[1]PlanCuentas!AA$2:AA$6092)</f>
        <v>0</v>
      </c>
      <c r="I956" s="12">
        <f>LOOKUP(413010700,[1]PlanCuentas!$A$2:$A$6092,[1]PlanCuentas!AA$2:AA$6092)</f>
        <v>0</v>
      </c>
      <c r="J956" s="12">
        <f>LOOKUP(413010800,[1]PlanCuentas!$A$2:$A$6092,[1]PlanCuentas!AA$2:AA$6092)</f>
        <v>0</v>
      </c>
      <c r="K956" s="12">
        <f>LOOKUP(413010900,[1]PlanCuentas!$A$2:$A$6092,[1]PlanCuentas!AA$2:AA$6092)</f>
        <v>0</v>
      </c>
      <c r="L956" s="12">
        <f>LOOKUP(413011000,[1]PlanCuentas!$A$2:$A$6092,[1]PlanCuentas!AA$2:AA$6092)</f>
        <v>0</v>
      </c>
      <c r="M956" s="12">
        <f>LOOKUP(413011100,[1]PlanCuentas!$A$2:$A$6092,[1]PlanCuentas!AA$2:AA$6092)</f>
        <v>0</v>
      </c>
      <c r="N956" s="12">
        <f>LOOKUP(413011200,[1]PlanCuentas!$A$2:$A$6092,[1]PlanCuentas!AA$2:AA$6092)</f>
        <v>0</v>
      </c>
      <c r="O956" s="12">
        <f>LOOKUP(413011300,[1]PlanCuentas!$A$2:$A$6092,[1]PlanCuentas!AA$2:AA$6092)</f>
        <v>0</v>
      </c>
      <c r="P956" s="12">
        <f>LOOKUP(413012000,[1]PlanCuentas!$A$2:$A$6092,[1]PlanCuentas!AA$2:AA$6092)</f>
        <v>0</v>
      </c>
      <c r="Q956" s="13">
        <f t="shared" si="48"/>
        <v>0</v>
      </c>
    </row>
    <row r="957" spans="1:17" x14ac:dyDescent="0.2">
      <c r="A957" s="10">
        <v>26</v>
      </c>
      <c r="B957" s="11" t="str">
        <f>[1]Aseguradoras!B27</f>
        <v>Aseguradora Del Este S.A de Seguros y Reaseguros</v>
      </c>
      <c r="C957" s="12">
        <f>LOOKUP(413010100,[1]PlanCuentas!$A$2:$A$6092,[1]PlanCuentas!AB$2:AB$6092)</f>
        <v>0</v>
      </c>
      <c r="D957" s="12">
        <f>LOOKUP(413010200,[1]PlanCuentas!$A$2:$A$6092,[1]PlanCuentas!AB$2:AB$6092)</f>
        <v>0</v>
      </c>
      <c r="E957" s="12">
        <f>LOOKUP(413010300,[1]PlanCuentas!$A$2:$A$6092,[1]PlanCuentas!AB$2:AB$6092)</f>
        <v>0</v>
      </c>
      <c r="F957" s="12">
        <f>LOOKUP(413010400,[1]PlanCuentas!$A$2:$A$6092,[1]PlanCuentas!AB$2:AB$6092)</f>
        <v>0</v>
      </c>
      <c r="G957" s="12">
        <f>LOOKUP(413010500,[1]PlanCuentas!$A$2:$A$6092,[1]PlanCuentas!AB$2:AB$6092)</f>
        <v>0</v>
      </c>
      <c r="H957" s="12">
        <f>LOOKUP(413010600,[1]PlanCuentas!$A$2:$A$6092,[1]PlanCuentas!AB$2:AB$6092)</f>
        <v>0</v>
      </c>
      <c r="I957" s="12">
        <f>LOOKUP(413010700,[1]PlanCuentas!$A$2:$A$6092,[1]PlanCuentas!AB$2:AB$6092)</f>
        <v>0</v>
      </c>
      <c r="J957" s="12">
        <f>LOOKUP(413010800,[1]PlanCuentas!$A$2:$A$6092,[1]PlanCuentas!AB$2:AB$6092)</f>
        <v>0</v>
      </c>
      <c r="K957" s="12">
        <f>LOOKUP(413010900,[1]PlanCuentas!$A$2:$A$6092,[1]PlanCuentas!AB$2:AB$6092)</f>
        <v>0</v>
      </c>
      <c r="L957" s="12">
        <f>LOOKUP(413011000,[1]PlanCuentas!$A$2:$A$6092,[1]PlanCuentas!AB$2:AB$6092)</f>
        <v>0</v>
      </c>
      <c r="M957" s="12">
        <f>LOOKUP(413011100,[1]PlanCuentas!$A$2:$A$6092,[1]PlanCuentas!AB$2:AB$6092)</f>
        <v>0</v>
      </c>
      <c r="N957" s="12">
        <f>LOOKUP(413011200,[1]PlanCuentas!$A$2:$A$6092,[1]PlanCuentas!AB$2:AB$6092)</f>
        <v>0</v>
      </c>
      <c r="O957" s="12">
        <f>LOOKUP(413011300,[1]PlanCuentas!$A$2:$A$6092,[1]PlanCuentas!AB$2:AB$6092)</f>
        <v>0</v>
      </c>
      <c r="P957" s="12">
        <f>LOOKUP(413012000,[1]PlanCuentas!$A$2:$A$6092,[1]PlanCuentas!AB$2:AB$6092)</f>
        <v>0</v>
      </c>
      <c r="Q957" s="13">
        <f t="shared" si="48"/>
        <v>0</v>
      </c>
    </row>
    <row r="958" spans="1:17" x14ac:dyDescent="0.2">
      <c r="A958" s="10">
        <v>27</v>
      </c>
      <c r="B958" s="11" t="str">
        <f>[1]Aseguradoras!B28</f>
        <v>Imperio S.A de Seguros y Reaseguros</v>
      </c>
      <c r="C958" s="12">
        <f>LOOKUP(413010100,[1]PlanCuentas!$A$2:$A$6092,[1]PlanCuentas!AC$2:AC$6092)</f>
        <v>0</v>
      </c>
      <c r="D958" s="12">
        <f>LOOKUP(413010200,[1]PlanCuentas!$A$2:$A$6092,[1]PlanCuentas!AC$2:AC$6092)</f>
        <v>0</v>
      </c>
      <c r="E958" s="12">
        <f>LOOKUP(413010300,[1]PlanCuentas!$A$2:$A$6092,[1]PlanCuentas!AC$2:AC$6092)</f>
        <v>0</v>
      </c>
      <c r="F958" s="12">
        <f>LOOKUP(413010400,[1]PlanCuentas!$A$2:$A$6092,[1]PlanCuentas!AC$2:AC$6092)</f>
        <v>0</v>
      </c>
      <c r="G958" s="12">
        <f>LOOKUP(413010500,[1]PlanCuentas!$A$2:$A$6092,[1]PlanCuentas!AC$2:AC$6092)</f>
        <v>0</v>
      </c>
      <c r="H958" s="12">
        <f>LOOKUP(413010600,[1]PlanCuentas!$A$2:$A$6092,[1]PlanCuentas!AC$2:AC$6092)</f>
        <v>0</v>
      </c>
      <c r="I958" s="12">
        <f>LOOKUP(413010700,[1]PlanCuentas!$A$2:$A$6092,[1]PlanCuentas!AC$2:AC$6092)</f>
        <v>0</v>
      </c>
      <c r="J958" s="12">
        <f>LOOKUP(413010800,[1]PlanCuentas!$A$2:$A$6092,[1]PlanCuentas!AC$2:AC$6092)</f>
        <v>0</v>
      </c>
      <c r="K958" s="12">
        <f>LOOKUP(413010900,[1]PlanCuentas!$A$2:$A$6092,[1]PlanCuentas!AC$2:AC$6092)</f>
        <v>0</v>
      </c>
      <c r="L958" s="12">
        <f>LOOKUP(413011000,[1]PlanCuentas!$A$2:$A$6092,[1]PlanCuentas!AC$2:AC$6092)</f>
        <v>0</v>
      </c>
      <c r="M958" s="12">
        <f>LOOKUP(413011100,[1]PlanCuentas!$A$2:$A$6092,[1]PlanCuentas!AC$2:AC$6092)</f>
        <v>0</v>
      </c>
      <c r="N958" s="12">
        <f>LOOKUP(413011200,[1]PlanCuentas!$A$2:$A$6092,[1]PlanCuentas!AC$2:AC$6092)</f>
        <v>0</v>
      </c>
      <c r="O958" s="12">
        <f>LOOKUP(413011300,[1]PlanCuentas!$A$2:$A$6092,[1]PlanCuentas!AC$2:AC$6092)</f>
        <v>0</v>
      </c>
      <c r="P958" s="12">
        <f>LOOKUP(413012000,[1]PlanCuentas!$A$2:$A$6092,[1]PlanCuentas!AC$2:AC$6092)</f>
        <v>0</v>
      </c>
      <c r="Q958" s="13">
        <f t="shared" si="48"/>
        <v>0</v>
      </c>
    </row>
    <row r="959" spans="1:17" x14ac:dyDescent="0.2">
      <c r="A959" s="10">
        <v>28</v>
      </c>
      <c r="B959" s="11" t="str">
        <f>[1]Aseguradoras!B29</f>
        <v>Regional S.A de Seguros y Reaseguros</v>
      </c>
      <c r="C959" s="12">
        <f>LOOKUP(413010100,[1]PlanCuentas!$A$2:$A$6092,[1]PlanCuentas!AD$2:AD$6092)</f>
        <v>0</v>
      </c>
      <c r="D959" s="12">
        <f>LOOKUP(413010200,[1]PlanCuentas!$A$2:$A$6092,[1]PlanCuentas!AD$2:AD$6092)</f>
        <v>0</v>
      </c>
      <c r="E959" s="12">
        <f>LOOKUP(413010300,[1]PlanCuentas!$A$2:$A$6092,[1]PlanCuentas!AD$2:AD$6092)</f>
        <v>0</v>
      </c>
      <c r="F959" s="12">
        <f>LOOKUP(413010400,[1]PlanCuentas!$A$2:$A$6092,[1]PlanCuentas!AD$2:AD$6092)</f>
        <v>0</v>
      </c>
      <c r="G959" s="12">
        <f>LOOKUP(413010500,[1]PlanCuentas!$A$2:$A$6092,[1]PlanCuentas!AD$2:AD$6092)</f>
        <v>0</v>
      </c>
      <c r="H959" s="12">
        <f>LOOKUP(413010600,[1]PlanCuentas!$A$2:$A$6092,[1]PlanCuentas!AD$2:AD$6092)</f>
        <v>0</v>
      </c>
      <c r="I959" s="12">
        <f>LOOKUP(413010700,[1]PlanCuentas!$A$2:$A$6092,[1]PlanCuentas!AD$2:AD$6092)</f>
        <v>0</v>
      </c>
      <c r="J959" s="12">
        <f>LOOKUP(413010800,[1]PlanCuentas!$A$2:$A$6092,[1]PlanCuentas!AD$2:AD$6092)</f>
        <v>0</v>
      </c>
      <c r="K959" s="12">
        <f>LOOKUP(413010900,[1]PlanCuentas!$A$2:$A$6092,[1]PlanCuentas!AD$2:AD$6092)</f>
        <v>0</v>
      </c>
      <c r="L959" s="12">
        <f>LOOKUP(413011000,[1]PlanCuentas!$A$2:$A$6092,[1]PlanCuentas!AD$2:AD$6092)</f>
        <v>0</v>
      </c>
      <c r="M959" s="12">
        <f>LOOKUP(413011100,[1]PlanCuentas!$A$2:$A$6092,[1]PlanCuentas!AD$2:AD$6092)</f>
        <v>0</v>
      </c>
      <c r="N959" s="12">
        <f>LOOKUP(413011200,[1]PlanCuentas!$A$2:$A$6092,[1]PlanCuentas!AD$2:AD$6092)</f>
        <v>0</v>
      </c>
      <c r="O959" s="12">
        <f>LOOKUP(413011300,[1]PlanCuentas!$A$2:$A$6092,[1]PlanCuentas!AD$2:AD$6092)</f>
        <v>0</v>
      </c>
      <c r="P959" s="12">
        <f>LOOKUP(413012000,[1]PlanCuentas!$A$2:$A$6092,[1]PlanCuentas!AD$2:AD$6092)</f>
        <v>0</v>
      </c>
      <c r="Q959" s="13">
        <f t="shared" si="48"/>
        <v>0</v>
      </c>
    </row>
    <row r="960" spans="1:17" s="37" customFormat="1" x14ac:dyDescent="0.2">
      <c r="A960" s="10">
        <v>29</v>
      </c>
      <c r="B960" s="11" t="str">
        <f>[1]Aseguradoras!B30</f>
        <v>Mapfre Paraguay Compañía de Seguros S.A.</v>
      </c>
      <c r="C960" s="12">
        <f>LOOKUP(413010100,[1]PlanCuentas!$A$2:$A$6092,[1]PlanCuentas!AE$2:AE$6092)</f>
        <v>0</v>
      </c>
      <c r="D960" s="12">
        <f>LOOKUP(413010200,[1]PlanCuentas!$A$2:$A$6092,[1]PlanCuentas!AE$2:AE$6092)</f>
        <v>0</v>
      </c>
      <c r="E960" s="12">
        <f>LOOKUP(413010300,[1]PlanCuentas!$A$2:$A$6092,[1]PlanCuentas!AE$2:AE$6092)</f>
        <v>0</v>
      </c>
      <c r="F960" s="12">
        <f>LOOKUP(413010400,[1]PlanCuentas!$A$2:$A$6092,[1]PlanCuentas!AE$2:AE$6092)</f>
        <v>0</v>
      </c>
      <c r="G960" s="12">
        <f>LOOKUP(413010500,[1]PlanCuentas!$A$2:$A$6092,[1]PlanCuentas!AE$2:AE$6092)</f>
        <v>0</v>
      </c>
      <c r="H960" s="12">
        <f>LOOKUP(413010600,[1]PlanCuentas!$A$2:$A$6092,[1]PlanCuentas!AE$2:AE$6092)</f>
        <v>0</v>
      </c>
      <c r="I960" s="12">
        <f>LOOKUP(413010700,[1]PlanCuentas!$A$2:$A$6092,[1]PlanCuentas!AE$2:AE$6092)</f>
        <v>0</v>
      </c>
      <c r="J960" s="12">
        <f>LOOKUP(413010800,[1]PlanCuentas!$A$2:$A$6092,[1]PlanCuentas!AE$2:AE$6092)</f>
        <v>0</v>
      </c>
      <c r="K960" s="12">
        <f>LOOKUP(413010900,[1]PlanCuentas!$A$2:$A$6092,[1]PlanCuentas!AE$2:AE$6092)</f>
        <v>0</v>
      </c>
      <c r="L960" s="12">
        <f>LOOKUP(413011000,[1]PlanCuentas!$A$2:$A$6092,[1]PlanCuentas!AE$2:AE$6092)</f>
        <v>0</v>
      </c>
      <c r="M960" s="12">
        <f>LOOKUP(413011100,[1]PlanCuentas!$A$2:$A$6092,[1]PlanCuentas!AE$2:AE$6092)</f>
        <v>0</v>
      </c>
      <c r="N960" s="12">
        <f>LOOKUP(413011200,[1]PlanCuentas!$A$2:$A$6092,[1]PlanCuentas!AE$2:AE$6092)</f>
        <v>0</v>
      </c>
      <c r="O960" s="12">
        <f>LOOKUP(413011300,[1]PlanCuentas!$A$2:$A$6092,[1]PlanCuentas!AE$2:AE$6092)</f>
        <v>0</v>
      </c>
      <c r="P960" s="12">
        <f>LOOKUP(413012000,[1]PlanCuentas!$A$2:$A$6092,[1]PlanCuentas!AE$2:AE$6092)</f>
        <v>0</v>
      </c>
      <c r="Q960" s="13">
        <f t="shared" si="48"/>
        <v>0</v>
      </c>
    </row>
    <row r="961" spans="1:31" x14ac:dyDescent="0.2">
      <c r="A961" s="10">
        <v>30</v>
      </c>
      <c r="B961" s="11" t="str">
        <f>[1]Aseguradoras!B31</f>
        <v>Aseguradora Tajy Propiedad Cooperativa S.A. de Seguros</v>
      </c>
      <c r="C961" s="12">
        <f>LOOKUP(413010100,[1]PlanCuentas!$A$2:$A$6092,[1]PlanCuentas!AF$2:AF$6092)</f>
        <v>0</v>
      </c>
      <c r="D961" s="12">
        <f>LOOKUP(413010200,[1]PlanCuentas!$A$2:$A$6092,[1]PlanCuentas!AF$2:AF$6092)</f>
        <v>0</v>
      </c>
      <c r="E961" s="12">
        <f>LOOKUP(413010300,[1]PlanCuentas!$A$2:$A$6092,[1]PlanCuentas!AF$2:AF$6092)</f>
        <v>0</v>
      </c>
      <c r="F961" s="12">
        <f>LOOKUP(413010400,[1]PlanCuentas!$A$2:$A$6092,[1]PlanCuentas!AF$2:AF$6092)</f>
        <v>0</v>
      </c>
      <c r="G961" s="12">
        <f>LOOKUP(413010500,[1]PlanCuentas!$A$2:$A$6092,[1]PlanCuentas!AF$2:AF$6092)</f>
        <v>0</v>
      </c>
      <c r="H961" s="12">
        <f>LOOKUP(413010600,[1]PlanCuentas!$A$2:$A$6092,[1]PlanCuentas!AF$2:AF$6092)</f>
        <v>0</v>
      </c>
      <c r="I961" s="12">
        <f>LOOKUP(413010700,[1]PlanCuentas!$A$2:$A$6092,[1]PlanCuentas!AF$2:AF$6092)</f>
        <v>0</v>
      </c>
      <c r="J961" s="12">
        <f>LOOKUP(413010800,[1]PlanCuentas!$A$2:$A$6092,[1]PlanCuentas!AF$2:AF$6092)</f>
        <v>0</v>
      </c>
      <c r="K961" s="12">
        <f>LOOKUP(413010900,[1]PlanCuentas!$A$2:$A$6092,[1]PlanCuentas!AF$2:AF$6092)</f>
        <v>0</v>
      </c>
      <c r="L961" s="12">
        <f>LOOKUP(413011000,[1]PlanCuentas!$A$2:$A$6092,[1]PlanCuentas!AF$2:AF$6092)</f>
        <v>0</v>
      </c>
      <c r="M961" s="12">
        <f>LOOKUP(413011100,[1]PlanCuentas!$A$2:$A$6092,[1]PlanCuentas!AF$2:AF$6092)</f>
        <v>0</v>
      </c>
      <c r="N961" s="12">
        <f>LOOKUP(413011200,[1]PlanCuentas!$A$2:$A$6092,[1]PlanCuentas!AF$2:AF$6092)</f>
        <v>0</v>
      </c>
      <c r="O961" s="12">
        <f>LOOKUP(413011300,[1]PlanCuentas!$A$2:$A$6092,[1]PlanCuentas!AF$2:AF$6092)</f>
        <v>0</v>
      </c>
      <c r="P961" s="12">
        <f>LOOKUP(413012000,[1]PlanCuentas!$A$2:$A$6092,[1]PlanCuentas!AF$2:AF$6092)</f>
        <v>0</v>
      </c>
      <c r="Q961" s="13">
        <f t="shared" si="48"/>
        <v>0</v>
      </c>
    </row>
    <row r="962" spans="1:31" x14ac:dyDescent="0.2">
      <c r="A962" s="10">
        <v>31</v>
      </c>
      <c r="B962" s="11" t="str">
        <f>[1]Aseguradoras!B32</f>
        <v>Aseguradora del Sur S.A. Seguros Generales - ASUR</v>
      </c>
      <c r="C962" s="12">
        <f>LOOKUP(413010100,[1]PlanCuentas!$A$2:$A$6092,[1]PlanCuentas!AG$2:AG$6092)</f>
        <v>0</v>
      </c>
      <c r="D962" s="12">
        <f>LOOKUP(413010200,[1]PlanCuentas!$A$2:$A$6092,[1]PlanCuentas!AG$2:AG$6092)</f>
        <v>0</v>
      </c>
      <c r="E962" s="12">
        <f>LOOKUP(413010300,[1]PlanCuentas!$A$2:$A$6092,[1]PlanCuentas!AG$2:AG$6092)</f>
        <v>0</v>
      </c>
      <c r="F962" s="12">
        <f>LOOKUP(413010400,[1]PlanCuentas!$A$2:$A$6092,[1]PlanCuentas!AG$2:AG$6092)</f>
        <v>0</v>
      </c>
      <c r="G962" s="12">
        <f>LOOKUP(413010500,[1]PlanCuentas!$A$2:$A$6092,[1]PlanCuentas!AG$2:AG$6092)</f>
        <v>0</v>
      </c>
      <c r="H962" s="12">
        <f>LOOKUP(413010600,[1]PlanCuentas!$A$2:$A$6092,[1]PlanCuentas!AG$2:AG$6092)</f>
        <v>0</v>
      </c>
      <c r="I962" s="12">
        <f>LOOKUP(413010700,[1]PlanCuentas!$A$2:$A$6092,[1]PlanCuentas!AG$2:AG$6092)</f>
        <v>0</v>
      </c>
      <c r="J962" s="12">
        <f>LOOKUP(413010800,[1]PlanCuentas!$A$2:$A$6092,[1]PlanCuentas!AG$2:AG$6092)</f>
        <v>0</v>
      </c>
      <c r="K962" s="12">
        <f>LOOKUP(413010900,[1]PlanCuentas!$A$2:$A$6092,[1]PlanCuentas!AG$2:AG$6092)</f>
        <v>0</v>
      </c>
      <c r="L962" s="12">
        <f>LOOKUP(413011000,[1]PlanCuentas!$A$2:$A$6092,[1]PlanCuentas!AG$2:AG$6092)</f>
        <v>0</v>
      </c>
      <c r="M962" s="12">
        <f>LOOKUP(413011100,[1]PlanCuentas!$A$2:$A$6092,[1]PlanCuentas!AG$2:AG$6092)</f>
        <v>0</v>
      </c>
      <c r="N962" s="12">
        <f>LOOKUP(413011200,[1]PlanCuentas!$A$2:$A$6092,[1]PlanCuentas!AG$2:AG$6092)</f>
        <v>0</v>
      </c>
      <c r="O962" s="12">
        <f>LOOKUP(413011300,[1]PlanCuentas!$A$2:$A$6092,[1]PlanCuentas!AG$2:AG$6092)</f>
        <v>0</v>
      </c>
      <c r="P962" s="12">
        <f>LOOKUP(413012000,[1]PlanCuentas!$A$2:$A$6092,[1]PlanCuentas!AG$2:AG$6092)</f>
        <v>0</v>
      </c>
      <c r="Q962" s="13">
        <f t="shared" si="48"/>
        <v>0</v>
      </c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</row>
    <row r="963" spans="1:31" x14ac:dyDescent="0.2">
      <c r="A963" s="10">
        <v>32</v>
      </c>
      <c r="B963" s="11" t="str">
        <f>[1]Aseguradoras!B33</f>
        <v>Panal Compañía De Seguros Generales S.A.</v>
      </c>
      <c r="C963" s="12">
        <f>LOOKUP(413010100,[1]PlanCuentas!$A$2:$A$6092,[1]PlanCuentas!AH$2:AH$6092)</f>
        <v>0</v>
      </c>
      <c r="D963" s="12">
        <f>LOOKUP(413010200,[1]PlanCuentas!$A$2:$A$6092,[1]PlanCuentas!AH$2:AH$6092)</f>
        <v>0</v>
      </c>
      <c r="E963" s="12">
        <f>LOOKUP(413010300,[1]PlanCuentas!$A$2:$A$6092,[1]PlanCuentas!AH$2:AH$6092)</f>
        <v>0</v>
      </c>
      <c r="F963" s="12">
        <f>LOOKUP(413010400,[1]PlanCuentas!$A$2:$A$6092,[1]PlanCuentas!AH$2:AH$6092)</f>
        <v>0</v>
      </c>
      <c r="G963" s="12">
        <f>LOOKUP(413010500,[1]PlanCuentas!$A$2:$A$6092,[1]PlanCuentas!AH$2:AH$6092)</f>
        <v>0</v>
      </c>
      <c r="H963" s="12">
        <f>LOOKUP(413010600,[1]PlanCuentas!$A$2:$A$6092,[1]PlanCuentas!AH$2:AH$6092)</f>
        <v>0</v>
      </c>
      <c r="I963" s="12">
        <f>LOOKUP(413010700,[1]PlanCuentas!$A$2:$A$6092,[1]PlanCuentas!AH$2:AH$6092)</f>
        <v>0</v>
      </c>
      <c r="J963" s="12">
        <f>LOOKUP(413010800,[1]PlanCuentas!$A$2:$A$6092,[1]PlanCuentas!AH$2:AH$6092)</f>
        <v>0</v>
      </c>
      <c r="K963" s="12">
        <f>LOOKUP(413010900,[1]PlanCuentas!$A$2:$A$6092,[1]PlanCuentas!AH$2:AH$6092)</f>
        <v>0</v>
      </c>
      <c r="L963" s="12">
        <f>LOOKUP(413011000,[1]PlanCuentas!$A$2:$A$6092,[1]PlanCuentas!AH$2:AH$6092)</f>
        <v>0</v>
      </c>
      <c r="M963" s="12">
        <f>LOOKUP(413011100,[1]PlanCuentas!$A$2:$A$6092,[1]PlanCuentas!AH$2:AH$6092)</f>
        <v>0</v>
      </c>
      <c r="N963" s="12">
        <f>LOOKUP(413011200,[1]PlanCuentas!$A$2:$A$6092,[1]PlanCuentas!AH$2:AH$6092)</f>
        <v>0</v>
      </c>
      <c r="O963" s="12">
        <f>LOOKUP(413011300,[1]PlanCuentas!$A$2:$A$6092,[1]PlanCuentas!AH$2:AH$6092)</f>
        <v>0</v>
      </c>
      <c r="P963" s="12">
        <f>LOOKUP(413012000,[1]PlanCuentas!$A$2:$A$6092,[1]PlanCuentas!AH$2:AH$6092)</f>
        <v>0</v>
      </c>
      <c r="Q963" s="13">
        <f t="shared" si="48"/>
        <v>0</v>
      </c>
    </row>
    <row r="964" spans="1:31" x14ac:dyDescent="0.2">
      <c r="A964" s="14">
        <v>33</v>
      </c>
      <c r="B964" s="19" t="str">
        <f>[1]Aseguradoras!B34</f>
        <v>Sancor Seguros del Paraguay S.A.</v>
      </c>
      <c r="C964" s="12">
        <f>LOOKUP(413010100,[1]PlanCuentas!$A$2:$A$6092,[1]PlanCuentas!AI$2:AI$6092)</f>
        <v>0</v>
      </c>
      <c r="D964" s="12">
        <f>LOOKUP(413010200,[1]PlanCuentas!$A$2:$A$6092,[1]PlanCuentas!AI$2:AI$6092)</f>
        <v>0</v>
      </c>
      <c r="E964" s="12">
        <f>LOOKUP(413010300,[1]PlanCuentas!$A$2:$A$6092,[1]PlanCuentas!AI$2:AI$6092)</f>
        <v>0</v>
      </c>
      <c r="F964" s="12">
        <f>LOOKUP(413010400,[1]PlanCuentas!$A$2:$A$6092,[1]PlanCuentas!AI$2:AI$6092)</f>
        <v>0</v>
      </c>
      <c r="G964" s="12">
        <f>LOOKUP(413010500,[1]PlanCuentas!$A$2:$A$6092,[1]PlanCuentas!AI$2:AI$6092)</f>
        <v>0</v>
      </c>
      <c r="H964" s="12">
        <f>LOOKUP(413010600,[1]PlanCuentas!$A$2:$A$6092,[1]PlanCuentas!AI$2:AI$6092)</f>
        <v>0</v>
      </c>
      <c r="I964" s="12">
        <f>LOOKUP(413010700,[1]PlanCuentas!$A$2:$A$6092,[1]PlanCuentas!AI$2:AI$6092)</f>
        <v>0</v>
      </c>
      <c r="J964" s="12">
        <f>LOOKUP(413010800,[1]PlanCuentas!$A$2:$A$6092,[1]PlanCuentas!AI$2:AI$6092)</f>
        <v>0</v>
      </c>
      <c r="K964" s="12">
        <f>LOOKUP(413010900,[1]PlanCuentas!$A$2:$A$6092,[1]PlanCuentas!AI$2:AI$6092)</f>
        <v>0</v>
      </c>
      <c r="L964" s="12">
        <f>LOOKUP(413011000,[1]PlanCuentas!$A$2:$A$6092,[1]PlanCuentas!AI$2:AI$6092)</f>
        <v>0</v>
      </c>
      <c r="M964" s="12">
        <f>LOOKUP(413011100,[1]PlanCuentas!$A$2:$A$6092,[1]PlanCuentas!AI$2:AI$6092)</f>
        <v>0</v>
      </c>
      <c r="N964" s="12">
        <f>LOOKUP(413011200,[1]PlanCuentas!$A$2:$A$6092,[1]PlanCuentas!AI$2:AI$6092)</f>
        <v>0</v>
      </c>
      <c r="O964" s="12">
        <f>LOOKUP(413011300,[1]PlanCuentas!$A$2:$A$6092,[1]PlanCuentas!AI$2:AI$6092)</f>
        <v>0</v>
      </c>
      <c r="P964" s="12">
        <f>LOOKUP(413012000,[1]PlanCuentas!$A$2:$A$6092,[1]PlanCuentas!AI$2:AI$6092)</f>
        <v>0</v>
      </c>
      <c r="Q964" s="13">
        <f>SUM(C964:P964)</f>
        <v>0</v>
      </c>
    </row>
    <row r="965" spans="1:31" x14ac:dyDescent="0.2">
      <c r="A965" s="14"/>
      <c r="B965" s="15" t="s">
        <v>18</v>
      </c>
      <c r="C965" s="17">
        <f t="shared" ref="C965:Q965" si="49">SUBTOTAL(109,C932:C964)</f>
        <v>0</v>
      </c>
      <c r="D965" s="17">
        <f t="shared" si="49"/>
        <v>0</v>
      </c>
      <c r="E965" s="17">
        <f t="shared" si="49"/>
        <v>0</v>
      </c>
      <c r="F965" s="17">
        <f t="shared" si="49"/>
        <v>0</v>
      </c>
      <c r="G965" s="17">
        <f t="shared" si="49"/>
        <v>0</v>
      </c>
      <c r="H965" s="17">
        <f t="shared" si="49"/>
        <v>0</v>
      </c>
      <c r="I965" s="17">
        <f t="shared" si="49"/>
        <v>0</v>
      </c>
      <c r="J965" s="17">
        <f t="shared" si="49"/>
        <v>0</v>
      </c>
      <c r="K965" s="17">
        <f t="shared" si="49"/>
        <v>0</v>
      </c>
      <c r="L965" s="17">
        <f t="shared" si="49"/>
        <v>0</v>
      </c>
      <c r="M965" s="17">
        <f t="shared" si="49"/>
        <v>0</v>
      </c>
      <c r="N965" s="17">
        <f t="shared" si="49"/>
        <v>0</v>
      </c>
      <c r="O965" s="17">
        <f t="shared" si="49"/>
        <v>0</v>
      </c>
      <c r="P965" s="17">
        <f t="shared" si="49"/>
        <v>0</v>
      </c>
      <c r="Q965" s="17">
        <f t="shared" si="49"/>
        <v>0</v>
      </c>
    </row>
    <row r="966" spans="1:31" x14ac:dyDescent="0.2"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</row>
    <row r="967" spans="1:31" ht="28.35" customHeight="1" x14ac:dyDescent="0.2">
      <c r="A967" s="1" t="s">
        <v>57</v>
      </c>
      <c r="B967" s="47" t="s">
        <v>58</v>
      </c>
      <c r="C967" s="47"/>
      <c r="D967" s="2"/>
      <c r="E967" s="38"/>
      <c r="F967" s="4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</row>
    <row r="968" spans="1:31" ht="24" x14ac:dyDescent="0.2">
      <c r="A968" s="7" t="s">
        <v>2</v>
      </c>
      <c r="B968" s="8" t="s">
        <v>3</v>
      </c>
      <c r="C968" s="9" t="s">
        <v>4</v>
      </c>
      <c r="D968" s="9" t="s">
        <v>5</v>
      </c>
      <c r="E968" s="9" t="s">
        <v>6</v>
      </c>
      <c r="F968" s="36" t="s">
        <v>7</v>
      </c>
      <c r="G968" s="9" t="s">
        <v>8</v>
      </c>
      <c r="H968" s="9" t="s">
        <v>9</v>
      </c>
      <c r="I968" s="9" t="s">
        <v>10</v>
      </c>
      <c r="J968" s="9" t="s">
        <v>11</v>
      </c>
      <c r="K968" s="9" t="s">
        <v>12</v>
      </c>
      <c r="L968" s="9" t="s">
        <v>13</v>
      </c>
      <c r="M968" s="9" t="s">
        <v>14</v>
      </c>
      <c r="N968" s="9" t="s">
        <v>15</v>
      </c>
      <c r="O968" s="9" t="s">
        <v>16</v>
      </c>
      <c r="P968" s="8" t="s">
        <v>17</v>
      </c>
      <c r="Q968" s="8" t="s">
        <v>18</v>
      </c>
    </row>
    <row r="969" spans="1:31" x14ac:dyDescent="0.2">
      <c r="A969" s="10">
        <v>1</v>
      </c>
      <c r="B969" s="11" t="str">
        <f>[1]Aseguradoras!B2</f>
        <v>El Comercio Paraguayo S.A. de Seguros</v>
      </c>
      <c r="C969" s="12">
        <f>LOOKUP(414010100,[1]PlanCuentas!$A$2:$A$6092,[1]PlanCuentas!C$2:C$6092)</f>
        <v>0</v>
      </c>
      <c r="D969" s="12">
        <f>LOOKUP(414010200,[1]PlanCuentas!$A$2:$A$6092,[1]PlanCuentas!C$2:C$6092)</f>
        <v>0</v>
      </c>
      <c r="E969" s="12">
        <f>LOOKUP(414010300,[1]PlanCuentas!$A$2:$A$6092,[1]PlanCuentas!C$2:C$6092)</f>
        <v>0</v>
      </c>
      <c r="F969" s="12">
        <f>LOOKUP(414010400,[1]PlanCuentas!$A$2:$A$6092,[1]PlanCuentas!C$2:C$6092)</f>
        <v>0</v>
      </c>
      <c r="G969" s="12">
        <f>LOOKUP(414010500,[1]PlanCuentas!$A$2:$A$6092,[1]PlanCuentas!C$2:C$6092)</f>
        <v>0</v>
      </c>
      <c r="H969" s="12">
        <f>LOOKUP(414010600,[1]PlanCuentas!$A$2:$A$6092,[1]PlanCuentas!C$2:C$6092)</f>
        <v>0</v>
      </c>
      <c r="I969" s="12">
        <f>LOOKUP(414010700,[1]PlanCuentas!$A$2:$A$6092,[1]PlanCuentas!C$2:C$6092)</f>
        <v>0</v>
      </c>
      <c r="J969" s="12">
        <f>LOOKUP(414010800,[1]PlanCuentas!$A$2:$A$6092,[1]PlanCuentas!C$2:C$6092)</f>
        <v>0</v>
      </c>
      <c r="K969" s="12">
        <f>LOOKUP(414010900,[1]PlanCuentas!$A$2:$A$6092,[1]PlanCuentas!C$2:C$6092)</f>
        <v>0</v>
      </c>
      <c r="L969" s="12">
        <f>LOOKUP(414011000,[1]PlanCuentas!$A$2:$A$6092,[1]PlanCuentas!C$2:C$6092)</f>
        <v>0</v>
      </c>
      <c r="M969" s="12">
        <f>LOOKUP(414011100,[1]PlanCuentas!$A$2:$A$6092,[1]PlanCuentas!C$2:C$6092)</f>
        <v>0</v>
      </c>
      <c r="N969" s="12">
        <f>LOOKUP(414011200,[1]PlanCuentas!$A$2:$A$6092,[1]PlanCuentas!C$2:C$6092)</f>
        <v>0</v>
      </c>
      <c r="O969" s="12">
        <f>LOOKUP(414011300,[1]PlanCuentas!$A$2:$A$6092,[1]PlanCuentas!C$2:C$6092)</f>
        <v>0</v>
      </c>
      <c r="P969" s="12">
        <f>LOOKUP(414012000,[1]PlanCuentas!$A$2:$A$6092,[1]PlanCuentas!C$2:C$6092)</f>
        <v>0</v>
      </c>
      <c r="Q969" s="13">
        <f t="shared" ref="Q969:Q1000" si="50">SUM(C969:P969)</f>
        <v>0</v>
      </c>
    </row>
    <row r="970" spans="1:31" x14ac:dyDescent="0.2">
      <c r="A970" s="10">
        <v>2</v>
      </c>
      <c r="B970" s="11" t="str">
        <f>[1]Aseguradoras!B3</f>
        <v>La Rural S.A de Seguros</v>
      </c>
      <c r="C970" s="12">
        <f>LOOKUP(414010100,[1]PlanCuentas!$A$2:$A$6092,[1]PlanCuentas!D$2:D$6092)</f>
        <v>0</v>
      </c>
      <c r="D970" s="12">
        <f>LOOKUP(414010200,[1]PlanCuentas!$A$2:$A$6092,[1]PlanCuentas!D$2:D$6092)</f>
        <v>0</v>
      </c>
      <c r="E970" s="12">
        <f>LOOKUP(414010300,[1]PlanCuentas!$A$2:$A$6092,[1]PlanCuentas!D$2:D$6092)</f>
        <v>0</v>
      </c>
      <c r="F970" s="12">
        <f>LOOKUP(414010400,[1]PlanCuentas!$A$2:$A$6092,[1]PlanCuentas!D$2:D$6092)</f>
        <v>0</v>
      </c>
      <c r="G970" s="12">
        <f>LOOKUP(414010500,[1]PlanCuentas!$A$2:$A$6092,[1]PlanCuentas!D$2:D$6092)</f>
        <v>0</v>
      </c>
      <c r="H970" s="12">
        <f>LOOKUP(414010600,[1]PlanCuentas!$A$2:$A$6092,[1]PlanCuentas!D$2:D$6092)</f>
        <v>0</v>
      </c>
      <c r="I970" s="12">
        <f>LOOKUP(414010700,[1]PlanCuentas!$A$2:$A$6092,[1]PlanCuentas!D$2:D$6092)</f>
        <v>0</v>
      </c>
      <c r="J970" s="12">
        <f>LOOKUP(414010800,[1]PlanCuentas!$A$2:$A$6092,[1]PlanCuentas!D$2:D$6092)</f>
        <v>0</v>
      </c>
      <c r="K970" s="12">
        <f>LOOKUP(414010900,[1]PlanCuentas!$A$2:$A$6092,[1]PlanCuentas!D$2:D$6092)</f>
        <v>0</v>
      </c>
      <c r="L970" s="12">
        <f>LOOKUP(414011000,[1]PlanCuentas!$A$2:$A$6092,[1]PlanCuentas!D$2:D$6092)</f>
        <v>0</v>
      </c>
      <c r="M970" s="12">
        <f>LOOKUP(414011100,[1]PlanCuentas!$A$2:$A$6092,[1]PlanCuentas!D$2:D$6092)</f>
        <v>0</v>
      </c>
      <c r="N970" s="12">
        <f>LOOKUP(414011200,[1]PlanCuentas!$A$2:$A$6092,[1]PlanCuentas!D$2:D$6092)</f>
        <v>0</v>
      </c>
      <c r="O970" s="12">
        <f>LOOKUP(414011300,[1]PlanCuentas!$A$2:$A$6092,[1]PlanCuentas!D$2:D$6092)</f>
        <v>0</v>
      </c>
      <c r="P970" s="12">
        <f>LOOKUP(414012000,[1]PlanCuentas!$A$2:$A$6092,[1]PlanCuentas!D$2:D$6092)</f>
        <v>0</v>
      </c>
      <c r="Q970" s="13">
        <f t="shared" si="50"/>
        <v>0</v>
      </c>
    </row>
    <row r="971" spans="1:31" x14ac:dyDescent="0.2">
      <c r="A971" s="10">
        <v>3</v>
      </c>
      <c r="B971" s="11" t="str">
        <f>[1]Aseguradoras!B4</f>
        <v>La Paraguaya S.A de Seguros</v>
      </c>
      <c r="C971" s="12">
        <f>LOOKUP(414010100,[1]PlanCuentas!$A$2:$A$6092,[1]PlanCuentas!E$2:E$6092)</f>
        <v>0</v>
      </c>
      <c r="D971" s="12">
        <f>LOOKUP(414010200,[1]PlanCuentas!$A$2:$A$6092,[1]PlanCuentas!E$2:E$6092)</f>
        <v>0</v>
      </c>
      <c r="E971" s="12">
        <f>LOOKUP(414010300,[1]PlanCuentas!$A$2:$A$6092,[1]PlanCuentas!E$2:E$6092)</f>
        <v>0</v>
      </c>
      <c r="F971" s="12">
        <f>LOOKUP(414010400,[1]PlanCuentas!$A$2:$A$6092,[1]PlanCuentas!E$2:E$6092)</f>
        <v>0</v>
      </c>
      <c r="G971" s="12">
        <f>LOOKUP(414010500,[1]PlanCuentas!$A$2:$A$6092,[1]PlanCuentas!E$2:E$6092)</f>
        <v>0</v>
      </c>
      <c r="H971" s="12">
        <f>LOOKUP(414010600,[1]PlanCuentas!$A$2:$A$6092,[1]PlanCuentas!E$2:E$6092)</f>
        <v>0</v>
      </c>
      <c r="I971" s="12">
        <f>LOOKUP(414010700,[1]PlanCuentas!$A$2:$A$6092,[1]PlanCuentas!E$2:E$6092)</f>
        <v>0</v>
      </c>
      <c r="J971" s="12">
        <f>LOOKUP(414010800,[1]PlanCuentas!$A$2:$A$6092,[1]PlanCuentas!E$2:E$6092)</f>
        <v>0</v>
      </c>
      <c r="K971" s="12">
        <f>LOOKUP(414010900,[1]PlanCuentas!$A$2:$A$6092,[1]PlanCuentas!E$2:E$6092)</f>
        <v>0</v>
      </c>
      <c r="L971" s="12">
        <f>LOOKUP(414011000,[1]PlanCuentas!$A$2:$A$6092,[1]PlanCuentas!E$2:E$6092)</f>
        <v>0</v>
      </c>
      <c r="M971" s="12">
        <f>LOOKUP(414011100,[1]PlanCuentas!$A$2:$A$6092,[1]PlanCuentas!E$2:E$6092)</f>
        <v>0</v>
      </c>
      <c r="N971" s="12">
        <f>LOOKUP(414011200,[1]PlanCuentas!$A$2:$A$6092,[1]PlanCuentas!E$2:E$6092)</f>
        <v>0</v>
      </c>
      <c r="O971" s="12">
        <f>LOOKUP(414011300,[1]PlanCuentas!$A$2:$A$6092,[1]PlanCuentas!E$2:E$6092)</f>
        <v>0</v>
      </c>
      <c r="P971" s="12">
        <f>LOOKUP(414012000,[1]PlanCuentas!$A$2:$A$6092,[1]PlanCuentas!E$2:E$6092)</f>
        <v>0</v>
      </c>
      <c r="Q971" s="13">
        <f t="shared" si="50"/>
        <v>0</v>
      </c>
    </row>
    <row r="972" spans="1:31" x14ac:dyDescent="0.2">
      <c r="A972" s="10">
        <v>4</v>
      </c>
      <c r="B972" s="11" t="str">
        <f>[1]Aseguradoras!B5</f>
        <v>Seguros Generales S. A (SEGESA)</v>
      </c>
      <c r="C972" s="12">
        <f>LOOKUP(414010100,[1]PlanCuentas!$A$2:$A$6092,[1]PlanCuentas!F$2:F$6092)</f>
        <v>0</v>
      </c>
      <c r="D972" s="12">
        <f>LOOKUP(414010200,[1]PlanCuentas!$A$2:$A$6092,[1]PlanCuentas!F$2:F$6092)</f>
        <v>0</v>
      </c>
      <c r="E972" s="12">
        <f>LOOKUP(414010300,[1]PlanCuentas!$A$2:$A$6092,[1]PlanCuentas!F$2:F$6092)</f>
        <v>0</v>
      </c>
      <c r="F972" s="12">
        <f>LOOKUP(414010400,[1]PlanCuentas!$A$2:$A$6092,[1]PlanCuentas!F$2:F$6092)</f>
        <v>0</v>
      </c>
      <c r="G972" s="12">
        <f>LOOKUP(414010500,[1]PlanCuentas!$A$2:$A$6092,[1]PlanCuentas!F$2:F$6092)</f>
        <v>0</v>
      </c>
      <c r="H972" s="12">
        <f>LOOKUP(414010600,[1]PlanCuentas!$A$2:$A$6092,[1]PlanCuentas!F$2:F$6092)</f>
        <v>0</v>
      </c>
      <c r="I972" s="12">
        <f>LOOKUP(414010700,[1]PlanCuentas!$A$2:$A$6092,[1]PlanCuentas!F$2:F$6092)</f>
        <v>0</v>
      </c>
      <c r="J972" s="12">
        <f>LOOKUP(414010800,[1]PlanCuentas!$A$2:$A$6092,[1]PlanCuentas!F$2:F$6092)</f>
        <v>0</v>
      </c>
      <c r="K972" s="12">
        <f>LOOKUP(414010900,[1]PlanCuentas!$A$2:$A$6092,[1]PlanCuentas!F$2:F$6092)</f>
        <v>0</v>
      </c>
      <c r="L972" s="12">
        <f>LOOKUP(414011000,[1]PlanCuentas!$A$2:$A$6092,[1]PlanCuentas!F$2:F$6092)</f>
        <v>0</v>
      </c>
      <c r="M972" s="12">
        <f>LOOKUP(414011100,[1]PlanCuentas!$A$2:$A$6092,[1]PlanCuentas!F$2:F$6092)</f>
        <v>0</v>
      </c>
      <c r="N972" s="12">
        <f>LOOKUP(414011200,[1]PlanCuentas!$A$2:$A$6092,[1]PlanCuentas!F$2:F$6092)</f>
        <v>0</v>
      </c>
      <c r="O972" s="12">
        <f>LOOKUP(414011300,[1]PlanCuentas!$A$2:$A$6092,[1]PlanCuentas!F$2:F$6092)</f>
        <v>0</v>
      </c>
      <c r="P972" s="12">
        <f>LOOKUP(414012000,[1]PlanCuentas!$A$2:$A$6092,[1]PlanCuentas!F$2:F$6092)</f>
        <v>0</v>
      </c>
      <c r="Q972" s="13">
        <f t="shared" si="50"/>
        <v>0</v>
      </c>
    </row>
    <row r="973" spans="1:31" x14ac:dyDescent="0.2">
      <c r="A973" s="10">
        <v>5</v>
      </c>
      <c r="B973" s="11" t="str">
        <f>[1]Aseguradoras!B6</f>
        <v>Rumbos S.A de Seguros</v>
      </c>
      <c r="C973" s="12">
        <f>LOOKUP(414010100,[1]PlanCuentas!$A$2:$A$6092,[1]PlanCuentas!G$2:G$6092)</f>
        <v>0</v>
      </c>
      <c r="D973" s="12">
        <f>LOOKUP(414010200,[1]PlanCuentas!$A$2:$A$6092,[1]PlanCuentas!G$2:G$6092)</f>
        <v>0</v>
      </c>
      <c r="E973" s="12">
        <f>LOOKUP(414010300,[1]PlanCuentas!$A$2:$A$6092,[1]PlanCuentas!G$2:G$6092)</f>
        <v>0</v>
      </c>
      <c r="F973" s="12">
        <f>LOOKUP(414010400,[1]PlanCuentas!$A$2:$A$6092,[1]PlanCuentas!G$2:G$6092)</f>
        <v>0</v>
      </c>
      <c r="G973" s="12">
        <f>LOOKUP(414010500,[1]PlanCuentas!$A$2:$A$6092,[1]PlanCuentas!G$2:G$6092)</f>
        <v>0</v>
      </c>
      <c r="H973" s="12">
        <f>LOOKUP(414010600,[1]PlanCuentas!$A$2:$A$6092,[1]PlanCuentas!G$2:G$6092)</f>
        <v>0</v>
      </c>
      <c r="I973" s="12">
        <f>LOOKUP(414010700,[1]PlanCuentas!$A$2:$A$6092,[1]PlanCuentas!G$2:G$6092)</f>
        <v>0</v>
      </c>
      <c r="J973" s="12">
        <f>LOOKUP(414010800,[1]PlanCuentas!$A$2:$A$6092,[1]PlanCuentas!G$2:G$6092)</f>
        <v>0</v>
      </c>
      <c r="K973" s="12">
        <f>LOOKUP(414010900,[1]PlanCuentas!$A$2:$A$6092,[1]PlanCuentas!G$2:G$6092)</f>
        <v>0</v>
      </c>
      <c r="L973" s="12">
        <f>LOOKUP(414011000,[1]PlanCuentas!$A$2:$A$6092,[1]PlanCuentas!G$2:G$6092)</f>
        <v>0</v>
      </c>
      <c r="M973" s="12">
        <f>LOOKUP(414011100,[1]PlanCuentas!$A$2:$A$6092,[1]PlanCuentas!G$2:G$6092)</f>
        <v>0</v>
      </c>
      <c r="N973" s="12">
        <f>LOOKUP(414011200,[1]PlanCuentas!$A$2:$A$6092,[1]PlanCuentas!G$2:G$6092)</f>
        <v>0</v>
      </c>
      <c r="O973" s="12">
        <f>LOOKUP(414011300,[1]PlanCuentas!$A$2:$A$6092,[1]PlanCuentas!G$2:G$6092)</f>
        <v>0</v>
      </c>
      <c r="P973" s="12">
        <f>LOOKUP(414012000,[1]PlanCuentas!$A$2:$A$6092,[1]PlanCuentas!G$2:G$6092)</f>
        <v>0</v>
      </c>
      <c r="Q973" s="13">
        <f t="shared" si="50"/>
        <v>0</v>
      </c>
    </row>
    <row r="974" spans="1:31" x14ac:dyDescent="0.2">
      <c r="A974" s="10">
        <v>6</v>
      </c>
      <c r="B974" s="11" t="str">
        <f>[1]Aseguradoras!B7</f>
        <v>La Consolidada S.A de Seguros</v>
      </c>
      <c r="C974" s="12">
        <f>LOOKUP(414010100,[1]PlanCuentas!$A$2:$A$6092,[1]PlanCuentas!H$2:H$6092)</f>
        <v>0</v>
      </c>
      <c r="D974" s="12">
        <f>LOOKUP(414010200,[1]PlanCuentas!$A$2:$A$6092,[1]PlanCuentas!H$2:H$6092)</f>
        <v>0</v>
      </c>
      <c r="E974" s="12">
        <f>LOOKUP(414010300,[1]PlanCuentas!$A$2:$A$6092,[1]PlanCuentas!H$2:H$6092)</f>
        <v>0</v>
      </c>
      <c r="F974" s="12">
        <f>LOOKUP(414010400,[1]PlanCuentas!$A$2:$A$6092,[1]PlanCuentas!H$2:H$6092)</f>
        <v>0</v>
      </c>
      <c r="G974" s="12">
        <f>LOOKUP(414010500,[1]PlanCuentas!$A$2:$A$6092,[1]PlanCuentas!H$2:H$6092)</f>
        <v>0</v>
      </c>
      <c r="H974" s="12">
        <f>LOOKUP(414010600,[1]PlanCuentas!$A$2:$A$6092,[1]PlanCuentas!H$2:H$6092)</f>
        <v>0</v>
      </c>
      <c r="I974" s="12">
        <f>LOOKUP(414010700,[1]PlanCuentas!$A$2:$A$6092,[1]PlanCuentas!H$2:H$6092)</f>
        <v>0</v>
      </c>
      <c r="J974" s="12">
        <f>LOOKUP(414010800,[1]PlanCuentas!$A$2:$A$6092,[1]PlanCuentas!H$2:H$6092)</f>
        <v>0</v>
      </c>
      <c r="K974" s="12">
        <f>LOOKUP(414010900,[1]PlanCuentas!$A$2:$A$6092,[1]PlanCuentas!H$2:H$6092)</f>
        <v>0</v>
      </c>
      <c r="L974" s="12">
        <f>LOOKUP(414011000,[1]PlanCuentas!$A$2:$A$6092,[1]PlanCuentas!H$2:H$6092)</f>
        <v>0</v>
      </c>
      <c r="M974" s="12">
        <f>LOOKUP(414011100,[1]PlanCuentas!$A$2:$A$6092,[1]PlanCuentas!H$2:H$6092)</f>
        <v>0</v>
      </c>
      <c r="N974" s="12">
        <f>LOOKUP(414011200,[1]PlanCuentas!$A$2:$A$6092,[1]PlanCuentas!H$2:H$6092)</f>
        <v>0</v>
      </c>
      <c r="O974" s="12">
        <f>LOOKUP(414011300,[1]PlanCuentas!$A$2:$A$6092,[1]PlanCuentas!H$2:H$6092)</f>
        <v>0</v>
      </c>
      <c r="P974" s="12">
        <f>LOOKUP(414012000,[1]PlanCuentas!$A$2:$A$6092,[1]PlanCuentas!H$2:H$6092)</f>
        <v>0</v>
      </c>
      <c r="Q974" s="13">
        <f t="shared" si="50"/>
        <v>0</v>
      </c>
    </row>
    <row r="975" spans="1:31" x14ac:dyDescent="0.2">
      <c r="A975" s="10">
        <v>7</v>
      </c>
      <c r="B975" s="11" t="str">
        <f>[1]Aseguradoras!B8</f>
        <v>El Productor S.A de Seguros y Reaseguros</v>
      </c>
      <c r="C975" s="12">
        <f>LOOKUP(414010100,[1]PlanCuentas!$A$2:$A$6092,[1]PlanCuentas!I$2:I$6092)</f>
        <v>0</v>
      </c>
      <c r="D975" s="12">
        <f>LOOKUP(414010200,[1]PlanCuentas!$A$2:$A$6092,[1]PlanCuentas!I$2:I$6092)</f>
        <v>0</v>
      </c>
      <c r="E975" s="12">
        <f>LOOKUP(414010300,[1]PlanCuentas!$A$2:$A$6092,[1]PlanCuentas!I$2:I$6092)</f>
        <v>0</v>
      </c>
      <c r="F975" s="12">
        <f>LOOKUP(414010400,[1]PlanCuentas!$A$2:$A$6092,[1]PlanCuentas!I$2:I$6092)</f>
        <v>0</v>
      </c>
      <c r="G975" s="12">
        <f>LOOKUP(414010500,[1]PlanCuentas!$A$2:$A$6092,[1]PlanCuentas!I$2:I$6092)</f>
        <v>0</v>
      </c>
      <c r="H975" s="12">
        <f>LOOKUP(414010600,[1]PlanCuentas!$A$2:$A$6092,[1]PlanCuentas!I$2:I$6092)</f>
        <v>0</v>
      </c>
      <c r="I975" s="12">
        <f>LOOKUP(414010700,[1]PlanCuentas!$A$2:$A$6092,[1]PlanCuentas!I$2:I$6092)</f>
        <v>0</v>
      </c>
      <c r="J975" s="12">
        <f>LOOKUP(414010800,[1]PlanCuentas!$A$2:$A$6092,[1]PlanCuentas!I$2:I$6092)</f>
        <v>0</v>
      </c>
      <c r="K975" s="12">
        <f>LOOKUP(414010900,[1]PlanCuentas!$A$2:$A$6092,[1]PlanCuentas!I$2:I$6092)</f>
        <v>0</v>
      </c>
      <c r="L975" s="12">
        <f>LOOKUP(414011000,[1]PlanCuentas!$A$2:$A$6092,[1]PlanCuentas!I$2:I$6092)</f>
        <v>0</v>
      </c>
      <c r="M975" s="12">
        <f>LOOKUP(414011100,[1]PlanCuentas!$A$2:$A$6092,[1]PlanCuentas!I$2:I$6092)</f>
        <v>0</v>
      </c>
      <c r="N975" s="12">
        <f>LOOKUP(414011200,[1]PlanCuentas!$A$2:$A$6092,[1]PlanCuentas!I$2:I$6092)</f>
        <v>0</v>
      </c>
      <c r="O975" s="12">
        <f>LOOKUP(414011300,[1]PlanCuentas!$A$2:$A$6092,[1]PlanCuentas!I$2:I$6092)</f>
        <v>0</v>
      </c>
      <c r="P975" s="12">
        <f>LOOKUP(414012000,[1]PlanCuentas!$A$2:$A$6092,[1]PlanCuentas!I$2:I$6092)</f>
        <v>0</v>
      </c>
      <c r="Q975" s="13">
        <f t="shared" si="50"/>
        <v>0</v>
      </c>
    </row>
    <row r="976" spans="1:31" x14ac:dyDescent="0.2">
      <c r="A976" s="10">
        <v>8</v>
      </c>
      <c r="B976" s="11" t="str">
        <f>[1]Aseguradoras!B9</f>
        <v>Atalaya S.A de Seguros Generales</v>
      </c>
      <c r="C976" s="12">
        <f>LOOKUP(414010100,[1]PlanCuentas!$A$2:$A$6092,[1]PlanCuentas!J$2:J$6092)</f>
        <v>0</v>
      </c>
      <c r="D976" s="12">
        <f>LOOKUP(414010200,[1]PlanCuentas!$A$2:$A$6092,[1]PlanCuentas!J$2:J$6092)</f>
        <v>0</v>
      </c>
      <c r="E976" s="12">
        <f>LOOKUP(414010300,[1]PlanCuentas!$A$2:$A$6092,[1]PlanCuentas!J$2:J$6092)</f>
        <v>0</v>
      </c>
      <c r="F976" s="12">
        <f>LOOKUP(414010400,[1]PlanCuentas!$A$2:$A$6092,[1]PlanCuentas!J$2:J$6092)</f>
        <v>0</v>
      </c>
      <c r="G976" s="12">
        <f>LOOKUP(414010500,[1]PlanCuentas!$A$2:$A$6092,[1]PlanCuentas!J$2:J$6092)</f>
        <v>0</v>
      </c>
      <c r="H976" s="12">
        <f>LOOKUP(414010600,[1]PlanCuentas!$A$2:$A$6092,[1]PlanCuentas!J$2:J$6092)</f>
        <v>0</v>
      </c>
      <c r="I976" s="12">
        <f>LOOKUP(414010700,[1]PlanCuentas!$A$2:$A$6092,[1]PlanCuentas!J$2:J$6092)</f>
        <v>0</v>
      </c>
      <c r="J976" s="12">
        <f>LOOKUP(414010800,[1]PlanCuentas!$A$2:$A$6092,[1]PlanCuentas!J$2:J$6092)</f>
        <v>0</v>
      </c>
      <c r="K976" s="12">
        <f>LOOKUP(414010900,[1]PlanCuentas!$A$2:$A$6092,[1]PlanCuentas!J$2:J$6092)</f>
        <v>0</v>
      </c>
      <c r="L976" s="12">
        <f>LOOKUP(414011000,[1]PlanCuentas!$A$2:$A$6092,[1]PlanCuentas!J$2:J$6092)</f>
        <v>0</v>
      </c>
      <c r="M976" s="12">
        <f>LOOKUP(414011100,[1]PlanCuentas!$A$2:$A$6092,[1]PlanCuentas!J$2:J$6092)</f>
        <v>0</v>
      </c>
      <c r="N976" s="12">
        <f>LOOKUP(414011200,[1]PlanCuentas!$A$2:$A$6092,[1]PlanCuentas!J$2:J$6092)</f>
        <v>0</v>
      </c>
      <c r="O976" s="12">
        <f>LOOKUP(414011300,[1]PlanCuentas!$A$2:$A$6092,[1]PlanCuentas!J$2:J$6092)</f>
        <v>0</v>
      </c>
      <c r="P976" s="12">
        <f>LOOKUP(414012000,[1]PlanCuentas!$A$2:$A$6092,[1]PlanCuentas!J$2:J$6092)</f>
        <v>0</v>
      </c>
      <c r="Q976" s="13">
        <f t="shared" si="50"/>
        <v>0</v>
      </c>
    </row>
    <row r="977" spans="1:17" x14ac:dyDescent="0.2">
      <c r="A977" s="10">
        <v>9</v>
      </c>
      <c r="B977" s="11" t="str">
        <f>[1]Aseguradoras!B10</f>
        <v>La Independencia de Seguros S.A.</v>
      </c>
      <c r="C977" s="12">
        <f>LOOKUP(414010100,[1]PlanCuentas!$A$2:$A$6092,[1]PlanCuentas!K$2:K$6092)</f>
        <v>0</v>
      </c>
      <c r="D977" s="12">
        <f>LOOKUP(414010200,[1]PlanCuentas!$A$2:$A$6092,[1]PlanCuentas!K$2:K$6092)</f>
        <v>0</v>
      </c>
      <c r="E977" s="12">
        <f>LOOKUP(414010300,[1]PlanCuentas!$A$2:$A$6092,[1]PlanCuentas!K$2:K$6092)</f>
        <v>0</v>
      </c>
      <c r="F977" s="12">
        <f>LOOKUP(414010400,[1]PlanCuentas!$A$2:$A$6092,[1]PlanCuentas!K$2:K$6092)</f>
        <v>0</v>
      </c>
      <c r="G977" s="12">
        <f>LOOKUP(414010500,[1]PlanCuentas!$A$2:$A$6092,[1]PlanCuentas!K$2:K$6092)</f>
        <v>0</v>
      </c>
      <c r="H977" s="12">
        <f>LOOKUP(414010600,[1]PlanCuentas!$A$2:$A$6092,[1]PlanCuentas!K$2:K$6092)</f>
        <v>0</v>
      </c>
      <c r="I977" s="12">
        <f>LOOKUP(414010700,[1]PlanCuentas!$A$2:$A$6092,[1]PlanCuentas!K$2:K$6092)</f>
        <v>0</v>
      </c>
      <c r="J977" s="12">
        <f>LOOKUP(414010800,[1]PlanCuentas!$A$2:$A$6092,[1]PlanCuentas!K$2:K$6092)</f>
        <v>0</v>
      </c>
      <c r="K977" s="12">
        <f>LOOKUP(414010900,[1]PlanCuentas!$A$2:$A$6092,[1]PlanCuentas!K$2:K$6092)</f>
        <v>0</v>
      </c>
      <c r="L977" s="12">
        <f>LOOKUP(414011000,[1]PlanCuentas!$A$2:$A$6092,[1]PlanCuentas!K$2:K$6092)</f>
        <v>0</v>
      </c>
      <c r="M977" s="12">
        <f>LOOKUP(414011100,[1]PlanCuentas!$A$2:$A$6092,[1]PlanCuentas!K$2:K$6092)</f>
        <v>0</v>
      </c>
      <c r="N977" s="12">
        <f>LOOKUP(414011200,[1]PlanCuentas!$A$2:$A$6092,[1]PlanCuentas!K$2:K$6092)</f>
        <v>0</v>
      </c>
      <c r="O977" s="12">
        <f>LOOKUP(414011300,[1]PlanCuentas!$A$2:$A$6092,[1]PlanCuentas!K$2:K$6092)</f>
        <v>0</v>
      </c>
      <c r="P977" s="12">
        <f>LOOKUP(414012000,[1]PlanCuentas!$A$2:$A$6092,[1]PlanCuentas!K$2:K$6092)</f>
        <v>0</v>
      </c>
      <c r="Q977" s="13">
        <f t="shared" si="50"/>
        <v>0</v>
      </c>
    </row>
    <row r="978" spans="1:17" x14ac:dyDescent="0.2">
      <c r="A978" s="10">
        <v>10</v>
      </c>
      <c r="B978" s="11" t="str">
        <f>[1]Aseguradoras!B11</f>
        <v>Patria S.A de Seguros y Reaseguros</v>
      </c>
      <c r="C978" s="12">
        <f>LOOKUP(414010100,[1]PlanCuentas!$A$2:$A$6092,[1]PlanCuentas!L$2:L$6092)</f>
        <v>0</v>
      </c>
      <c r="D978" s="12">
        <f>LOOKUP(414010200,[1]PlanCuentas!$A$2:$A$6092,[1]PlanCuentas!L$2:L$6092)</f>
        <v>0</v>
      </c>
      <c r="E978" s="12">
        <f>LOOKUP(414010300,[1]PlanCuentas!$A$2:$A$6092,[1]PlanCuentas!L$2:L$6092)</f>
        <v>0</v>
      </c>
      <c r="F978" s="12">
        <f>LOOKUP(414010400,[1]PlanCuentas!$A$2:$A$6092,[1]PlanCuentas!L$2:L$6092)</f>
        <v>0</v>
      </c>
      <c r="G978" s="12">
        <f>LOOKUP(414010500,[1]PlanCuentas!$A$2:$A$6092,[1]PlanCuentas!L$2:L$6092)</f>
        <v>0</v>
      </c>
      <c r="H978" s="12">
        <f>LOOKUP(414010600,[1]PlanCuentas!$A$2:$A$6092,[1]PlanCuentas!L$2:L$6092)</f>
        <v>0</v>
      </c>
      <c r="I978" s="12">
        <f>LOOKUP(414010700,[1]PlanCuentas!$A$2:$A$6092,[1]PlanCuentas!L$2:L$6092)</f>
        <v>0</v>
      </c>
      <c r="J978" s="12">
        <f>LOOKUP(414010800,[1]PlanCuentas!$A$2:$A$6092,[1]PlanCuentas!L$2:L$6092)</f>
        <v>0</v>
      </c>
      <c r="K978" s="12">
        <f>LOOKUP(414010900,[1]PlanCuentas!$A$2:$A$6092,[1]PlanCuentas!L$2:L$6092)</f>
        <v>0</v>
      </c>
      <c r="L978" s="12">
        <f>LOOKUP(414011000,[1]PlanCuentas!$A$2:$A$6092,[1]PlanCuentas!L$2:L$6092)</f>
        <v>0</v>
      </c>
      <c r="M978" s="12">
        <f>LOOKUP(414011100,[1]PlanCuentas!$A$2:$A$6092,[1]PlanCuentas!L$2:L$6092)</f>
        <v>0</v>
      </c>
      <c r="N978" s="12">
        <f>LOOKUP(414011200,[1]PlanCuentas!$A$2:$A$6092,[1]PlanCuentas!L$2:L$6092)</f>
        <v>0</v>
      </c>
      <c r="O978" s="12">
        <f>LOOKUP(414011300,[1]PlanCuentas!$A$2:$A$6092,[1]PlanCuentas!L$2:L$6092)</f>
        <v>0</v>
      </c>
      <c r="P978" s="12">
        <f>LOOKUP(414012000,[1]PlanCuentas!$A$2:$A$6092,[1]PlanCuentas!L$2:L$6092)</f>
        <v>0</v>
      </c>
      <c r="Q978" s="13">
        <f t="shared" si="50"/>
        <v>0</v>
      </c>
    </row>
    <row r="979" spans="1:17" x14ac:dyDescent="0.2">
      <c r="A979" s="10">
        <v>11</v>
      </c>
      <c r="B979" s="11" t="str">
        <f>[1]Aseguradoras!B12</f>
        <v>Garantía S.A de Seguros y Reaseguros</v>
      </c>
      <c r="C979" s="12">
        <f>LOOKUP(414010100,[1]PlanCuentas!$A$2:$A$6092,[1]PlanCuentas!M$2:M$6092)</f>
        <v>0</v>
      </c>
      <c r="D979" s="12">
        <f>LOOKUP(414010200,[1]PlanCuentas!$A$2:$A$6092,[1]PlanCuentas!M$2:M$6092)</f>
        <v>0</v>
      </c>
      <c r="E979" s="12">
        <f>LOOKUP(414010300,[1]PlanCuentas!$A$2:$A$6092,[1]PlanCuentas!M$2:M$6092)</f>
        <v>0</v>
      </c>
      <c r="F979" s="12">
        <f>LOOKUP(414010400,[1]PlanCuentas!$A$2:$A$6092,[1]PlanCuentas!M$2:M$6092)</f>
        <v>0</v>
      </c>
      <c r="G979" s="12">
        <f>LOOKUP(414010500,[1]PlanCuentas!$A$2:$A$6092,[1]PlanCuentas!M$2:M$6092)</f>
        <v>0</v>
      </c>
      <c r="H979" s="12">
        <f>LOOKUP(414010600,[1]PlanCuentas!$A$2:$A$6092,[1]PlanCuentas!M$2:M$6092)</f>
        <v>0</v>
      </c>
      <c r="I979" s="12">
        <f>LOOKUP(414010700,[1]PlanCuentas!$A$2:$A$6092,[1]PlanCuentas!M$2:M$6092)</f>
        <v>0</v>
      </c>
      <c r="J979" s="12">
        <f>LOOKUP(414010800,[1]PlanCuentas!$A$2:$A$6092,[1]PlanCuentas!M$2:M$6092)</f>
        <v>0</v>
      </c>
      <c r="K979" s="12">
        <f>LOOKUP(414010900,[1]PlanCuentas!$A$2:$A$6092,[1]PlanCuentas!M$2:M$6092)</f>
        <v>0</v>
      </c>
      <c r="L979" s="12">
        <f>LOOKUP(414011000,[1]PlanCuentas!$A$2:$A$6092,[1]PlanCuentas!M$2:M$6092)</f>
        <v>0</v>
      </c>
      <c r="M979" s="12">
        <f>LOOKUP(414011100,[1]PlanCuentas!$A$2:$A$6092,[1]PlanCuentas!M$2:M$6092)</f>
        <v>0</v>
      </c>
      <c r="N979" s="12">
        <f>LOOKUP(414011200,[1]PlanCuentas!$A$2:$A$6092,[1]PlanCuentas!M$2:M$6092)</f>
        <v>0</v>
      </c>
      <c r="O979" s="12">
        <f>LOOKUP(414011300,[1]PlanCuentas!$A$2:$A$6092,[1]PlanCuentas!M$2:M$6092)</f>
        <v>0</v>
      </c>
      <c r="P979" s="12">
        <f>LOOKUP(414012000,[1]PlanCuentas!$A$2:$A$6092,[1]PlanCuentas!M$2:M$6092)</f>
        <v>0</v>
      </c>
      <c r="Q979" s="13">
        <f t="shared" si="50"/>
        <v>0</v>
      </c>
    </row>
    <row r="980" spans="1:17" x14ac:dyDescent="0.2">
      <c r="A980" s="10">
        <v>12</v>
      </c>
      <c r="B980" s="11" t="str">
        <f>[1]Aseguradoras!B13</f>
        <v>Aseguradora Paraguaya S.A.</v>
      </c>
      <c r="C980" s="12">
        <f>LOOKUP(414010100,[1]PlanCuentas!$A$2:$A$6092,[1]PlanCuentas!N$2:N$6092)</f>
        <v>0</v>
      </c>
      <c r="D980" s="12">
        <f>LOOKUP(414010200,[1]PlanCuentas!$A$2:$A$6092,[1]PlanCuentas!N$2:N$6092)</f>
        <v>0</v>
      </c>
      <c r="E980" s="12">
        <f>LOOKUP(414010300,[1]PlanCuentas!$A$2:$A$6092,[1]PlanCuentas!N$2:N$6092)</f>
        <v>0</v>
      </c>
      <c r="F980" s="12">
        <f>LOOKUP(414010400,[1]PlanCuentas!$A$2:$A$6092,[1]PlanCuentas!N$2:N$6092)</f>
        <v>0</v>
      </c>
      <c r="G980" s="12">
        <f>LOOKUP(414010500,[1]PlanCuentas!$A$2:$A$6092,[1]PlanCuentas!N$2:N$6092)</f>
        <v>0</v>
      </c>
      <c r="H980" s="12">
        <f>LOOKUP(414010600,[1]PlanCuentas!$A$2:$A$6092,[1]PlanCuentas!N$2:N$6092)</f>
        <v>0</v>
      </c>
      <c r="I980" s="12">
        <f>LOOKUP(414010700,[1]PlanCuentas!$A$2:$A$6092,[1]PlanCuentas!N$2:N$6092)</f>
        <v>0</v>
      </c>
      <c r="J980" s="12">
        <f>LOOKUP(414010800,[1]PlanCuentas!$A$2:$A$6092,[1]PlanCuentas!N$2:N$6092)</f>
        <v>0</v>
      </c>
      <c r="K980" s="12">
        <f>LOOKUP(414010900,[1]PlanCuentas!$A$2:$A$6092,[1]PlanCuentas!N$2:N$6092)</f>
        <v>0</v>
      </c>
      <c r="L980" s="12">
        <f>LOOKUP(414011000,[1]PlanCuentas!$A$2:$A$6092,[1]PlanCuentas!N$2:N$6092)</f>
        <v>0</v>
      </c>
      <c r="M980" s="12">
        <f>LOOKUP(414011100,[1]PlanCuentas!$A$2:$A$6092,[1]PlanCuentas!N$2:N$6092)</f>
        <v>0</v>
      </c>
      <c r="N980" s="12">
        <f>LOOKUP(414011200,[1]PlanCuentas!$A$2:$A$6092,[1]PlanCuentas!N$2:N$6092)</f>
        <v>0</v>
      </c>
      <c r="O980" s="12">
        <f>LOOKUP(414011300,[1]PlanCuentas!$A$2:$A$6092,[1]PlanCuentas!N$2:N$6092)</f>
        <v>0</v>
      </c>
      <c r="P980" s="12">
        <f>LOOKUP(414012000,[1]PlanCuentas!$A$2:$A$6092,[1]PlanCuentas!N$2:N$6092)</f>
        <v>0</v>
      </c>
      <c r="Q980" s="13">
        <f t="shared" si="50"/>
        <v>0</v>
      </c>
    </row>
    <row r="981" spans="1:17" x14ac:dyDescent="0.2">
      <c r="A981" s="10">
        <v>13</v>
      </c>
      <c r="B981" s="11" t="str">
        <f>[1]Aseguradoras!B14</f>
        <v>Fénix S.A de Seguros y Reaseguros</v>
      </c>
      <c r="C981" s="12">
        <f>LOOKUP(414010100,[1]PlanCuentas!$A$2:$A$6092,[1]PlanCuentas!O$2:O$6092)</f>
        <v>0</v>
      </c>
      <c r="D981" s="12">
        <f>LOOKUP(414010200,[1]PlanCuentas!$A$2:$A$6092,[1]PlanCuentas!O$2:O$6092)</f>
        <v>0</v>
      </c>
      <c r="E981" s="12">
        <f>LOOKUP(414010300,[1]PlanCuentas!$A$2:$A$6092,[1]PlanCuentas!O$2:O$6092)</f>
        <v>0</v>
      </c>
      <c r="F981" s="12">
        <f>LOOKUP(414010400,[1]PlanCuentas!$A$2:$A$6092,[1]PlanCuentas!O$2:O$6092)</f>
        <v>0</v>
      </c>
      <c r="G981" s="12">
        <f>LOOKUP(414010500,[1]PlanCuentas!$A$2:$A$6092,[1]PlanCuentas!O$2:O$6092)</f>
        <v>0</v>
      </c>
      <c r="H981" s="12">
        <f>LOOKUP(414010600,[1]PlanCuentas!$A$2:$A$6092,[1]PlanCuentas!O$2:O$6092)</f>
        <v>0</v>
      </c>
      <c r="I981" s="12">
        <f>LOOKUP(414010700,[1]PlanCuentas!$A$2:$A$6092,[1]PlanCuentas!O$2:O$6092)</f>
        <v>0</v>
      </c>
      <c r="J981" s="12">
        <f>LOOKUP(414010800,[1]PlanCuentas!$A$2:$A$6092,[1]PlanCuentas!O$2:O$6092)</f>
        <v>0</v>
      </c>
      <c r="K981" s="12">
        <f>LOOKUP(414010900,[1]PlanCuentas!$A$2:$A$6092,[1]PlanCuentas!O$2:O$6092)</f>
        <v>0</v>
      </c>
      <c r="L981" s="12">
        <f>LOOKUP(414011000,[1]PlanCuentas!$A$2:$A$6092,[1]PlanCuentas!O$2:O$6092)</f>
        <v>0</v>
      </c>
      <c r="M981" s="12">
        <f>LOOKUP(414011100,[1]PlanCuentas!$A$2:$A$6092,[1]PlanCuentas!O$2:O$6092)</f>
        <v>0</v>
      </c>
      <c r="N981" s="12">
        <f>LOOKUP(414011200,[1]PlanCuentas!$A$2:$A$6092,[1]PlanCuentas!O$2:O$6092)</f>
        <v>0</v>
      </c>
      <c r="O981" s="12">
        <f>LOOKUP(414011300,[1]PlanCuentas!$A$2:$A$6092,[1]PlanCuentas!O$2:O$6092)</f>
        <v>0</v>
      </c>
      <c r="P981" s="12">
        <f>LOOKUP(414012000,[1]PlanCuentas!$A$2:$A$6092,[1]PlanCuentas!O$2:O$6092)</f>
        <v>0</v>
      </c>
      <c r="Q981" s="13">
        <f t="shared" si="50"/>
        <v>0</v>
      </c>
    </row>
    <row r="982" spans="1:17" x14ac:dyDescent="0.2">
      <c r="A982" s="10">
        <v>14</v>
      </c>
      <c r="B982" s="11" t="str">
        <f>[1]Aseguradoras!B15</f>
        <v>Central S.A de Seguros</v>
      </c>
      <c r="C982" s="12">
        <f>LOOKUP(414010100,[1]PlanCuentas!$A$2:$A$6092,[1]PlanCuentas!P$2:P$6092)</f>
        <v>0</v>
      </c>
      <c r="D982" s="12">
        <f>LOOKUP(414010200,[1]PlanCuentas!$A$2:$A$6092,[1]PlanCuentas!P$2:P$6092)</f>
        <v>0</v>
      </c>
      <c r="E982" s="12">
        <f>LOOKUP(414010300,[1]PlanCuentas!$A$2:$A$6092,[1]PlanCuentas!P$2:P$6092)</f>
        <v>0</v>
      </c>
      <c r="F982" s="12">
        <f>LOOKUP(414010400,[1]PlanCuentas!$A$2:$A$6092,[1]PlanCuentas!P$2:P$6092)</f>
        <v>0</v>
      </c>
      <c r="G982" s="12">
        <f>LOOKUP(414010500,[1]PlanCuentas!$A$2:$A$6092,[1]PlanCuentas!P$2:P$6092)</f>
        <v>0</v>
      </c>
      <c r="H982" s="12">
        <f>LOOKUP(414010600,[1]PlanCuentas!$A$2:$A$6092,[1]PlanCuentas!P$2:P$6092)</f>
        <v>0</v>
      </c>
      <c r="I982" s="12">
        <f>LOOKUP(414010700,[1]PlanCuentas!$A$2:$A$6092,[1]PlanCuentas!P$2:P$6092)</f>
        <v>0</v>
      </c>
      <c r="J982" s="12">
        <f>LOOKUP(414010800,[1]PlanCuentas!$A$2:$A$6092,[1]PlanCuentas!P$2:P$6092)</f>
        <v>0</v>
      </c>
      <c r="K982" s="12">
        <f>LOOKUP(414010900,[1]PlanCuentas!$A$2:$A$6092,[1]PlanCuentas!P$2:P$6092)</f>
        <v>0</v>
      </c>
      <c r="L982" s="12">
        <f>LOOKUP(414011000,[1]PlanCuentas!$A$2:$A$6092,[1]PlanCuentas!P$2:P$6092)</f>
        <v>0</v>
      </c>
      <c r="M982" s="12">
        <f>LOOKUP(414011100,[1]PlanCuentas!$A$2:$A$6092,[1]PlanCuentas!P$2:P$6092)</f>
        <v>0</v>
      </c>
      <c r="N982" s="12">
        <f>LOOKUP(414011200,[1]PlanCuentas!$A$2:$A$6092,[1]PlanCuentas!P$2:P$6092)</f>
        <v>0</v>
      </c>
      <c r="O982" s="12">
        <f>LOOKUP(414011300,[1]PlanCuentas!$A$2:$A$6092,[1]PlanCuentas!P$2:P$6092)</f>
        <v>0</v>
      </c>
      <c r="P982" s="12">
        <f>LOOKUP(414012000,[1]PlanCuentas!$A$2:$A$6092,[1]PlanCuentas!P$2:P$6092)</f>
        <v>0</v>
      </c>
      <c r="Q982" s="13">
        <f t="shared" si="50"/>
        <v>0</v>
      </c>
    </row>
    <row r="983" spans="1:17" x14ac:dyDescent="0.2">
      <c r="A983" s="10">
        <v>15</v>
      </c>
      <c r="B983" s="11" t="str">
        <f>[1]Aseguradoras!B16</f>
        <v>Seguros Chaco S.A de Seguros y Reaseguros</v>
      </c>
      <c r="C983" s="12">
        <f>LOOKUP(414010100,[1]PlanCuentas!$A$2:$A$6092,[1]PlanCuentas!Q$2:Q$6092)</f>
        <v>0</v>
      </c>
      <c r="D983" s="12">
        <f>LOOKUP(414010200,[1]PlanCuentas!$A$2:$A$6092,[1]PlanCuentas!Q$2:Q$6092)</f>
        <v>0</v>
      </c>
      <c r="E983" s="12">
        <f>LOOKUP(414010300,[1]PlanCuentas!$A$2:$A$6092,[1]PlanCuentas!Q$2:Q$6092)</f>
        <v>0</v>
      </c>
      <c r="F983" s="12">
        <f>LOOKUP(414010400,[1]PlanCuentas!$A$2:$A$6092,[1]PlanCuentas!Q$2:Q$6092)</f>
        <v>0</v>
      </c>
      <c r="G983" s="12">
        <f>LOOKUP(414010500,[1]PlanCuentas!$A$2:$A$6092,[1]PlanCuentas!Q$2:Q$6092)</f>
        <v>0</v>
      </c>
      <c r="H983" s="12">
        <f>LOOKUP(414010600,[1]PlanCuentas!$A$2:$A$6092,[1]PlanCuentas!Q$2:Q$6092)</f>
        <v>0</v>
      </c>
      <c r="I983" s="12">
        <f>LOOKUP(414010700,[1]PlanCuentas!$A$2:$A$6092,[1]PlanCuentas!Q$2:Q$6092)</f>
        <v>0</v>
      </c>
      <c r="J983" s="12">
        <f>LOOKUP(414010800,[1]PlanCuentas!$A$2:$A$6092,[1]PlanCuentas!Q$2:Q$6092)</f>
        <v>0</v>
      </c>
      <c r="K983" s="12">
        <f>LOOKUP(414010900,[1]PlanCuentas!$A$2:$A$6092,[1]PlanCuentas!Q$2:Q$6092)</f>
        <v>0</v>
      </c>
      <c r="L983" s="12">
        <f>LOOKUP(414011000,[1]PlanCuentas!$A$2:$A$6092,[1]PlanCuentas!Q$2:Q$6092)</f>
        <v>0</v>
      </c>
      <c r="M983" s="12">
        <f>LOOKUP(414011100,[1]PlanCuentas!$A$2:$A$6092,[1]PlanCuentas!Q$2:Q$6092)</f>
        <v>0</v>
      </c>
      <c r="N983" s="12">
        <f>LOOKUP(414011200,[1]PlanCuentas!$A$2:$A$6092,[1]PlanCuentas!Q$2:Q$6092)</f>
        <v>0</v>
      </c>
      <c r="O983" s="12">
        <f>LOOKUP(414011300,[1]PlanCuentas!$A$2:$A$6092,[1]PlanCuentas!Q$2:Q$6092)</f>
        <v>0</v>
      </c>
      <c r="P983" s="12">
        <f>LOOKUP(414012000,[1]PlanCuentas!$A$2:$A$6092,[1]PlanCuentas!Q$2:Q$6092)</f>
        <v>0</v>
      </c>
      <c r="Q983" s="13">
        <f t="shared" si="50"/>
        <v>0</v>
      </c>
    </row>
    <row r="984" spans="1:17" x14ac:dyDescent="0.2">
      <c r="A984" s="10">
        <v>16</v>
      </c>
      <c r="B984" s="11" t="str">
        <f>[1]Aseguradoras!B17</f>
        <v>El Sol Del Paraguay Compañía de Seguros y Reaseguros S.A.</v>
      </c>
      <c r="C984" s="12">
        <f>LOOKUP(414010100,[1]PlanCuentas!$A$2:$A$6092,[1]PlanCuentas!R$2:R$6092)</f>
        <v>0</v>
      </c>
      <c r="D984" s="12">
        <f>LOOKUP(414010200,[1]PlanCuentas!$A$2:$A$6092,[1]PlanCuentas!R$2:R$6092)</f>
        <v>0</v>
      </c>
      <c r="E984" s="12">
        <f>LOOKUP(414010300,[1]PlanCuentas!$A$2:$A$6092,[1]PlanCuentas!R$2:R$6092)</f>
        <v>0</v>
      </c>
      <c r="F984" s="12">
        <f>LOOKUP(414010400,[1]PlanCuentas!$A$2:$A$6092,[1]PlanCuentas!R$2:R$6092)</f>
        <v>0</v>
      </c>
      <c r="G984" s="12">
        <f>LOOKUP(414010500,[1]PlanCuentas!$A$2:$A$6092,[1]PlanCuentas!R$2:R$6092)</f>
        <v>0</v>
      </c>
      <c r="H984" s="12">
        <f>LOOKUP(414010600,[1]PlanCuentas!$A$2:$A$6092,[1]PlanCuentas!R$2:R$6092)</f>
        <v>0</v>
      </c>
      <c r="I984" s="12">
        <f>LOOKUP(414010700,[1]PlanCuentas!$A$2:$A$6092,[1]PlanCuentas!R$2:R$6092)</f>
        <v>0</v>
      </c>
      <c r="J984" s="12">
        <f>LOOKUP(414010800,[1]PlanCuentas!$A$2:$A$6092,[1]PlanCuentas!R$2:R$6092)</f>
        <v>0</v>
      </c>
      <c r="K984" s="12">
        <f>LOOKUP(414010900,[1]PlanCuentas!$A$2:$A$6092,[1]PlanCuentas!R$2:R$6092)</f>
        <v>0</v>
      </c>
      <c r="L984" s="12">
        <f>LOOKUP(414011000,[1]PlanCuentas!$A$2:$A$6092,[1]PlanCuentas!R$2:R$6092)</f>
        <v>0</v>
      </c>
      <c r="M984" s="12">
        <f>LOOKUP(414011100,[1]PlanCuentas!$A$2:$A$6092,[1]PlanCuentas!R$2:R$6092)</f>
        <v>0</v>
      </c>
      <c r="N984" s="12">
        <f>LOOKUP(414011200,[1]PlanCuentas!$A$2:$A$6092,[1]PlanCuentas!R$2:R$6092)</f>
        <v>0</v>
      </c>
      <c r="O984" s="12">
        <f>LOOKUP(414011300,[1]PlanCuentas!$A$2:$A$6092,[1]PlanCuentas!R$2:R$6092)</f>
        <v>0</v>
      </c>
      <c r="P984" s="12">
        <f>LOOKUP(414012000,[1]PlanCuentas!$A$2:$A$6092,[1]PlanCuentas!R$2:R$6092)</f>
        <v>0</v>
      </c>
      <c r="Q984" s="13">
        <f t="shared" si="50"/>
        <v>0</v>
      </c>
    </row>
    <row r="985" spans="1:17" x14ac:dyDescent="0.2">
      <c r="A985" s="10">
        <v>17</v>
      </c>
      <c r="B985" s="11" t="str">
        <f>[1]Aseguradoras!B18</f>
        <v>Intercontinental de Seguros y Reaseguros S.A.</v>
      </c>
      <c r="C985" s="12">
        <f>LOOKUP(414010100,[1]PlanCuentas!$A$2:$A$6092,[1]PlanCuentas!S$2:S$6092)</f>
        <v>0</v>
      </c>
      <c r="D985" s="12">
        <f>LOOKUP(414010200,[1]PlanCuentas!$A$2:$A$6092,[1]PlanCuentas!S$2:S$6092)</f>
        <v>0</v>
      </c>
      <c r="E985" s="12">
        <f>LOOKUP(414010300,[1]PlanCuentas!$A$2:$A$6092,[1]PlanCuentas!S$2:S$6092)</f>
        <v>0</v>
      </c>
      <c r="F985" s="12">
        <f>LOOKUP(414010400,[1]PlanCuentas!$A$2:$A$6092,[1]PlanCuentas!S$2:S$6092)</f>
        <v>0</v>
      </c>
      <c r="G985" s="12">
        <f>LOOKUP(414010500,[1]PlanCuentas!$A$2:$A$6092,[1]PlanCuentas!S$2:S$6092)</f>
        <v>0</v>
      </c>
      <c r="H985" s="12">
        <f>LOOKUP(414010600,[1]PlanCuentas!$A$2:$A$6092,[1]PlanCuentas!S$2:S$6092)</f>
        <v>0</v>
      </c>
      <c r="I985" s="12">
        <f>LOOKUP(414010700,[1]PlanCuentas!$A$2:$A$6092,[1]PlanCuentas!S$2:S$6092)</f>
        <v>0</v>
      </c>
      <c r="J985" s="12">
        <f>LOOKUP(414010800,[1]PlanCuentas!$A$2:$A$6092,[1]PlanCuentas!S$2:S$6092)</f>
        <v>0</v>
      </c>
      <c r="K985" s="12">
        <f>LOOKUP(414010900,[1]PlanCuentas!$A$2:$A$6092,[1]PlanCuentas!S$2:S$6092)</f>
        <v>0</v>
      </c>
      <c r="L985" s="12">
        <f>LOOKUP(414011000,[1]PlanCuentas!$A$2:$A$6092,[1]PlanCuentas!S$2:S$6092)</f>
        <v>0</v>
      </c>
      <c r="M985" s="12">
        <f>LOOKUP(414011100,[1]PlanCuentas!$A$2:$A$6092,[1]PlanCuentas!S$2:S$6092)</f>
        <v>0</v>
      </c>
      <c r="N985" s="12">
        <f>LOOKUP(414011200,[1]PlanCuentas!$A$2:$A$6092,[1]PlanCuentas!S$2:S$6092)</f>
        <v>0</v>
      </c>
      <c r="O985" s="12">
        <f>LOOKUP(414011300,[1]PlanCuentas!$A$2:$A$6092,[1]PlanCuentas!S$2:S$6092)</f>
        <v>0</v>
      </c>
      <c r="P985" s="12">
        <f>LOOKUP(414012000,[1]PlanCuentas!$A$2:$A$6092,[1]PlanCuentas!S$2:S$6092)</f>
        <v>0</v>
      </c>
      <c r="Q985" s="13">
        <f t="shared" si="50"/>
        <v>0</v>
      </c>
    </row>
    <row r="986" spans="1:17" x14ac:dyDescent="0.2">
      <c r="A986" s="10">
        <v>18</v>
      </c>
      <c r="B986" s="11" t="str">
        <f>[1]Aseguradoras!B19</f>
        <v>Seguridad S.A Compañía de Seguros</v>
      </c>
      <c r="C986" s="12">
        <f>LOOKUP(414010100,[1]PlanCuentas!$A$2:$A$6092,[1]PlanCuentas!T$2:T$6092)</f>
        <v>0</v>
      </c>
      <c r="D986" s="12">
        <f>LOOKUP(414010200,[1]PlanCuentas!$A$2:$A$6092,[1]PlanCuentas!T$2:T$6092)</f>
        <v>0</v>
      </c>
      <c r="E986" s="12">
        <f>LOOKUP(414010300,[1]PlanCuentas!$A$2:$A$6092,[1]PlanCuentas!T$2:T$6092)</f>
        <v>0</v>
      </c>
      <c r="F986" s="12">
        <f>LOOKUP(414010400,[1]PlanCuentas!$A$2:$A$6092,[1]PlanCuentas!T$2:T$6092)</f>
        <v>0</v>
      </c>
      <c r="G986" s="12">
        <f>LOOKUP(414010500,[1]PlanCuentas!$A$2:$A$6092,[1]PlanCuentas!T$2:T$6092)</f>
        <v>0</v>
      </c>
      <c r="H986" s="12">
        <f>LOOKUP(414010600,[1]PlanCuentas!$A$2:$A$6092,[1]PlanCuentas!T$2:T$6092)</f>
        <v>0</v>
      </c>
      <c r="I986" s="12">
        <f>LOOKUP(414010700,[1]PlanCuentas!$A$2:$A$6092,[1]PlanCuentas!T$2:T$6092)</f>
        <v>0</v>
      </c>
      <c r="J986" s="12">
        <f>LOOKUP(414010800,[1]PlanCuentas!$A$2:$A$6092,[1]PlanCuentas!T$2:T$6092)</f>
        <v>0</v>
      </c>
      <c r="K986" s="12">
        <f>LOOKUP(414010900,[1]PlanCuentas!$A$2:$A$6092,[1]PlanCuentas!T$2:T$6092)</f>
        <v>0</v>
      </c>
      <c r="L986" s="12">
        <f>LOOKUP(414011000,[1]PlanCuentas!$A$2:$A$6092,[1]PlanCuentas!T$2:T$6092)</f>
        <v>0</v>
      </c>
      <c r="M986" s="12">
        <f>LOOKUP(414011100,[1]PlanCuentas!$A$2:$A$6092,[1]PlanCuentas!T$2:T$6092)</f>
        <v>0</v>
      </c>
      <c r="N986" s="12">
        <f>LOOKUP(414011200,[1]PlanCuentas!$A$2:$A$6092,[1]PlanCuentas!T$2:T$6092)</f>
        <v>0</v>
      </c>
      <c r="O986" s="12">
        <f>LOOKUP(414011300,[1]PlanCuentas!$A$2:$A$6092,[1]PlanCuentas!T$2:T$6092)</f>
        <v>0</v>
      </c>
      <c r="P986" s="12">
        <f>LOOKUP(414012000,[1]PlanCuentas!$A$2:$A$6092,[1]PlanCuentas!T$2:T$6092)</f>
        <v>89999921</v>
      </c>
      <c r="Q986" s="13">
        <f t="shared" si="50"/>
        <v>89999921</v>
      </c>
    </row>
    <row r="987" spans="1:17" x14ac:dyDescent="0.2">
      <c r="A987" s="10">
        <v>19</v>
      </c>
      <c r="B987" s="11" t="str">
        <f>[1]Aseguradoras!B20</f>
        <v>Universo de Seguros y Reaseguros S.A.</v>
      </c>
      <c r="C987" s="12">
        <f>LOOKUP(414010100,[1]PlanCuentas!$A$2:$A$6092,[1]PlanCuentas!U$2:U$6092)</f>
        <v>0</v>
      </c>
      <c r="D987" s="12">
        <f>LOOKUP(414010200,[1]PlanCuentas!$A$2:$A$6092,[1]PlanCuentas!U$2:U$6092)</f>
        <v>0</v>
      </c>
      <c r="E987" s="12">
        <f>LOOKUP(414010300,[1]PlanCuentas!$A$2:$A$6092,[1]PlanCuentas!U$2:U$6092)</f>
        <v>0</v>
      </c>
      <c r="F987" s="12">
        <f>LOOKUP(414010400,[1]PlanCuentas!$A$2:$A$6092,[1]PlanCuentas!U$2:U$6092)</f>
        <v>0</v>
      </c>
      <c r="G987" s="12">
        <f>LOOKUP(414010500,[1]PlanCuentas!$A$2:$A$6092,[1]PlanCuentas!U$2:U$6092)</f>
        <v>0</v>
      </c>
      <c r="H987" s="12">
        <f>LOOKUP(414010600,[1]PlanCuentas!$A$2:$A$6092,[1]PlanCuentas!U$2:U$6092)</f>
        <v>0</v>
      </c>
      <c r="I987" s="12">
        <f>LOOKUP(414010700,[1]PlanCuentas!$A$2:$A$6092,[1]PlanCuentas!U$2:U$6092)</f>
        <v>0</v>
      </c>
      <c r="J987" s="12">
        <f>LOOKUP(414010800,[1]PlanCuentas!$A$2:$A$6092,[1]PlanCuentas!U$2:U$6092)</f>
        <v>0</v>
      </c>
      <c r="K987" s="12">
        <f>LOOKUP(414010900,[1]PlanCuentas!$A$2:$A$6092,[1]PlanCuentas!U$2:U$6092)</f>
        <v>0</v>
      </c>
      <c r="L987" s="12">
        <f>LOOKUP(414011000,[1]PlanCuentas!$A$2:$A$6092,[1]PlanCuentas!U$2:U$6092)</f>
        <v>0</v>
      </c>
      <c r="M987" s="12">
        <f>LOOKUP(414011100,[1]PlanCuentas!$A$2:$A$6092,[1]PlanCuentas!U$2:U$6092)</f>
        <v>0</v>
      </c>
      <c r="N987" s="12">
        <f>LOOKUP(414011200,[1]PlanCuentas!$A$2:$A$6092,[1]PlanCuentas!U$2:U$6092)</f>
        <v>0</v>
      </c>
      <c r="O987" s="12">
        <f>LOOKUP(414011300,[1]PlanCuentas!$A$2:$A$6092,[1]PlanCuentas!U$2:U$6092)</f>
        <v>0</v>
      </c>
      <c r="P987" s="12">
        <f>LOOKUP(414012000,[1]PlanCuentas!$A$2:$A$6092,[1]PlanCuentas!U$2:U$6092)</f>
        <v>0</v>
      </c>
      <c r="Q987" s="13">
        <f t="shared" si="50"/>
        <v>0</v>
      </c>
    </row>
    <row r="988" spans="1:17" x14ac:dyDescent="0.2">
      <c r="A988" s="10">
        <v>20</v>
      </c>
      <c r="B988" s="11" t="str">
        <f>[1]Aseguradoras!B21</f>
        <v>Aseguradora Yacyreta S.A de Seguros y Reaseguros</v>
      </c>
      <c r="C988" s="12">
        <f>LOOKUP(414010100,[1]PlanCuentas!$A$2:$A$6092,[1]PlanCuentas!V$2:V$6092)</f>
        <v>0</v>
      </c>
      <c r="D988" s="12">
        <f>LOOKUP(414010200,[1]PlanCuentas!$A$2:$A$6092,[1]PlanCuentas!V$2:V$6092)</f>
        <v>0</v>
      </c>
      <c r="E988" s="12">
        <f>LOOKUP(414010300,[1]PlanCuentas!$A$2:$A$6092,[1]PlanCuentas!V$2:V$6092)</f>
        <v>0</v>
      </c>
      <c r="F988" s="12">
        <f>LOOKUP(414010400,[1]PlanCuentas!$A$2:$A$6092,[1]PlanCuentas!V$2:V$6092)</f>
        <v>0</v>
      </c>
      <c r="G988" s="12">
        <f>LOOKUP(414010500,[1]PlanCuentas!$A$2:$A$6092,[1]PlanCuentas!V$2:V$6092)</f>
        <v>0</v>
      </c>
      <c r="H988" s="12">
        <f>LOOKUP(414010600,[1]PlanCuentas!$A$2:$A$6092,[1]PlanCuentas!V$2:V$6092)</f>
        <v>0</v>
      </c>
      <c r="I988" s="12">
        <f>LOOKUP(414010700,[1]PlanCuentas!$A$2:$A$6092,[1]PlanCuentas!V$2:V$6092)</f>
        <v>0</v>
      </c>
      <c r="J988" s="12">
        <f>LOOKUP(414010800,[1]PlanCuentas!$A$2:$A$6092,[1]PlanCuentas!V$2:V$6092)</f>
        <v>0</v>
      </c>
      <c r="K988" s="12">
        <f>LOOKUP(414010900,[1]PlanCuentas!$A$2:$A$6092,[1]PlanCuentas!V$2:V$6092)</f>
        <v>0</v>
      </c>
      <c r="L988" s="12">
        <f>LOOKUP(414011000,[1]PlanCuentas!$A$2:$A$6092,[1]PlanCuentas!V$2:V$6092)</f>
        <v>0</v>
      </c>
      <c r="M988" s="12">
        <f>LOOKUP(414011100,[1]PlanCuentas!$A$2:$A$6092,[1]PlanCuentas!V$2:V$6092)</f>
        <v>0</v>
      </c>
      <c r="N988" s="12">
        <f>LOOKUP(414011200,[1]PlanCuentas!$A$2:$A$6092,[1]PlanCuentas!V$2:V$6092)</f>
        <v>0</v>
      </c>
      <c r="O988" s="12">
        <f>LOOKUP(414011300,[1]PlanCuentas!$A$2:$A$6092,[1]PlanCuentas!V$2:V$6092)</f>
        <v>0</v>
      </c>
      <c r="P988" s="12">
        <f>LOOKUP(414012000,[1]PlanCuentas!$A$2:$A$6092,[1]PlanCuentas!V$2:V$6092)</f>
        <v>0</v>
      </c>
      <c r="Q988" s="13">
        <f t="shared" si="50"/>
        <v>0</v>
      </c>
    </row>
    <row r="989" spans="1:17" x14ac:dyDescent="0.2">
      <c r="A989" s="10">
        <v>21</v>
      </c>
      <c r="B989" s="11" t="str">
        <f>[1]Aseguradoras!B22</f>
        <v>La Agricola S.A de Seguros y Reaseguros</v>
      </c>
      <c r="C989" s="12">
        <f>LOOKUP(414010100,[1]PlanCuentas!$A$2:$A$6092,[1]PlanCuentas!W$2:W$6092)</f>
        <v>0</v>
      </c>
      <c r="D989" s="12">
        <f>LOOKUP(414010200,[1]PlanCuentas!$A$2:$A$6092,[1]PlanCuentas!W$2:W$6092)</f>
        <v>0</v>
      </c>
      <c r="E989" s="12">
        <f>LOOKUP(414010300,[1]PlanCuentas!$A$2:$A$6092,[1]PlanCuentas!W$2:W$6092)</f>
        <v>0</v>
      </c>
      <c r="F989" s="12">
        <f>LOOKUP(414010400,[1]PlanCuentas!$A$2:$A$6092,[1]PlanCuentas!W$2:W$6092)</f>
        <v>0</v>
      </c>
      <c r="G989" s="12">
        <f>LOOKUP(414010500,[1]PlanCuentas!$A$2:$A$6092,[1]PlanCuentas!W$2:W$6092)</f>
        <v>0</v>
      </c>
      <c r="H989" s="12">
        <f>LOOKUP(414010600,[1]PlanCuentas!$A$2:$A$6092,[1]PlanCuentas!W$2:W$6092)</f>
        <v>0</v>
      </c>
      <c r="I989" s="12">
        <f>LOOKUP(414010700,[1]PlanCuentas!$A$2:$A$6092,[1]PlanCuentas!W$2:W$6092)</f>
        <v>0</v>
      </c>
      <c r="J989" s="12">
        <f>LOOKUP(414010800,[1]PlanCuentas!$A$2:$A$6092,[1]PlanCuentas!W$2:W$6092)</f>
        <v>0</v>
      </c>
      <c r="K989" s="12">
        <f>LOOKUP(414010900,[1]PlanCuentas!$A$2:$A$6092,[1]PlanCuentas!W$2:W$6092)</f>
        <v>0</v>
      </c>
      <c r="L989" s="12">
        <f>LOOKUP(414011000,[1]PlanCuentas!$A$2:$A$6092,[1]PlanCuentas!W$2:W$6092)</f>
        <v>0</v>
      </c>
      <c r="M989" s="12">
        <f>LOOKUP(414011100,[1]PlanCuentas!$A$2:$A$6092,[1]PlanCuentas!W$2:W$6092)</f>
        <v>0</v>
      </c>
      <c r="N989" s="12">
        <f>LOOKUP(414011200,[1]PlanCuentas!$A$2:$A$6092,[1]PlanCuentas!W$2:W$6092)</f>
        <v>0</v>
      </c>
      <c r="O989" s="12">
        <f>LOOKUP(414011300,[1]PlanCuentas!$A$2:$A$6092,[1]PlanCuentas!W$2:W$6092)</f>
        <v>0</v>
      </c>
      <c r="P989" s="12">
        <f>LOOKUP(414012000,[1]PlanCuentas!$A$2:$A$6092,[1]PlanCuentas!W$2:W$6092)</f>
        <v>0</v>
      </c>
      <c r="Q989" s="13">
        <f t="shared" si="50"/>
        <v>0</v>
      </c>
    </row>
    <row r="990" spans="1:17" x14ac:dyDescent="0.2">
      <c r="A990" s="10">
        <v>22</v>
      </c>
      <c r="B990" s="11" t="str">
        <f>[1]Aseguradoras!B23</f>
        <v>Grupo General de Seguros y Reaseguros S.A.</v>
      </c>
      <c r="C990" s="12">
        <f>LOOKUP(414010100,[1]PlanCuentas!$A$2:$A$6092,[1]PlanCuentas!X$2:X$6092)</f>
        <v>0</v>
      </c>
      <c r="D990" s="12">
        <f>LOOKUP(414010200,[1]PlanCuentas!$A$2:$A$6092,[1]PlanCuentas!X$2:X$6092)</f>
        <v>0</v>
      </c>
      <c r="E990" s="12">
        <f>LOOKUP(414010300,[1]PlanCuentas!$A$2:$A$6092,[1]PlanCuentas!X$2:X$6092)</f>
        <v>0</v>
      </c>
      <c r="F990" s="12">
        <f>LOOKUP(414010400,[1]PlanCuentas!$A$2:$A$6092,[1]PlanCuentas!X$2:X$6092)</f>
        <v>0</v>
      </c>
      <c r="G990" s="12">
        <f>LOOKUP(414010500,[1]PlanCuentas!$A$2:$A$6092,[1]PlanCuentas!X$2:X$6092)</f>
        <v>0</v>
      </c>
      <c r="H990" s="12">
        <f>LOOKUP(414010600,[1]PlanCuentas!$A$2:$A$6092,[1]PlanCuentas!X$2:X$6092)</f>
        <v>0</v>
      </c>
      <c r="I990" s="12">
        <f>LOOKUP(414010700,[1]PlanCuentas!$A$2:$A$6092,[1]PlanCuentas!X$2:X$6092)</f>
        <v>0</v>
      </c>
      <c r="J990" s="12">
        <f>LOOKUP(414010800,[1]PlanCuentas!$A$2:$A$6092,[1]PlanCuentas!X$2:X$6092)</f>
        <v>0</v>
      </c>
      <c r="K990" s="12">
        <f>LOOKUP(414010900,[1]PlanCuentas!$A$2:$A$6092,[1]PlanCuentas!X$2:X$6092)</f>
        <v>0</v>
      </c>
      <c r="L990" s="12">
        <f>LOOKUP(414011000,[1]PlanCuentas!$A$2:$A$6092,[1]PlanCuentas!X$2:X$6092)</f>
        <v>0</v>
      </c>
      <c r="M990" s="12">
        <f>LOOKUP(414011100,[1]PlanCuentas!$A$2:$A$6092,[1]PlanCuentas!X$2:X$6092)</f>
        <v>0</v>
      </c>
      <c r="N990" s="12">
        <f>LOOKUP(414011200,[1]PlanCuentas!$A$2:$A$6092,[1]PlanCuentas!X$2:X$6092)</f>
        <v>0</v>
      </c>
      <c r="O990" s="12">
        <f>LOOKUP(414011300,[1]PlanCuentas!$A$2:$A$6092,[1]PlanCuentas!X$2:X$6092)</f>
        <v>0</v>
      </c>
      <c r="P990" s="12">
        <f>LOOKUP(414012000,[1]PlanCuentas!$A$2:$A$6092,[1]PlanCuentas!X$2:X$6092)</f>
        <v>0</v>
      </c>
      <c r="Q990" s="13">
        <f t="shared" si="50"/>
        <v>0</v>
      </c>
    </row>
    <row r="991" spans="1:17" x14ac:dyDescent="0.2">
      <c r="A991" s="10">
        <v>23</v>
      </c>
      <c r="B991" s="11" t="str">
        <f>[1]Aseguradoras!B24</f>
        <v>Alfa S.A de Seguros y Reaseguros</v>
      </c>
      <c r="C991" s="12">
        <f>LOOKUP(414010100,[1]PlanCuentas!$A$2:$A$6092,[1]PlanCuentas!Y$2:Y$6092)</f>
        <v>0</v>
      </c>
      <c r="D991" s="12">
        <f>LOOKUP(414010200,[1]PlanCuentas!$A$2:$A$6092,[1]PlanCuentas!Y$2:Y$6092)</f>
        <v>0</v>
      </c>
      <c r="E991" s="12">
        <f>LOOKUP(414010300,[1]PlanCuentas!$A$2:$A$6092,[1]PlanCuentas!Y$2:Y$6092)</f>
        <v>0</v>
      </c>
      <c r="F991" s="12">
        <f>LOOKUP(414010400,[1]PlanCuentas!$A$2:$A$6092,[1]PlanCuentas!Y$2:Y$6092)</f>
        <v>0</v>
      </c>
      <c r="G991" s="12">
        <f>LOOKUP(414010500,[1]PlanCuentas!$A$2:$A$6092,[1]PlanCuentas!Y$2:Y$6092)</f>
        <v>0</v>
      </c>
      <c r="H991" s="12">
        <f>LOOKUP(414010600,[1]PlanCuentas!$A$2:$A$6092,[1]PlanCuentas!Y$2:Y$6092)</f>
        <v>0</v>
      </c>
      <c r="I991" s="12">
        <f>LOOKUP(414010700,[1]PlanCuentas!$A$2:$A$6092,[1]PlanCuentas!Y$2:Y$6092)</f>
        <v>0</v>
      </c>
      <c r="J991" s="12">
        <f>LOOKUP(414010800,[1]PlanCuentas!$A$2:$A$6092,[1]PlanCuentas!Y$2:Y$6092)</f>
        <v>0</v>
      </c>
      <c r="K991" s="12">
        <f>LOOKUP(414010900,[1]PlanCuentas!$A$2:$A$6092,[1]PlanCuentas!Y$2:Y$6092)</f>
        <v>0</v>
      </c>
      <c r="L991" s="12">
        <f>LOOKUP(414011000,[1]PlanCuentas!$A$2:$A$6092,[1]PlanCuentas!Y$2:Y$6092)</f>
        <v>0</v>
      </c>
      <c r="M991" s="12">
        <f>LOOKUP(414011100,[1]PlanCuentas!$A$2:$A$6092,[1]PlanCuentas!Y$2:Y$6092)</f>
        <v>0</v>
      </c>
      <c r="N991" s="12">
        <f>LOOKUP(414011200,[1]PlanCuentas!$A$2:$A$6092,[1]PlanCuentas!Y$2:Y$6092)</f>
        <v>0</v>
      </c>
      <c r="O991" s="12">
        <f>LOOKUP(414011300,[1]PlanCuentas!$A$2:$A$6092,[1]PlanCuentas!Y$2:Y$6092)</f>
        <v>0</v>
      </c>
      <c r="P991" s="12">
        <f>LOOKUP(414012000,[1]PlanCuentas!$A$2:$A$6092,[1]PlanCuentas!Y$2:Y$6092)</f>
        <v>0</v>
      </c>
      <c r="Q991" s="13">
        <f t="shared" si="50"/>
        <v>0</v>
      </c>
    </row>
    <row r="992" spans="1:17" x14ac:dyDescent="0.2">
      <c r="A992" s="10">
        <v>24</v>
      </c>
      <c r="B992" s="11" t="str">
        <f>[1]Aseguradoras!B25</f>
        <v>Cenit de Seguros S.A.</v>
      </c>
      <c r="C992" s="12">
        <f>LOOKUP(414010100,[1]PlanCuentas!$A$2:$A$6092,[1]PlanCuentas!Z$2:Z$6092)</f>
        <v>0</v>
      </c>
      <c r="D992" s="12">
        <f>LOOKUP(414010200,[1]PlanCuentas!$A$2:$A$6092,[1]PlanCuentas!Z$2:Z$6092)</f>
        <v>0</v>
      </c>
      <c r="E992" s="12">
        <f>LOOKUP(414010300,[1]PlanCuentas!$A$2:$A$6092,[1]PlanCuentas!Z$2:Z$6092)</f>
        <v>0</v>
      </c>
      <c r="F992" s="12">
        <f>LOOKUP(414010400,[1]PlanCuentas!$A$2:$A$6092,[1]PlanCuentas!Z$2:Z$6092)</f>
        <v>0</v>
      </c>
      <c r="G992" s="12">
        <f>LOOKUP(414010500,[1]PlanCuentas!$A$2:$A$6092,[1]PlanCuentas!Z$2:Z$6092)</f>
        <v>0</v>
      </c>
      <c r="H992" s="12">
        <f>LOOKUP(414010600,[1]PlanCuentas!$A$2:$A$6092,[1]PlanCuentas!Z$2:Z$6092)</f>
        <v>0</v>
      </c>
      <c r="I992" s="12">
        <f>LOOKUP(414010700,[1]PlanCuentas!$A$2:$A$6092,[1]PlanCuentas!Z$2:Z$6092)</f>
        <v>0</v>
      </c>
      <c r="J992" s="12">
        <f>LOOKUP(414010800,[1]PlanCuentas!$A$2:$A$6092,[1]PlanCuentas!Z$2:Z$6092)</f>
        <v>0</v>
      </c>
      <c r="K992" s="12">
        <f>LOOKUP(414010900,[1]PlanCuentas!$A$2:$A$6092,[1]PlanCuentas!Z$2:Z$6092)</f>
        <v>0</v>
      </c>
      <c r="L992" s="12">
        <f>LOOKUP(414011000,[1]PlanCuentas!$A$2:$A$6092,[1]PlanCuentas!Z$2:Z$6092)</f>
        <v>0</v>
      </c>
      <c r="M992" s="12">
        <f>LOOKUP(414011100,[1]PlanCuentas!$A$2:$A$6092,[1]PlanCuentas!Z$2:Z$6092)</f>
        <v>0</v>
      </c>
      <c r="N992" s="12">
        <f>LOOKUP(414011200,[1]PlanCuentas!$A$2:$A$6092,[1]PlanCuentas!Z$2:Z$6092)</f>
        <v>0</v>
      </c>
      <c r="O992" s="12">
        <f>LOOKUP(414011300,[1]PlanCuentas!$A$2:$A$6092,[1]PlanCuentas!Z$2:Z$6092)</f>
        <v>0</v>
      </c>
      <c r="P992" s="12">
        <f>LOOKUP(414012000,[1]PlanCuentas!$A$2:$A$6092,[1]PlanCuentas!Z$2:Z$6092)</f>
        <v>0</v>
      </c>
      <c r="Q992" s="13">
        <f t="shared" si="50"/>
        <v>0</v>
      </c>
    </row>
    <row r="993" spans="1:26" x14ac:dyDescent="0.2">
      <c r="A993" s="10">
        <v>25</v>
      </c>
      <c r="B993" s="11" t="str">
        <f>[1]Aseguradoras!B26</f>
        <v>La Meridional Paraguaya S.A de Seguros</v>
      </c>
      <c r="C993" s="12">
        <f>LOOKUP(414010100,[1]PlanCuentas!$A$2:$A$6092,[1]PlanCuentas!AA$2:AA$6092)</f>
        <v>0</v>
      </c>
      <c r="D993" s="12">
        <f>LOOKUP(414010200,[1]PlanCuentas!$A$2:$A$6092,[1]PlanCuentas!AA$2:AA$6092)</f>
        <v>0</v>
      </c>
      <c r="E993" s="12">
        <f>LOOKUP(414010300,[1]PlanCuentas!$A$2:$A$6092,[1]PlanCuentas!AA$2:AA$6092)</f>
        <v>0</v>
      </c>
      <c r="F993" s="12">
        <f>LOOKUP(414010400,[1]PlanCuentas!$A$2:$A$6092,[1]PlanCuentas!AA$2:AA$6092)</f>
        <v>0</v>
      </c>
      <c r="G993" s="12">
        <f>LOOKUP(414010500,[1]PlanCuentas!$A$2:$A$6092,[1]PlanCuentas!AA$2:AA$6092)</f>
        <v>0</v>
      </c>
      <c r="H993" s="12">
        <f>LOOKUP(414010600,[1]PlanCuentas!$A$2:$A$6092,[1]PlanCuentas!AA$2:AA$6092)</f>
        <v>0</v>
      </c>
      <c r="I993" s="12">
        <f>LOOKUP(414010700,[1]PlanCuentas!$A$2:$A$6092,[1]PlanCuentas!AA$2:AA$6092)</f>
        <v>0</v>
      </c>
      <c r="J993" s="12">
        <f>LOOKUP(414010800,[1]PlanCuentas!$A$2:$A$6092,[1]PlanCuentas!AA$2:AA$6092)</f>
        <v>0</v>
      </c>
      <c r="K993" s="12">
        <f>LOOKUP(414010900,[1]PlanCuentas!$A$2:$A$6092,[1]PlanCuentas!AA$2:AA$6092)</f>
        <v>0</v>
      </c>
      <c r="L993" s="12">
        <f>LOOKUP(414011000,[1]PlanCuentas!$A$2:$A$6092,[1]PlanCuentas!AA$2:AA$6092)</f>
        <v>0</v>
      </c>
      <c r="M993" s="12">
        <f>LOOKUP(414011100,[1]PlanCuentas!$A$2:$A$6092,[1]PlanCuentas!AA$2:AA$6092)</f>
        <v>0</v>
      </c>
      <c r="N993" s="12">
        <f>LOOKUP(414011200,[1]PlanCuentas!$A$2:$A$6092,[1]PlanCuentas!AA$2:AA$6092)</f>
        <v>0</v>
      </c>
      <c r="O993" s="12">
        <f>LOOKUP(414011300,[1]PlanCuentas!$A$2:$A$6092,[1]PlanCuentas!AA$2:AA$6092)</f>
        <v>0</v>
      </c>
      <c r="P993" s="12">
        <f>LOOKUP(414012000,[1]PlanCuentas!$A$2:$A$6092,[1]PlanCuentas!AA$2:AA$6092)</f>
        <v>0</v>
      </c>
      <c r="Q993" s="13">
        <f t="shared" si="50"/>
        <v>0</v>
      </c>
    </row>
    <row r="994" spans="1:26" x14ac:dyDescent="0.2">
      <c r="A994" s="10">
        <v>26</v>
      </c>
      <c r="B994" s="11" t="str">
        <f>[1]Aseguradoras!B27</f>
        <v>Aseguradora Del Este S.A de Seguros y Reaseguros</v>
      </c>
      <c r="C994" s="12">
        <f>LOOKUP(414010100,[1]PlanCuentas!$A$2:$A$6092,[1]PlanCuentas!AB$2:AB$6092)</f>
        <v>0</v>
      </c>
      <c r="D994" s="12">
        <f>LOOKUP(414010200,[1]PlanCuentas!$A$2:$A$6092,[1]PlanCuentas!AB$2:AB$6092)</f>
        <v>0</v>
      </c>
      <c r="E994" s="12">
        <f>LOOKUP(414010300,[1]PlanCuentas!$A$2:$A$6092,[1]PlanCuentas!AB$2:AB$6092)</f>
        <v>0</v>
      </c>
      <c r="F994" s="12">
        <f>LOOKUP(414010400,[1]PlanCuentas!$A$2:$A$6092,[1]PlanCuentas!AB$2:AB$6092)</f>
        <v>0</v>
      </c>
      <c r="G994" s="12">
        <f>LOOKUP(414010500,[1]PlanCuentas!$A$2:$A$6092,[1]PlanCuentas!AB$2:AB$6092)</f>
        <v>0</v>
      </c>
      <c r="H994" s="12">
        <f>LOOKUP(414010600,[1]PlanCuentas!$A$2:$A$6092,[1]PlanCuentas!AB$2:AB$6092)</f>
        <v>0</v>
      </c>
      <c r="I994" s="12">
        <f>LOOKUP(414010700,[1]PlanCuentas!$A$2:$A$6092,[1]PlanCuentas!AB$2:AB$6092)</f>
        <v>0</v>
      </c>
      <c r="J994" s="12">
        <f>LOOKUP(414010800,[1]PlanCuentas!$A$2:$A$6092,[1]PlanCuentas!AB$2:AB$6092)</f>
        <v>0</v>
      </c>
      <c r="K994" s="12">
        <f>LOOKUP(414010900,[1]PlanCuentas!$A$2:$A$6092,[1]PlanCuentas!AB$2:AB$6092)</f>
        <v>0</v>
      </c>
      <c r="L994" s="12">
        <f>LOOKUP(414011000,[1]PlanCuentas!$A$2:$A$6092,[1]PlanCuentas!AB$2:AB$6092)</f>
        <v>0</v>
      </c>
      <c r="M994" s="12">
        <f>LOOKUP(414011100,[1]PlanCuentas!$A$2:$A$6092,[1]PlanCuentas!AB$2:AB$6092)</f>
        <v>0</v>
      </c>
      <c r="N994" s="12">
        <f>LOOKUP(414011200,[1]PlanCuentas!$A$2:$A$6092,[1]PlanCuentas!AB$2:AB$6092)</f>
        <v>0</v>
      </c>
      <c r="O994" s="12">
        <f>LOOKUP(414011300,[1]PlanCuentas!$A$2:$A$6092,[1]PlanCuentas!AB$2:AB$6092)</f>
        <v>0</v>
      </c>
      <c r="P994" s="12">
        <f>LOOKUP(414012000,[1]PlanCuentas!$A$2:$A$6092,[1]PlanCuentas!AB$2:AB$6092)</f>
        <v>0</v>
      </c>
      <c r="Q994" s="13">
        <f t="shared" si="50"/>
        <v>0</v>
      </c>
    </row>
    <row r="995" spans="1:26" x14ac:dyDescent="0.2">
      <c r="A995" s="10">
        <v>27</v>
      </c>
      <c r="B995" s="11" t="str">
        <f>[1]Aseguradoras!B28</f>
        <v>Imperio S.A de Seguros y Reaseguros</v>
      </c>
      <c r="C995" s="12">
        <f>LOOKUP(414010100,[1]PlanCuentas!$A$2:$A$6092,[1]PlanCuentas!AC$2:AC$6092)</f>
        <v>0</v>
      </c>
      <c r="D995" s="12">
        <f>LOOKUP(414010200,[1]PlanCuentas!$A$2:$A$6092,[1]PlanCuentas!AC$2:AC$6092)</f>
        <v>0</v>
      </c>
      <c r="E995" s="12">
        <f>LOOKUP(414010300,[1]PlanCuentas!$A$2:$A$6092,[1]PlanCuentas!AC$2:AC$6092)</f>
        <v>0</v>
      </c>
      <c r="F995" s="12">
        <f>LOOKUP(414010400,[1]PlanCuentas!$A$2:$A$6092,[1]PlanCuentas!AC$2:AC$6092)</f>
        <v>0</v>
      </c>
      <c r="G995" s="12">
        <f>LOOKUP(414010500,[1]PlanCuentas!$A$2:$A$6092,[1]PlanCuentas!AC$2:AC$6092)</f>
        <v>0</v>
      </c>
      <c r="H995" s="12">
        <f>LOOKUP(414010600,[1]PlanCuentas!$A$2:$A$6092,[1]PlanCuentas!AC$2:AC$6092)</f>
        <v>0</v>
      </c>
      <c r="I995" s="12">
        <f>LOOKUP(414010700,[1]PlanCuentas!$A$2:$A$6092,[1]PlanCuentas!AC$2:AC$6092)</f>
        <v>0</v>
      </c>
      <c r="J995" s="12">
        <f>LOOKUP(414010800,[1]PlanCuentas!$A$2:$A$6092,[1]PlanCuentas!AC$2:AC$6092)</f>
        <v>0</v>
      </c>
      <c r="K995" s="12">
        <f>LOOKUP(414010900,[1]PlanCuentas!$A$2:$A$6092,[1]PlanCuentas!AC$2:AC$6092)</f>
        <v>0</v>
      </c>
      <c r="L995" s="12">
        <f>LOOKUP(414011000,[1]PlanCuentas!$A$2:$A$6092,[1]PlanCuentas!AC$2:AC$6092)</f>
        <v>0</v>
      </c>
      <c r="M995" s="12">
        <f>LOOKUP(414011100,[1]PlanCuentas!$A$2:$A$6092,[1]PlanCuentas!AC$2:AC$6092)</f>
        <v>0</v>
      </c>
      <c r="N995" s="12">
        <f>LOOKUP(414011200,[1]PlanCuentas!$A$2:$A$6092,[1]PlanCuentas!AC$2:AC$6092)</f>
        <v>0</v>
      </c>
      <c r="O995" s="12">
        <f>LOOKUP(414011300,[1]PlanCuentas!$A$2:$A$6092,[1]PlanCuentas!AC$2:AC$6092)</f>
        <v>0</v>
      </c>
      <c r="P995" s="12">
        <f>LOOKUP(414012000,[1]PlanCuentas!$A$2:$A$6092,[1]PlanCuentas!AC$2:AC$6092)</f>
        <v>0</v>
      </c>
      <c r="Q995" s="13">
        <f t="shared" si="50"/>
        <v>0</v>
      </c>
    </row>
    <row r="996" spans="1:26" x14ac:dyDescent="0.2">
      <c r="A996" s="10">
        <v>28</v>
      </c>
      <c r="B996" s="11" t="str">
        <f>[1]Aseguradoras!B29</f>
        <v>Regional S.A de Seguros y Reaseguros</v>
      </c>
      <c r="C996" s="12">
        <f>LOOKUP(414010100,[1]PlanCuentas!$A$2:$A$6092,[1]PlanCuentas!AD$2:AD$6092)</f>
        <v>0</v>
      </c>
      <c r="D996" s="12">
        <f>LOOKUP(414010200,[1]PlanCuentas!$A$2:$A$6092,[1]PlanCuentas!AD$2:AD$6092)</f>
        <v>0</v>
      </c>
      <c r="E996" s="12">
        <f>LOOKUP(414010300,[1]PlanCuentas!$A$2:$A$6092,[1]PlanCuentas!AD$2:AD$6092)</f>
        <v>0</v>
      </c>
      <c r="F996" s="12">
        <f>LOOKUP(414010400,[1]PlanCuentas!$A$2:$A$6092,[1]PlanCuentas!AD$2:AD$6092)</f>
        <v>0</v>
      </c>
      <c r="G996" s="12">
        <f>LOOKUP(414010500,[1]PlanCuentas!$A$2:$A$6092,[1]PlanCuentas!AD$2:AD$6092)</f>
        <v>0</v>
      </c>
      <c r="H996" s="12">
        <f>LOOKUP(414010600,[1]PlanCuentas!$A$2:$A$6092,[1]PlanCuentas!AD$2:AD$6092)</f>
        <v>0</v>
      </c>
      <c r="I996" s="12">
        <f>LOOKUP(414010700,[1]PlanCuentas!$A$2:$A$6092,[1]PlanCuentas!AD$2:AD$6092)</f>
        <v>0</v>
      </c>
      <c r="J996" s="12">
        <f>LOOKUP(414010800,[1]PlanCuentas!$A$2:$A$6092,[1]PlanCuentas!AD$2:AD$6092)</f>
        <v>0</v>
      </c>
      <c r="K996" s="12">
        <f>LOOKUP(414010900,[1]PlanCuentas!$A$2:$A$6092,[1]PlanCuentas!AD$2:AD$6092)</f>
        <v>0</v>
      </c>
      <c r="L996" s="12">
        <f>LOOKUP(414011000,[1]PlanCuentas!$A$2:$A$6092,[1]PlanCuentas!AD$2:AD$6092)</f>
        <v>0</v>
      </c>
      <c r="M996" s="12">
        <f>LOOKUP(414011100,[1]PlanCuentas!$A$2:$A$6092,[1]PlanCuentas!AD$2:AD$6092)</f>
        <v>0</v>
      </c>
      <c r="N996" s="12">
        <f>LOOKUP(414011200,[1]PlanCuentas!$A$2:$A$6092,[1]PlanCuentas!AD$2:AD$6092)</f>
        <v>0</v>
      </c>
      <c r="O996" s="12">
        <f>LOOKUP(414011300,[1]PlanCuentas!$A$2:$A$6092,[1]PlanCuentas!AD$2:AD$6092)</f>
        <v>0</v>
      </c>
      <c r="P996" s="12">
        <f>LOOKUP(414012000,[1]PlanCuentas!$A$2:$A$6092,[1]PlanCuentas!AD$2:AD$6092)</f>
        <v>0</v>
      </c>
      <c r="Q996" s="13">
        <f t="shared" si="50"/>
        <v>0</v>
      </c>
    </row>
    <row r="997" spans="1:26" s="37" customFormat="1" x14ac:dyDescent="0.2">
      <c r="A997" s="10">
        <v>29</v>
      </c>
      <c r="B997" s="11" t="str">
        <f>[1]Aseguradoras!B30</f>
        <v>Mapfre Paraguay Compañía de Seguros S.A.</v>
      </c>
      <c r="C997" s="12">
        <f>LOOKUP(414010100,[1]PlanCuentas!$A$2:$A$6092,[1]PlanCuentas!AE$2:AE$6092)</f>
        <v>0</v>
      </c>
      <c r="D997" s="12">
        <f>LOOKUP(414010200,[1]PlanCuentas!$A$2:$A$6092,[1]PlanCuentas!AE$2:AE$6092)</f>
        <v>0</v>
      </c>
      <c r="E997" s="12">
        <f>LOOKUP(414010300,[1]PlanCuentas!$A$2:$A$6092,[1]PlanCuentas!AE$2:AE$6092)</f>
        <v>0</v>
      </c>
      <c r="F997" s="12">
        <f>LOOKUP(414010400,[1]PlanCuentas!$A$2:$A$6092,[1]PlanCuentas!AE$2:AE$6092)</f>
        <v>0</v>
      </c>
      <c r="G997" s="12">
        <f>LOOKUP(414010500,[1]PlanCuentas!$A$2:$A$6092,[1]PlanCuentas!AE$2:AE$6092)</f>
        <v>0</v>
      </c>
      <c r="H997" s="12">
        <f>LOOKUP(414010600,[1]PlanCuentas!$A$2:$A$6092,[1]PlanCuentas!AE$2:AE$6092)</f>
        <v>0</v>
      </c>
      <c r="I997" s="12">
        <f>LOOKUP(414010700,[1]PlanCuentas!$A$2:$A$6092,[1]PlanCuentas!AE$2:AE$6092)</f>
        <v>0</v>
      </c>
      <c r="J997" s="12">
        <f>LOOKUP(414010800,[1]PlanCuentas!$A$2:$A$6092,[1]PlanCuentas!AE$2:AE$6092)</f>
        <v>0</v>
      </c>
      <c r="K997" s="12">
        <f>LOOKUP(414010900,[1]PlanCuentas!$A$2:$A$6092,[1]PlanCuentas!AE$2:AE$6092)</f>
        <v>0</v>
      </c>
      <c r="L997" s="12">
        <f>LOOKUP(414011000,[1]PlanCuentas!$A$2:$A$6092,[1]PlanCuentas!AE$2:AE$6092)</f>
        <v>0</v>
      </c>
      <c r="M997" s="12">
        <f>LOOKUP(414011100,[1]PlanCuentas!$A$2:$A$6092,[1]PlanCuentas!AE$2:AE$6092)</f>
        <v>0</v>
      </c>
      <c r="N997" s="12">
        <f>LOOKUP(414011200,[1]PlanCuentas!$A$2:$A$6092,[1]PlanCuentas!AE$2:AE$6092)</f>
        <v>0</v>
      </c>
      <c r="O997" s="12">
        <f>LOOKUP(414011300,[1]PlanCuentas!$A$2:$A$6092,[1]PlanCuentas!AE$2:AE$6092)</f>
        <v>0</v>
      </c>
      <c r="P997" s="12">
        <f>LOOKUP(414012000,[1]PlanCuentas!$A$2:$A$6092,[1]PlanCuentas!AE$2:AE$6092)</f>
        <v>0</v>
      </c>
      <c r="Q997" s="13">
        <f t="shared" si="50"/>
        <v>0</v>
      </c>
    </row>
    <row r="998" spans="1:26" x14ac:dyDescent="0.2">
      <c r="A998" s="10">
        <v>30</v>
      </c>
      <c r="B998" s="11" t="str">
        <f>[1]Aseguradoras!B31</f>
        <v>Aseguradora Tajy Propiedad Cooperativa S.A. de Seguros</v>
      </c>
      <c r="C998" s="12">
        <f>LOOKUP(414010100,[1]PlanCuentas!$A$2:$A$6092,[1]PlanCuentas!AF$2:AF$6092)</f>
        <v>0</v>
      </c>
      <c r="D998" s="12">
        <f>LOOKUP(414010200,[1]PlanCuentas!$A$2:$A$6092,[1]PlanCuentas!AF$2:AF$6092)</f>
        <v>0</v>
      </c>
      <c r="E998" s="12">
        <f>LOOKUP(414010300,[1]PlanCuentas!$A$2:$A$6092,[1]PlanCuentas!AF$2:AF$6092)</f>
        <v>0</v>
      </c>
      <c r="F998" s="12">
        <f>LOOKUP(414010400,[1]PlanCuentas!$A$2:$A$6092,[1]PlanCuentas!AF$2:AF$6092)</f>
        <v>0</v>
      </c>
      <c r="G998" s="12">
        <f>LOOKUP(414010500,[1]PlanCuentas!$A$2:$A$6092,[1]PlanCuentas!AF$2:AF$6092)</f>
        <v>0</v>
      </c>
      <c r="H998" s="12">
        <f>LOOKUP(414010600,[1]PlanCuentas!$A$2:$A$6092,[1]PlanCuentas!AF$2:AF$6092)</f>
        <v>0</v>
      </c>
      <c r="I998" s="12">
        <f>LOOKUP(414010700,[1]PlanCuentas!$A$2:$A$6092,[1]PlanCuentas!AF$2:AF$6092)</f>
        <v>0</v>
      </c>
      <c r="J998" s="12">
        <f>LOOKUP(414010800,[1]PlanCuentas!$A$2:$A$6092,[1]PlanCuentas!AF$2:AF$6092)</f>
        <v>0</v>
      </c>
      <c r="K998" s="12">
        <f>LOOKUP(414010900,[1]PlanCuentas!$A$2:$A$6092,[1]PlanCuentas!AF$2:AF$6092)</f>
        <v>0</v>
      </c>
      <c r="L998" s="12">
        <f>LOOKUP(414011000,[1]PlanCuentas!$A$2:$A$6092,[1]PlanCuentas!AF$2:AF$6092)</f>
        <v>0</v>
      </c>
      <c r="M998" s="12">
        <f>LOOKUP(414011100,[1]PlanCuentas!$A$2:$A$6092,[1]PlanCuentas!AF$2:AF$6092)</f>
        <v>0</v>
      </c>
      <c r="N998" s="12">
        <f>LOOKUP(414011200,[1]PlanCuentas!$A$2:$A$6092,[1]PlanCuentas!AF$2:AF$6092)</f>
        <v>0</v>
      </c>
      <c r="O998" s="12">
        <f>LOOKUP(414011300,[1]PlanCuentas!$A$2:$A$6092,[1]PlanCuentas!AF$2:AF$6092)</f>
        <v>0</v>
      </c>
      <c r="P998" s="12">
        <f>LOOKUP(414012000,[1]PlanCuentas!$A$2:$A$6092,[1]PlanCuentas!AF$2:AF$6092)</f>
        <v>0</v>
      </c>
      <c r="Q998" s="13">
        <f t="shared" si="50"/>
        <v>0</v>
      </c>
    </row>
    <row r="999" spans="1:26" x14ac:dyDescent="0.2">
      <c r="A999" s="10">
        <v>31</v>
      </c>
      <c r="B999" s="11" t="str">
        <f>[1]Aseguradoras!B32</f>
        <v>Aseguradora del Sur S.A. Seguros Generales - ASUR</v>
      </c>
      <c r="C999" s="12">
        <f>LOOKUP(414010100,[1]PlanCuentas!$A$2:$A$6092,[1]PlanCuentas!AG$2:AG$6092)</f>
        <v>0</v>
      </c>
      <c r="D999" s="12">
        <f>LOOKUP(414010200,[1]PlanCuentas!$A$2:$A$6092,[1]PlanCuentas!AG$2:AG$6092)</f>
        <v>0</v>
      </c>
      <c r="E999" s="12">
        <f>LOOKUP(414010300,[1]PlanCuentas!$A$2:$A$6092,[1]PlanCuentas!AG$2:AG$6092)</f>
        <v>0</v>
      </c>
      <c r="F999" s="12">
        <f>LOOKUP(414010400,[1]PlanCuentas!$A$2:$A$6092,[1]PlanCuentas!AG$2:AG$6092)</f>
        <v>0</v>
      </c>
      <c r="G999" s="12">
        <f>LOOKUP(414010500,[1]PlanCuentas!$A$2:$A$6092,[1]PlanCuentas!AG$2:AG$6092)</f>
        <v>0</v>
      </c>
      <c r="H999" s="12">
        <f>LOOKUP(414010600,[1]PlanCuentas!$A$2:$A$6092,[1]PlanCuentas!AG$2:AG$6092)</f>
        <v>0</v>
      </c>
      <c r="I999" s="12">
        <f>LOOKUP(414010700,[1]PlanCuentas!$A$2:$A$6092,[1]PlanCuentas!AG$2:AG$6092)</f>
        <v>0</v>
      </c>
      <c r="J999" s="12">
        <f>LOOKUP(414010800,[1]PlanCuentas!$A$2:$A$6092,[1]PlanCuentas!AG$2:AG$6092)</f>
        <v>0</v>
      </c>
      <c r="K999" s="12">
        <f>LOOKUP(414010900,[1]PlanCuentas!$A$2:$A$6092,[1]PlanCuentas!AG$2:AG$6092)</f>
        <v>0</v>
      </c>
      <c r="L999" s="12">
        <f>LOOKUP(414011000,[1]PlanCuentas!$A$2:$A$6092,[1]PlanCuentas!AG$2:AG$6092)</f>
        <v>0</v>
      </c>
      <c r="M999" s="12">
        <f>LOOKUP(414011100,[1]PlanCuentas!$A$2:$A$6092,[1]PlanCuentas!AG$2:AG$6092)</f>
        <v>0</v>
      </c>
      <c r="N999" s="12">
        <f>LOOKUP(414011200,[1]PlanCuentas!$A$2:$A$6092,[1]PlanCuentas!AG$2:AG$6092)</f>
        <v>0</v>
      </c>
      <c r="O999" s="12">
        <f>LOOKUP(414011300,[1]PlanCuentas!$A$2:$A$6092,[1]PlanCuentas!AG$2:AG$6092)</f>
        <v>0</v>
      </c>
      <c r="P999" s="12">
        <f>LOOKUP(414012000,[1]PlanCuentas!$A$2:$A$6092,[1]PlanCuentas!AG$2:AG$6092)</f>
        <v>0</v>
      </c>
      <c r="Q999" s="13">
        <f t="shared" si="50"/>
        <v>0</v>
      </c>
      <c r="R999" s="5"/>
      <c r="S999" s="5"/>
      <c r="T999" s="5"/>
      <c r="U999" s="5"/>
      <c r="V999" s="5"/>
      <c r="W999" s="5"/>
      <c r="X999" s="5"/>
      <c r="Y999" s="5"/>
      <c r="Z999" s="5"/>
    </row>
    <row r="1000" spans="1:26" x14ac:dyDescent="0.2">
      <c r="A1000" s="10">
        <v>32</v>
      </c>
      <c r="B1000" s="11" t="str">
        <f>[1]Aseguradoras!B33</f>
        <v>Panal Compañía De Seguros Generales S.A.</v>
      </c>
      <c r="C1000" s="12">
        <f>LOOKUP(414010100,[1]PlanCuentas!$A$2:$A$6092,[1]PlanCuentas!AH$2:AH$6092)</f>
        <v>0</v>
      </c>
      <c r="D1000" s="12">
        <f>LOOKUP(414010200,[1]PlanCuentas!$A$2:$A$6092,[1]PlanCuentas!AH$2:AH$6092)</f>
        <v>0</v>
      </c>
      <c r="E1000" s="12">
        <f>LOOKUP(414010300,[1]PlanCuentas!$A$2:$A$6092,[1]PlanCuentas!AH$2:AH$6092)</f>
        <v>0</v>
      </c>
      <c r="F1000" s="12">
        <f>LOOKUP(414010400,[1]PlanCuentas!$A$2:$A$6092,[1]PlanCuentas!AH$2:AH$6092)</f>
        <v>0</v>
      </c>
      <c r="G1000" s="12">
        <f>LOOKUP(414010500,[1]PlanCuentas!$A$2:$A$6092,[1]PlanCuentas!AH$2:AH$6092)</f>
        <v>0</v>
      </c>
      <c r="H1000" s="12">
        <f>LOOKUP(414010600,[1]PlanCuentas!$A$2:$A$6092,[1]PlanCuentas!AH$2:AH$6092)</f>
        <v>0</v>
      </c>
      <c r="I1000" s="12">
        <f>LOOKUP(414010700,[1]PlanCuentas!$A$2:$A$6092,[1]PlanCuentas!AH$2:AH$6092)</f>
        <v>0</v>
      </c>
      <c r="J1000" s="12">
        <f>LOOKUP(414010800,[1]PlanCuentas!$A$2:$A$6092,[1]PlanCuentas!AH$2:AH$6092)</f>
        <v>0</v>
      </c>
      <c r="K1000" s="12">
        <f>LOOKUP(414010900,[1]PlanCuentas!$A$2:$A$6092,[1]PlanCuentas!AH$2:AH$6092)</f>
        <v>0</v>
      </c>
      <c r="L1000" s="12">
        <f>LOOKUP(414011000,[1]PlanCuentas!$A$2:$A$6092,[1]PlanCuentas!AH$2:AH$6092)</f>
        <v>0</v>
      </c>
      <c r="M1000" s="12">
        <f>LOOKUP(414011100,[1]PlanCuentas!$A$2:$A$6092,[1]PlanCuentas!AH$2:AH$6092)</f>
        <v>0</v>
      </c>
      <c r="N1000" s="12">
        <f>LOOKUP(414011200,[1]PlanCuentas!$A$2:$A$6092,[1]PlanCuentas!AH$2:AH$6092)</f>
        <v>0</v>
      </c>
      <c r="O1000" s="12">
        <f>LOOKUP(414011300,[1]PlanCuentas!$A$2:$A$6092,[1]PlanCuentas!AH$2:AH$6092)</f>
        <v>0</v>
      </c>
      <c r="P1000" s="12">
        <f>LOOKUP(414012000,[1]PlanCuentas!$A$2:$A$6092,[1]PlanCuentas!AH$2:AH$6092)</f>
        <v>0</v>
      </c>
      <c r="Q1000" s="13">
        <f t="shared" si="50"/>
        <v>0</v>
      </c>
    </row>
    <row r="1001" spans="1:26" x14ac:dyDescent="0.2">
      <c r="A1001" s="14">
        <v>33</v>
      </c>
      <c r="B1001" s="19" t="str">
        <f>[1]Aseguradoras!B34</f>
        <v>Sancor Seguros del Paraguay S.A.</v>
      </c>
      <c r="C1001" s="12">
        <f>LOOKUP(414010100,[1]PlanCuentas!$A$2:$A$6092,[1]PlanCuentas!AI$2:AI$6092)</f>
        <v>0</v>
      </c>
      <c r="D1001" s="12">
        <f>LOOKUP(414010200,[1]PlanCuentas!$A$2:$A$6092,[1]PlanCuentas!AI$2:AI$6092)</f>
        <v>0</v>
      </c>
      <c r="E1001" s="12">
        <f>LOOKUP(414010300,[1]PlanCuentas!$A$2:$A$6092,[1]PlanCuentas!AI$2:AI$6092)</f>
        <v>0</v>
      </c>
      <c r="F1001" s="12">
        <f>LOOKUP(414010400,[1]PlanCuentas!$A$2:$A$6092,[1]PlanCuentas!AI$2:AI$6092)</f>
        <v>0</v>
      </c>
      <c r="G1001" s="12">
        <f>LOOKUP(414010500,[1]PlanCuentas!$A$2:$A$6092,[1]PlanCuentas!AI$2:AI$6092)</f>
        <v>0</v>
      </c>
      <c r="H1001" s="12">
        <f>LOOKUP(414010600,[1]PlanCuentas!$A$2:$A$6092,[1]PlanCuentas!AI$2:AI$6092)</f>
        <v>0</v>
      </c>
      <c r="I1001" s="12">
        <f>LOOKUP(414010700,[1]PlanCuentas!$A$2:$A$6092,[1]PlanCuentas!AI$2:AI$6092)</f>
        <v>0</v>
      </c>
      <c r="J1001" s="12">
        <f>LOOKUP(414010800,[1]PlanCuentas!$A$2:$A$6092,[1]PlanCuentas!AI$2:AI$6092)</f>
        <v>0</v>
      </c>
      <c r="K1001" s="12">
        <f>LOOKUP(414010900,[1]PlanCuentas!$A$2:$A$6092,[1]PlanCuentas!AI$2:AI$6092)</f>
        <v>0</v>
      </c>
      <c r="L1001" s="12">
        <f>LOOKUP(414011000,[1]PlanCuentas!$A$2:$A$6092,[1]PlanCuentas!AI$2:AI$6092)</f>
        <v>0</v>
      </c>
      <c r="M1001" s="12">
        <f>LOOKUP(414011100,[1]PlanCuentas!$A$2:$A$6092,[1]PlanCuentas!AI$2:AI$6092)</f>
        <v>0</v>
      </c>
      <c r="N1001" s="12">
        <f>LOOKUP(414011200,[1]PlanCuentas!$A$2:$A$6092,[1]PlanCuentas!AI$2:AI$6092)</f>
        <v>0</v>
      </c>
      <c r="O1001" s="12">
        <f>LOOKUP(414011300,[1]PlanCuentas!$A$2:$A$6092,[1]PlanCuentas!AI$2:AI$6092)</f>
        <v>0</v>
      </c>
      <c r="P1001" s="12">
        <f>LOOKUP(414012000,[1]PlanCuentas!$A$2:$A$6092,[1]PlanCuentas!AI$2:AI$6092)</f>
        <v>0</v>
      </c>
      <c r="Q1001" s="13">
        <f>SUM(C1001:P1001)</f>
        <v>0</v>
      </c>
    </row>
    <row r="1002" spans="1:26" x14ac:dyDescent="0.2">
      <c r="A1002" s="14"/>
      <c r="B1002" s="15" t="s">
        <v>18</v>
      </c>
      <c r="C1002" s="17">
        <f t="shared" ref="C1002:Q1002" si="51">SUBTOTAL(109,C969:C1001)</f>
        <v>0</v>
      </c>
      <c r="D1002" s="17">
        <f t="shared" si="51"/>
        <v>0</v>
      </c>
      <c r="E1002" s="17">
        <f t="shared" si="51"/>
        <v>0</v>
      </c>
      <c r="F1002" s="17">
        <f t="shared" si="51"/>
        <v>0</v>
      </c>
      <c r="G1002" s="17">
        <f t="shared" si="51"/>
        <v>0</v>
      </c>
      <c r="H1002" s="17">
        <f t="shared" si="51"/>
        <v>0</v>
      </c>
      <c r="I1002" s="17">
        <f t="shared" si="51"/>
        <v>0</v>
      </c>
      <c r="J1002" s="17">
        <f t="shared" si="51"/>
        <v>0</v>
      </c>
      <c r="K1002" s="17">
        <f t="shared" si="51"/>
        <v>0</v>
      </c>
      <c r="L1002" s="17">
        <f t="shared" si="51"/>
        <v>0</v>
      </c>
      <c r="M1002" s="17">
        <f t="shared" si="51"/>
        <v>0</v>
      </c>
      <c r="N1002" s="17">
        <f t="shared" si="51"/>
        <v>0</v>
      </c>
      <c r="O1002" s="17">
        <f t="shared" si="51"/>
        <v>0</v>
      </c>
      <c r="P1002" s="17">
        <f t="shared" si="51"/>
        <v>89999921</v>
      </c>
      <c r="Q1002" s="17">
        <f t="shared" si="51"/>
        <v>89999921</v>
      </c>
    </row>
    <row r="1003" spans="1:26" x14ac:dyDescent="0.2"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</row>
    <row r="1004" spans="1:26" ht="28.35" customHeight="1" x14ac:dyDescent="0.2">
      <c r="A1004" s="1" t="s">
        <v>57</v>
      </c>
      <c r="B1004" s="49" t="s">
        <v>59</v>
      </c>
      <c r="C1004" s="50"/>
      <c r="D1004" s="2"/>
      <c r="E1004" s="30"/>
      <c r="F1004" s="4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</row>
    <row r="1005" spans="1:26" ht="24" x14ac:dyDescent="0.2">
      <c r="A1005" s="7" t="s">
        <v>2</v>
      </c>
      <c r="B1005" s="8" t="s">
        <v>3</v>
      </c>
      <c r="C1005" s="9" t="s">
        <v>4</v>
      </c>
      <c r="D1005" s="9" t="s">
        <v>5</v>
      </c>
      <c r="E1005" s="9" t="s">
        <v>6</v>
      </c>
      <c r="F1005" s="36" t="s">
        <v>7</v>
      </c>
      <c r="G1005" s="9" t="s">
        <v>8</v>
      </c>
      <c r="H1005" s="9" t="s">
        <v>9</v>
      </c>
      <c r="I1005" s="9" t="s">
        <v>10</v>
      </c>
      <c r="J1005" s="9" t="s">
        <v>11</v>
      </c>
      <c r="K1005" s="9" t="s">
        <v>12</v>
      </c>
      <c r="L1005" s="9" t="s">
        <v>13</v>
      </c>
      <c r="M1005" s="9" t="s">
        <v>14</v>
      </c>
      <c r="N1005" s="9" t="s">
        <v>15</v>
      </c>
      <c r="O1005" s="9" t="s">
        <v>16</v>
      </c>
      <c r="P1005" s="8" t="s">
        <v>17</v>
      </c>
      <c r="Q1005" s="8" t="s">
        <v>18</v>
      </c>
    </row>
    <row r="1006" spans="1:26" x14ac:dyDescent="0.2">
      <c r="A1006" s="10">
        <v>1</v>
      </c>
      <c r="B1006" s="11" t="str">
        <f>[1]Aseguradoras!B2</f>
        <v>El Comercio Paraguayo S.A. de Seguros</v>
      </c>
      <c r="C1006" s="12">
        <f>LOOKUP(414020100,[1]PlanCuentas!$A$2:$A$6092,[1]PlanCuentas!C$2:C$6092)</f>
        <v>0</v>
      </c>
      <c r="D1006" s="12">
        <f>LOOKUP(414020200,[1]PlanCuentas!$A$2:$A$6092,[1]PlanCuentas!C$2:C$6092)</f>
        <v>0</v>
      </c>
      <c r="E1006" s="12">
        <f>LOOKUP(414020300,[1]PlanCuentas!$A$2:$A$6092,[1]PlanCuentas!C$2:C$6092)</f>
        <v>0</v>
      </c>
      <c r="F1006" s="12">
        <f>LOOKUP(414020400,[1]PlanCuentas!$A$2:$A$6092,[1]PlanCuentas!C$2:C$6092)</f>
        <v>0</v>
      </c>
      <c r="G1006" s="12">
        <f>LOOKUP(414020500,[1]PlanCuentas!$A$2:$A$6092,[1]PlanCuentas!C$2:C$6092)</f>
        <v>0</v>
      </c>
      <c r="H1006" s="12">
        <f>LOOKUP(414020600,[1]PlanCuentas!$A$2:$A$6092,[1]PlanCuentas!C$2:C$6092)</f>
        <v>0</v>
      </c>
      <c r="I1006" s="12">
        <f>LOOKUP(414020700,[1]PlanCuentas!$A$2:$A$6092,[1]PlanCuentas!C$2:C$6092)</f>
        <v>0</v>
      </c>
      <c r="J1006" s="12">
        <f>LOOKUP(414020800,[1]PlanCuentas!$A$2:$A$6092,[1]PlanCuentas!C$2:C$6092)</f>
        <v>0</v>
      </c>
      <c r="K1006" s="12">
        <f>LOOKUP(414020900,[1]PlanCuentas!$A$2:$A$6092,[1]PlanCuentas!C$2:C$6092)</f>
        <v>0</v>
      </c>
      <c r="L1006" s="12">
        <f>LOOKUP(414021000,[1]PlanCuentas!$A$2:$A$6092,[1]PlanCuentas!C$2:C$6092)</f>
        <v>0</v>
      </c>
      <c r="M1006" s="12">
        <f>LOOKUP(414021100,[1]PlanCuentas!$A$2:$A$6092,[1]PlanCuentas!C$2:C$6092)</f>
        <v>0</v>
      </c>
      <c r="N1006" s="12">
        <f>LOOKUP(414021200,[1]PlanCuentas!$A$2:$A$6092,[1]PlanCuentas!C$2:C$6092)</f>
        <v>0</v>
      </c>
      <c r="O1006" s="12">
        <f>LOOKUP(414021300,[1]PlanCuentas!$A$2:$A$6092,[1]PlanCuentas!C$2:C$6092)</f>
        <v>0</v>
      </c>
      <c r="P1006" s="12">
        <f>LOOKUP(414022000,[1]PlanCuentas!$A$2:$A$6092,[1]PlanCuentas!C$2:C$6092)</f>
        <v>0</v>
      </c>
      <c r="Q1006" s="13">
        <f t="shared" ref="Q1006:Q1037" si="52">SUM(C1006:P1006)</f>
        <v>0</v>
      </c>
    </row>
    <row r="1007" spans="1:26" x14ac:dyDescent="0.2">
      <c r="A1007" s="10">
        <v>2</v>
      </c>
      <c r="B1007" s="11" t="str">
        <f>[1]Aseguradoras!B3</f>
        <v>La Rural S.A de Seguros</v>
      </c>
      <c r="C1007" s="12">
        <f>LOOKUP(414020100,[1]PlanCuentas!$A$2:$A$6092,[1]PlanCuentas!D$2:D$6092)</f>
        <v>0</v>
      </c>
      <c r="D1007" s="12">
        <f>LOOKUP(414020200,[1]PlanCuentas!$A$2:$A$6092,[1]PlanCuentas!D$2:D$6092)</f>
        <v>0</v>
      </c>
      <c r="E1007" s="12">
        <f>LOOKUP(414020300,[1]PlanCuentas!$A$2:$A$6092,[1]PlanCuentas!D$2:D$6092)</f>
        <v>0</v>
      </c>
      <c r="F1007" s="12">
        <f>LOOKUP(414020400,[1]PlanCuentas!$A$2:$A$6092,[1]PlanCuentas!D$2:D$6092)</f>
        <v>0</v>
      </c>
      <c r="G1007" s="12">
        <f>LOOKUP(414020500,[1]PlanCuentas!$A$2:$A$6092,[1]PlanCuentas!D$2:D$6092)</f>
        <v>0</v>
      </c>
      <c r="H1007" s="12">
        <f>LOOKUP(414020600,[1]PlanCuentas!$A$2:$A$6092,[1]PlanCuentas!D$2:D$6092)</f>
        <v>0</v>
      </c>
      <c r="I1007" s="12">
        <f>LOOKUP(414020700,[1]PlanCuentas!$A$2:$A$6092,[1]PlanCuentas!D$2:D$6092)</f>
        <v>0</v>
      </c>
      <c r="J1007" s="12">
        <f>LOOKUP(414020800,[1]PlanCuentas!$A$2:$A$6092,[1]PlanCuentas!D$2:D$6092)</f>
        <v>0</v>
      </c>
      <c r="K1007" s="12">
        <f>LOOKUP(414020900,[1]PlanCuentas!$A$2:$A$6092,[1]PlanCuentas!D$2:D$6092)</f>
        <v>0</v>
      </c>
      <c r="L1007" s="12">
        <f>LOOKUP(414021000,[1]PlanCuentas!$A$2:$A$6092,[1]PlanCuentas!D$2:D$6092)</f>
        <v>0</v>
      </c>
      <c r="M1007" s="12">
        <f>LOOKUP(414021100,[1]PlanCuentas!$A$2:$A$6092,[1]PlanCuentas!D$2:D$6092)</f>
        <v>0</v>
      </c>
      <c r="N1007" s="12">
        <f>LOOKUP(414021200,[1]PlanCuentas!$A$2:$A$6092,[1]PlanCuentas!D$2:D$6092)</f>
        <v>0</v>
      </c>
      <c r="O1007" s="12">
        <f>LOOKUP(414021300,[1]PlanCuentas!$A$2:$A$6092,[1]PlanCuentas!D$2:D$6092)</f>
        <v>0</v>
      </c>
      <c r="P1007" s="12">
        <f>LOOKUP(414022000,[1]PlanCuentas!$A$2:$A$6092,[1]PlanCuentas!D$2:D$6092)</f>
        <v>0</v>
      </c>
      <c r="Q1007" s="13">
        <f t="shared" si="52"/>
        <v>0</v>
      </c>
    </row>
    <row r="1008" spans="1:26" x14ac:dyDescent="0.2">
      <c r="A1008" s="10">
        <v>3</v>
      </c>
      <c r="B1008" s="11" t="str">
        <f>[1]Aseguradoras!B4</f>
        <v>La Paraguaya S.A de Seguros</v>
      </c>
      <c r="C1008" s="12">
        <f>LOOKUP(414020100,[1]PlanCuentas!$A$2:$A$6092,[1]PlanCuentas!E$2:E$6092)</f>
        <v>0</v>
      </c>
      <c r="D1008" s="12">
        <f>LOOKUP(414020200,[1]PlanCuentas!$A$2:$A$6092,[1]PlanCuentas!E$2:E$6092)</f>
        <v>0</v>
      </c>
      <c r="E1008" s="12">
        <f>LOOKUP(414020300,[1]PlanCuentas!$A$2:$A$6092,[1]PlanCuentas!E$2:E$6092)</f>
        <v>0</v>
      </c>
      <c r="F1008" s="12">
        <f>LOOKUP(414020400,[1]PlanCuentas!$A$2:$A$6092,[1]PlanCuentas!E$2:E$6092)</f>
        <v>0</v>
      </c>
      <c r="G1008" s="12">
        <f>LOOKUP(414020500,[1]PlanCuentas!$A$2:$A$6092,[1]PlanCuentas!E$2:E$6092)</f>
        <v>0</v>
      </c>
      <c r="H1008" s="12">
        <f>LOOKUP(414020600,[1]PlanCuentas!$A$2:$A$6092,[1]PlanCuentas!E$2:E$6092)</f>
        <v>0</v>
      </c>
      <c r="I1008" s="12">
        <f>LOOKUP(414020700,[1]PlanCuentas!$A$2:$A$6092,[1]PlanCuentas!E$2:E$6092)</f>
        <v>0</v>
      </c>
      <c r="J1008" s="12">
        <f>LOOKUP(414020800,[1]PlanCuentas!$A$2:$A$6092,[1]PlanCuentas!E$2:E$6092)</f>
        <v>0</v>
      </c>
      <c r="K1008" s="12">
        <f>LOOKUP(414020900,[1]PlanCuentas!$A$2:$A$6092,[1]PlanCuentas!E$2:E$6092)</f>
        <v>0</v>
      </c>
      <c r="L1008" s="12">
        <f>LOOKUP(414021000,[1]PlanCuentas!$A$2:$A$6092,[1]PlanCuentas!E$2:E$6092)</f>
        <v>0</v>
      </c>
      <c r="M1008" s="12">
        <f>LOOKUP(414021100,[1]PlanCuentas!$A$2:$A$6092,[1]PlanCuentas!E$2:E$6092)</f>
        <v>0</v>
      </c>
      <c r="N1008" s="12">
        <f>LOOKUP(414021200,[1]PlanCuentas!$A$2:$A$6092,[1]PlanCuentas!E$2:E$6092)</f>
        <v>0</v>
      </c>
      <c r="O1008" s="12">
        <f>LOOKUP(414021300,[1]PlanCuentas!$A$2:$A$6092,[1]PlanCuentas!E$2:E$6092)</f>
        <v>0</v>
      </c>
      <c r="P1008" s="12">
        <f>LOOKUP(414022000,[1]PlanCuentas!$A$2:$A$6092,[1]PlanCuentas!E$2:E$6092)</f>
        <v>0</v>
      </c>
      <c r="Q1008" s="13">
        <f t="shared" si="52"/>
        <v>0</v>
      </c>
    </row>
    <row r="1009" spans="1:21" x14ac:dyDescent="0.2">
      <c r="A1009" s="10">
        <v>4</v>
      </c>
      <c r="B1009" s="11" t="str">
        <f>[1]Aseguradoras!B5</f>
        <v>Seguros Generales S. A (SEGESA)</v>
      </c>
      <c r="C1009" s="12">
        <f>LOOKUP(414020100,[1]PlanCuentas!$A$2:$A$6092,[1]PlanCuentas!F$2:F$6092)</f>
        <v>0</v>
      </c>
      <c r="D1009" s="12">
        <f>LOOKUP(414020200,[1]PlanCuentas!$A$2:$A$6092,[1]PlanCuentas!F$2:F$6092)</f>
        <v>0</v>
      </c>
      <c r="E1009" s="12">
        <f>LOOKUP(414020300,[1]PlanCuentas!$A$2:$A$6092,[1]PlanCuentas!F$2:F$6092)</f>
        <v>0</v>
      </c>
      <c r="F1009" s="12">
        <f>LOOKUP(414020400,[1]PlanCuentas!$A$2:$A$6092,[1]PlanCuentas!F$2:F$6092)</f>
        <v>0</v>
      </c>
      <c r="G1009" s="12">
        <f>LOOKUP(414020500,[1]PlanCuentas!$A$2:$A$6092,[1]PlanCuentas!F$2:F$6092)</f>
        <v>0</v>
      </c>
      <c r="H1009" s="12">
        <f>LOOKUP(414020600,[1]PlanCuentas!$A$2:$A$6092,[1]PlanCuentas!F$2:F$6092)</f>
        <v>0</v>
      </c>
      <c r="I1009" s="12">
        <f>LOOKUP(414020700,[1]PlanCuentas!$A$2:$A$6092,[1]PlanCuentas!F$2:F$6092)</f>
        <v>0</v>
      </c>
      <c r="J1009" s="12">
        <f>LOOKUP(414020800,[1]PlanCuentas!$A$2:$A$6092,[1]PlanCuentas!F$2:F$6092)</f>
        <v>0</v>
      </c>
      <c r="K1009" s="12">
        <f>LOOKUP(414020900,[1]PlanCuentas!$A$2:$A$6092,[1]PlanCuentas!F$2:F$6092)</f>
        <v>0</v>
      </c>
      <c r="L1009" s="12">
        <f>LOOKUP(414021000,[1]PlanCuentas!$A$2:$A$6092,[1]PlanCuentas!F$2:F$6092)</f>
        <v>0</v>
      </c>
      <c r="M1009" s="12">
        <f>LOOKUP(414021100,[1]PlanCuentas!$A$2:$A$6092,[1]PlanCuentas!F$2:F$6092)</f>
        <v>0</v>
      </c>
      <c r="N1009" s="12">
        <f>LOOKUP(414021200,[1]PlanCuentas!$A$2:$A$6092,[1]PlanCuentas!F$2:F$6092)</f>
        <v>0</v>
      </c>
      <c r="O1009" s="12">
        <f>LOOKUP(414021300,[1]PlanCuentas!$A$2:$A$6092,[1]PlanCuentas!F$2:F$6092)</f>
        <v>0</v>
      </c>
      <c r="P1009" s="12">
        <f>LOOKUP(414022000,[1]PlanCuentas!$A$2:$A$6092,[1]PlanCuentas!F$2:F$6092)</f>
        <v>0</v>
      </c>
      <c r="Q1009" s="13">
        <f t="shared" si="52"/>
        <v>0</v>
      </c>
    </row>
    <row r="1010" spans="1:21" x14ac:dyDescent="0.2">
      <c r="A1010" s="10">
        <v>5</v>
      </c>
      <c r="B1010" s="11" t="str">
        <f>[1]Aseguradoras!B6</f>
        <v>Rumbos S.A de Seguros</v>
      </c>
      <c r="C1010" s="12">
        <f>LOOKUP(414020100,[1]PlanCuentas!$A$2:$A$6092,[1]PlanCuentas!G$2:G$6092)</f>
        <v>0</v>
      </c>
      <c r="D1010" s="12">
        <f>LOOKUP(414020200,[1]PlanCuentas!$A$2:$A$6092,[1]PlanCuentas!G$2:G$6092)</f>
        <v>0</v>
      </c>
      <c r="E1010" s="12">
        <f>LOOKUP(414020300,[1]PlanCuentas!$A$2:$A$6092,[1]PlanCuentas!G$2:G$6092)</f>
        <v>0</v>
      </c>
      <c r="F1010" s="12">
        <f>LOOKUP(414020400,[1]PlanCuentas!$A$2:$A$6092,[1]PlanCuentas!G$2:G$6092)</f>
        <v>0</v>
      </c>
      <c r="G1010" s="12">
        <f>LOOKUP(414020500,[1]PlanCuentas!$A$2:$A$6092,[1]PlanCuentas!G$2:G$6092)</f>
        <v>0</v>
      </c>
      <c r="H1010" s="12">
        <f>LOOKUP(414020600,[1]PlanCuentas!$A$2:$A$6092,[1]PlanCuentas!G$2:G$6092)</f>
        <v>0</v>
      </c>
      <c r="I1010" s="12">
        <f>LOOKUP(414020700,[1]PlanCuentas!$A$2:$A$6092,[1]PlanCuentas!G$2:G$6092)</f>
        <v>0</v>
      </c>
      <c r="J1010" s="12">
        <f>LOOKUP(414020800,[1]PlanCuentas!$A$2:$A$6092,[1]PlanCuentas!G$2:G$6092)</f>
        <v>0</v>
      </c>
      <c r="K1010" s="12">
        <f>LOOKUP(414020900,[1]PlanCuentas!$A$2:$A$6092,[1]PlanCuentas!G$2:G$6092)</f>
        <v>0</v>
      </c>
      <c r="L1010" s="12">
        <f>LOOKUP(414021000,[1]PlanCuentas!$A$2:$A$6092,[1]PlanCuentas!G$2:G$6092)</f>
        <v>0</v>
      </c>
      <c r="M1010" s="12">
        <f>LOOKUP(414021100,[1]PlanCuentas!$A$2:$A$6092,[1]PlanCuentas!G$2:G$6092)</f>
        <v>0</v>
      </c>
      <c r="N1010" s="12">
        <f>LOOKUP(414021200,[1]PlanCuentas!$A$2:$A$6092,[1]PlanCuentas!G$2:G$6092)</f>
        <v>0</v>
      </c>
      <c r="O1010" s="12">
        <f>LOOKUP(414021300,[1]PlanCuentas!$A$2:$A$6092,[1]PlanCuentas!G$2:G$6092)</f>
        <v>0</v>
      </c>
      <c r="P1010" s="12">
        <f>LOOKUP(414022000,[1]PlanCuentas!$A$2:$A$6092,[1]PlanCuentas!G$2:G$6092)</f>
        <v>0</v>
      </c>
      <c r="Q1010" s="13">
        <f t="shared" si="52"/>
        <v>0</v>
      </c>
    </row>
    <row r="1011" spans="1:21" x14ac:dyDescent="0.2">
      <c r="A1011" s="10">
        <v>6</v>
      </c>
      <c r="B1011" s="11" t="str">
        <f>[1]Aseguradoras!B7</f>
        <v>La Consolidada S.A de Seguros</v>
      </c>
      <c r="C1011" s="12">
        <f>LOOKUP(414020100,[1]PlanCuentas!$A$2:$A$6092,[1]PlanCuentas!H$2:H$6092)</f>
        <v>0</v>
      </c>
      <c r="D1011" s="12">
        <f>LOOKUP(414020200,[1]PlanCuentas!$A$2:$A$6092,[1]PlanCuentas!H$2:H$6092)</f>
        <v>0</v>
      </c>
      <c r="E1011" s="12">
        <f>LOOKUP(414020300,[1]PlanCuentas!$A$2:$A$6092,[1]PlanCuentas!H$2:H$6092)</f>
        <v>0</v>
      </c>
      <c r="F1011" s="12">
        <f>LOOKUP(414020400,[1]PlanCuentas!$A$2:$A$6092,[1]PlanCuentas!H$2:H$6092)</f>
        <v>0</v>
      </c>
      <c r="G1011" s="12">
        <f>LOOKUP(414020500,[1]PlanCuentas!$A$2:$A$6092,[1]PlanCuentas!H$2:H$6092)</f>
        <v>0</v>
      </c>
      <c r="H1011" s="12">
        <f>LOOKUP(414020600,[1]PlanCuentas!$A$2:$A$6092,[1]PlanCuentas!H$2:H$6092)</f>
        <v>0</v>
      </c>
      <c r="I1011" s="12">
        <f>LOOKUP(414020700,[1]PlanCuentas!$A$2:$A$6092,[1]PlanCuentas!H$2:H$6092)</f>
        <v>0</v>
      </c>
      <c r="J1011" s="12">
        <f>LOOKUP(414020800,[1]PlanCuentas!$A$2:$A$6092,[1]PlanCuentas!H$2:H$6092)</f>
        <v>0</v>
      </c>
      <c r="K1011" s="12">
        <f>LOOKUP(414020900,[1]PlanCuentas!$A$2:$A$6092,[1]PlanCuentas!H$2:H$6092)</f>
        <v>0</v>
      </c>
      <c r="L1011" s="12">
        <f>LOOKUP(414021000,[1]PlanCuentas!$A$2:$A$6092,[1]PlanCuentas!H$2:H$6092)</f>
        <v>0</v>
      </c>
      <c r="M1011" s="12">
        <f>LOOKUP(414021100,[1]PlanCuentas!$A$2:$A$6092,[1]PlanCuentas!H$2:H$6092)</f>
        <v>0</v>
      </c>
      <c r="N1011" s="12">
        <f>LOOKUP(414021200,[1]PlanCuentas!$A$2:$A$6092,[1]PlanCuentas!H$2:H$6092)</f>
        <v>0</v>
      </c>
      <c r="O1011" s="12">
        <f>LOOKUP(414021300,[1]PlanCuentas!$A$2:$A$6092,[1]PlanCuentas!H$2:H$6092)</f>
        <v>0</v>
      </c>
      <c r="P1011" s="12">
        <f>LOOKUP(414022000,[1]PlanCuentas!$A$2:$A$6092,[1]PlanCuentas!H$2:H$6092)</f>
        <v>0</v>
      </c>
      <c r="Q1011" s="13">
        <f t="shared" si="52"/>
        <v>0</v>
      </c>
    </row>
    <row r="1012" spans="1:21" x14ac:dyDescent="0.2">
      <c r="A1012" s="10">
        <v>7</v>
      </c>
      <c r="B1012" s="11" t="str">
        <f>[1]Aseguradoras!B8</f>
        <v>El Productor S.A de Seguros y Reaseguros</v>
      </c>
      <c r="C1012" s="12">
        <f>LOOKUP(414020100,[1]PlanCuentas!$A$2:$A$6092,[1]PlanCuentas!I$2:I$6092)</f>
        <v>0</v>
      </c>
      <c r="D1012" s="12">
        <f>LOOKUP(414020200,[1]PlanCuentas!$A$2:$A$6092,[1]PlanCuentas!I$2:I$6092)</f>
        <v>0</v>
      </c>
      <c r="E1012" s="12">
        <f>LOOKUP(414020300,[1]PlanCuentas!$A$2:$A$6092,[1]PlanCuentas!I$2:I$6092)</f>
        <v>0</v>
      </c>
      <c r="F1012" s="12">
        <f>LOOKUP(414020400,[1]PlanCuentas!$A$2:$A$6092,[1]PlanCuentas!I$2:I$6092)</f>
        <v>0</v>
      </c>
      <c r="G1012" s="12">
        <f>LOOKUP(414020500,[1]PlanCuentas!$A$2:$A$6092,[1]PlanCuentas!I$2:I$6092)</f>
        <v>0</v>
      </c>
      <c r="H1012" s="12">
        <f>LOOKUP(414020600,[1]PlanCuentas!$A$2:$A$6092,[1]PlanCuentas!I$2:I$6092)</f>
        <v>0</v>
      </c>
      <c r="I1012" s="12">
        <f>LOOKUP(414020700,[1]PlanCuentas!$A$2:$A$6092,[1]PlanCuentas!I$2:I$6092)</f>
        <v>0</v>
      </c>
      <c r="J1012" s="12">
        <f>LOOKUP(414020800,[1]PlanCuentas!$A$2:$A$6092,[1]PlanCuentas!I$2:I$6092)</f>
        <v>0</v>
      </c>
      <c r="K1012" s="12">
        <f>LOOKUP(414020900,[1]PlanCuentas!$A$2:$A$6092,[1]PlanCuentas!I$2:I$6092)</f>
        <v>0</v>
      </c>
      <c r="L1012" s="12">
        <f>LOOKUP(414021000,[1]PlanCuentas!$A$2:$A$6092,[1]PlanCuentas!I$2:I$6092)</f>
        <v>0</v>
      </c>
      <c r="M1012" s="12">
        <f>LOOKUP(414021100,[1]PlanCuentas!$A$2:$A$6092,[1]PlanCuentas!I$2:I$6092)</f>
        <v>0</v>
      </c>
      <c r="N1012" s="12">
        <f>LOOKUP(414021200,[1]PlanCuentas!$A$2:$A$6092,[1]PlanCuentas!I$2:I$6092)</f>
        <v>0</v>
      </c>
      <c r="O1012" s="12">
        <f>LOOKUP(414021300,[1]PlanCuentas!$A$2:$A$6092,[1]PlanCuentas!I$2:I$6092)</f>
        <v>0</v>
      </c>
      <c r="P1012" s="12">
        <f>LOOKUP(414022000,[1]PlanCuentas!$A$2:$A$6092,[1]PlanCuentas!I$2:I$6092)</f>
        <v>0</v>
      </c>
      <c r="Q1012" s="13">
        <f t="shared" si="52"/>
        <v>0</v>
      </c>
    </row>
    <row r="1013" spans="1:21" x14ac:dyDescent="0.2">
      <c r="A1013" s="10">
        <v>8</v>
      </c>
      <c r="B1013" s="11" t="str">
        <f>[1]Aseguradoras!B9</f>
        <v>Atalaya S.A de Seguros Generales</v>
      </c>
      <c r="C1013" s="12">
        <f>LOOKUP(414020100,[1]PlanCuentas!$A$2:$A$6092,[1]PlanCuentas!J$2:J$6092)</f>
        <v>0</v>
      </c>
      <c r="D1013" s="12">
        <f>LOOKUP(414020200,[1]PlanCuentas!$A$2:$A$6092,[1]PlanCuentas!J$2:J$6092)</f>
        <v>0</v>
      </c>
      <c r="E1013" s="12">
        <f>LOOKUP(414020300,[1]PlanCuentas!$A$2:$A$6092,[1]PlanCuentas!J$2:J$6092)</f>
        <v>0</v>
      </c>
      <c r="F1013" s="12">
        <f>LOOKUP(414020400,[1]PlanCuentas!$A$2:$A$6092,[1]PlanCuentas!J$2:J$6092)</f>
        <v>0</v>
      </c>
      <c r="G1013" s="12">
        <f>LOOKUP(414020500,[1]PlanCuentas!$A$2:$A$6092,[1]PlanCuentas!J$2:J$6092)</f>
        <v>0</v>
      </c>
      <c r="H1013" s="12">
        <f>LOOKUP(414020600,[1]PlanCuentas!$A$2:$A$6092,[1]PlanCuentas!J$2:J$6092)</f>
        <v>0</v>
      </c>
      <c r="I1013" s="12">
        <f>LOOKUP(414020700,[1]PlanCuentas!$A$2:$A$6092,[1]PlanCuentas!J$2:J$6092)</f>
        <v>0</v>
      </c>
      <c r="J1013" s="12">
        <f>LOOKUP(414020800,[1]PlanCuentas!$A$2:$A$6092,[1]PlanCuentas!J$2:J$6092)</f>
        <v>0</v>
      </c>
      <c r="K1013" s="12">
        <f>LOOKUP(414020900,[1]PlanCuentas!$A$2:$A$6092,[1]PlanCuentas!J$2:J$6092)</f>
        <v>0</v>
      </c>
      <c r="L1013" s="12">
        <f>LOOKUP(414021000,[1]PlanCuentas!$A$2:$A$6092,[1]PlanCuentas!J$2:J$6092)</f>
        <v>0</v>
      </c>
      <c r="M1013" s="12">
        <f>LOOKUP(414021100,[1]PlanCuentas!$A$2:$A$6092,[1]PlanCuentas!J$2:J$6092)</f>
        <v>0</v>
      </c>
      <c r="N1013" s="12">
        <f>LOOKUP(414021200,[1]PlanCuentas!$A$2:$A$6092,[1]PlanCuentas!J$2:J$6092)</f>
        <v>0</v>
      </c>
      <c r="O1013" s="12">
        <f>LOOKUP(414021300,[1]PlanCuentas!$A$2:$A$6092,[1]PlanCuentas!J$2:J$6092)</f>
        <v>0</v>
      </c>
      <c r="P1013" s="12">
        <f>LOOKUP(414022000,[1]PlanCuentas!$A$2:$A$6092,[1]PlanCuentas!J$2:J$6092)</f>
        <v>0</v>
      </c>
      <c r="Q1013" s="13">
        <f t="shared" si="52"/>
        <v>0</v>
      </c>
    </row>
    <row r="1014" spans="1:21" x14ac:dyDescent="0.2">
      <c r="A1014" s="10">
        <v>9</v>
      </c>
      <c r="B1014" s="11" t="str">
        <f>[1]Aseguradoras!B10</f>
        <v>La Independencia de Seguros S.A.</v>
      </c>
      <c r="C1014" s="12">
        <f>LOOKUP(414020100,[1]PlanCuentas!$A$2:$A$6092,[1]PlanCuentas!K$2:K$6092)</f>
        <v>0</v>
      </c>
      <c r="D1014" s="12">
        <f>LOOKUP(414020200,[1]PlanCuentas!$A$2:$A$6092,[1]PlanCuentas!K$2:K$6092)</f>
        <v>0</v>
      </c>
      <c r="E1014" s="12">
        <f>LOOKUP(414020300,[1]PlanCuentas!$A$2:$A$6092,[1]PlanCuentas!K$2:K$6092)</f>
        <v>0</v>
      </c>
      <c r="F1014" s="12">
        <f>LOOKUP(414020400,[1]PlanCuentas!$A$2:$A$6092,[1]PlanCuentas!K$2:K$6092)</f>
        <v>0</v>
      </c>
      <c r="G1014" s="12">
        <f>LOOKUP(414020500,[1]PlanCuentas!$A$2:$A$6092,[1]PlanCuentas!K$2:K$6092)</f>
        <v>0</v>
      </c>
      <c r="H1014" s="12">
        <f>LOOKUP(414020600,[1]PlanCuentas!$A$2:$A$6092,[1]PlanCuentas!K$2:K$6092)</f>
        <v>0</v>
      </c>
      <c r="I1014" s="12">
        <f>LOOKUP(414020700,[1]PlanCuentas!$A$2:$A$6092,[1]PlanCuentas!K$2:K$6092)</f>
        <v>0</v>
      </c>
      <c r="J1014" s="12">
        <f>LOOKUP(414020800,[1]PlanCuentas!$A$2:$A$6092,[1]PlanCuentas!K$2:K$6092)</f>
        <v>0</v>
      </c>
      <c r="K1014" s="12">
        <f>LOOKUP(414020900,[1]PlanCuentas!$A$2:$A$6092,[1]PlanCuentas!K$2:K$6092)</f>
        <v>0</v>
      </c>
      <c r="L1014" s="12">
        <f>LOOKUP(414021000,[1]PlanCuentas!$A$2:$A$6092,[1]PlanCuentas!K$2:K$6092)</f>
        <v>0</v>
      </c>
      <c r="M1014" s="12">
        <f>LOOKUP(414021100,[1]PlanCuentas!$A$2:$A$6092,[1]PlanCuentas!K$2:K$6092)</f>
        <v>0</v>
      </c>
      <c r="N1014" s="12">
        <f>LOOKUP(414021200,[1]PlanCuentas!$A$2:$A$6092,[1]PlanCuentas!K$2:K$6092)</f>
        <v>0</v>
      </c>
      <c r="O1014" s="12">
        <f>LOOKUP(414021300,[1]PlanCuentas!$A$2:$A$6092,[1]PlanCuentas!K$2:K$6092)</f>
        <v>0</v>
      </c>
      <c r="P1014" s="12">
        <f>LOOKUP(414022000,[1]PlanCuentas!$A$2:$A$6092,[1]PlanCuentas!K$2:K$6092)</f>
        <v>0</v>
      </c>
      <c r="Q1014" s="13">
        <f t="shared" si="52"/>
        <v>0</v>
      </c>
    </row>
    <row r="1015" spans="1:21" x14ac:dyDescent="0.2">
      <c r="A1015" s="10">
        <v>10</v>
      </c>
      <c r="B1015" s="11" t="str">
        <f>[1]Aseguradoras!B11</f>
        <v>Patria S.A de Seguros y Reaseguros</v>
      </c>
      <c r="C1015" s="12">
        <f>LOOKUP(414020100,[1]PlanCuentas!$A$2:$A$6092,[1]PlanCuentas!L$2:L$6092)</f>
        <v>0</v>
      </c>
      <c r="D1015" s="12">
        <f>LOOKUP(414020200,[1]PlanCuentas!$A$2:$A$6092,[1]PlanCuentas!L$2:L$6092)</f>
        <v>0</v>
      </c>
      <c r="E1015" s="12">
        <f>LOOKUP(414020300,[1]PlanCuentas!$A$2:$A$6092,[1]PlanCuentas!L$2:L$6092)</f>
        <v>0</v>
      </c>
      <c r="F1015" s="12">
        <f>LOOKUP(414020400,[1]PlanCuentas!$A$2:$A$6092,[1]PlanCuentas!L$2:L$6092)</f>
        <v>0</v>
      </c>
      <c r="G1015" s="12">
        <f>LOOKUP(414020500,[1]PlanCuentas!$A$2:$A$6092,[1]PlanCuentas!L$2:L$6092)</f>
        <v>0</v>
      </c>
      <c r="H1015" s="12">
        <f>LOOKUP(414020600,[1]PlanCuentas!$A$2:$A$6092,[1]PlanCuentas!L$2:L$6092)</f>
        <v>0</v>
      </c>
      <c r="I1015" s="12">
        <f>LOOKUP(414020700,[1]PlanCuentas!$A$2:$A$6092,[1]PlanCuentas!L$2:L$6092)</f>
        <v>0</v>
      </c>
      <c r="J1015" s="12">
        <f>LOOKUP(414020800,[1]PlanCuentas!$A$2:$A$6092,[1]PlanCuentas!L$2:L$6092)</f>
        <v>0</v>
      </c>
      <c r="K1015" s="12">
        <f>LOOKUP(414020900,[1]PlanCuentas!$A$2:$A$6092,[1]PlanCuentas!L$2:L$6092)</f>
        <v>0</v>
      </c>
      <c r="L1015" s="12">
        <f>LOOKUP(414021000,[1]PlanCuentas!$A$2:$A$6092,[1]PlanCuentas!L$2:L$6092)</f>
        <v>0</v>
      </c>
      <c r="M1015" s="12">
        <f>LOOKUP(414021100,[1]PlanCuentas!$A$2:$A$6092,[1]PlanCuentas!L$2:L$6092)</f>
        <v>0</v>
      </c>
      <c r="N1015" s="12">
        <f>LOOKUP(414021200,[1]PlanCuentas!$A$2:$A$6092,[1]PlanCuentas!L$2:L$6092)</f>
        <v>0</v>
      </c>
      <c r="O1015" s="12">
        <f>LOOKUP(414021300,[1]PlanCuentas!$A$2:$A$6092,[1]PlanCuentas!L$2:L$6092)</f>
        <v>0</v>
      </c>
      <c r="P1015" s="12">
        <f>LOOKUP(414022000,[1]PlanCuentas!$A$2:$A$6092,[1]PlanCuentas!L$2:L$6092)</f>
        <v>0</v>
      </c>
      <c r="Q1015" s="13">
        <f t="shared" si="52"/>
        <v>0</v>
      </c>
    </row>
    <row r="1016" spans="1:21" x14ac:dyDescent="0.2">
      <c r="A1016" s="10">
        <v>11</v>
      </c>
      <c r="B1016" s="11" t="str">
        <f>[1]Aseguradoras!B12</f>
        <v>Garantía S.A de Seguros y Reaseguros</v>
      </c>
      <c r="C1016" s="12">
        <f>LOOKUP(414020100,[1]PlanCuentas!$A$2:$A$6092,[1]PlanCuentas!M$2:M$6092)</f>
        <v>0</v>
      </c>
      <c r="D1016" s="12">
        <f>LOOKUP(414020200,[1]PlanCuentas!$A$2:$A$6092,[1]PlanCuentas!M$2:M$6092)</f>
        <v>0</v>
      </c>
      <c r="E1016" s="12">
        <f>LOOKUP(414020300,[1]PlanCuentas!$A$2:$A$6092,[1]PlanCuentas!M$2:M$6092)</f>
        <v>0</v>
      </c>
      <c r="F1016" s="12">
        <f>LOOKUP(414020400,[1]PlanCuentas!$A$2:$A$6092,[1]PlanCuentas!M$2:M$6092)</f>
        <v>0</v>
      </c>
      <c r="G1016" s="12">
        <f>LOOKUP(414020500,[1]PlanCuentas!$A$2:$A$6092,[1]PlanCuentas!M$2:M$6092)</f>
        <v>0</v>
      </c>
      <c r="H1016" s="12">
        <f>LOOKUP(414020600,[1]PlanCuentas!$A$2:$A$6092,[1]PlanCuentas!M$2:M$6092)</f>
        <v>0</v>
      </c>
      <c r="I1016" s="12">
        <f>LOOKUP(414020700,[1]PlanCuentas!$A$2:$A$6092,[1]PlanCuentas!M$2:M$6092)</f>
        <v>0</v>
      </c>
      <c r="J1016" s="12">
        <f>LOOKUP(414020800,[1]PlanCuentas!$A$2:$A$6092,[1]PlanCuentas!M$2:M$6092)</f>
        <v>0</v>
      </c>
      <c r="K1016" s="12">
        <f>LOOKUP(414020900,[1]PlanCuentas!$A$2:$A$6092,[1]PlanCuentas!M$2:M$6092)</f>
        <v>0</v>
      </c>
      <c r="L1016" s="12">
        <f>LOOKUP(414021000,[1]PlanCuentas!$A$2:$A$6092,[1]PlanCuentas!M$2:M$6092)</f>
        <v>0</v>
      </c>
      <c r="M1016" s="12">
        <f>LOOKUP(414021100,[1]PlanCuentas!$A$2:$A$6092,[1]PlanCuentas!M$2:M$6092)</f>
        <v>0</v>
      </c>
      <c r="N1016" s="12">
        <f>LOOKUP(414021200,[1]PlanCuentas!$A$2:$A$6092,[1]PlanCuentas!M$2:M$6092)</f>
        <v>0</v>
      </c>
      <c r="O1016" s="12">
        <f>LOOKUP(414021300,[1]PlanCuentas!$A$2:$A$6092,[1]PlanCuentas!M$2:M$6092)</f>
        <v>0</v>
      </c>
      <c r="P1016" s="12">
        <f>LOOKUP(414022000,[1]PlanCuentas!$A$2:$A$6092,[1]PlanCuentas!M$2:M$6092)</f>
        <v>0</v>
      </c>
      <c r="Q1016" s="13">
        <f t="shared" si="52"/>
        <v>0</v>
      </c>
    </row>
    <row r="1017" spans="1:21" x14ac:dyDescent="0.2">
      <c r="A1017" s="10">
        <v>12</v>
      </c>
      <c r="B1017" s="11" t="str">
        <f>[1]Aseguradoras!B13</f>
        <v>Aseguradora Paraguaya S.A.</v>
      </c>
      <c r="C1017" s="12">
        <f>LOOKUP(414020100,[1]PlanCuentas!$A$2:$A$6092,[1]PlanCuentas!N$2:N$6092)</f>
        <v>0</v>
      </c>
      <c r="D1017" s="12">
        <f>LOOKUP(414020200,[1]PlanCuentas!$A$2:$A$6092,[1]PlanCuentas!N$2:N$6092)</f>
        <v>0</v>
      </c>
      <c r="E1017" s="12">
        <f>LOOKUP(414020300,[1]PlanCuentas!$A$2:$A$6092,[1]PlanCuentas!N$2:N$6092)</f>
        <v>0</v>
      </c>
      <c r="F1017" s="12">
        <f>LOOKUP(414020400,[1]PlanCuentas!$A$2:$A$6092,[1]PlanCuentas!N$2:N$6092)</f>
        <v>0</v>
      </c>
      <c r="G1017" s="12">
        <f>LOOKUP(414020500,[1]PlanCuentas!$A$2:$A$6092,[1]PlanCuentas!N$2:N$6092)</f>
        <v>0</v>
      </c>
      <c r="H1017" s="12">
        <f>LOOKUP(414020600,[1]PlanCuentas!$A$2:$A$6092,[1]PlanCuentas!N$2:N$6092)</f>
        <v>0</v>
      </c>
      <c r="I1017" s="12">
        <f>LOOKUP(414020700,[1]PlanCuentas!$A$2:$A$6092,[1]PlanCuentas!N$2:N$6092)</f>
        <v>0</v>
      </c>
      <c r="J1017" s="12">
        <f>LOOKUP(414020800,[1]PlanCuentas!$A$2:$A$6092,[1]PlanCuentas!N$2:N$6092)</f>
        <v>0</v>
      </c>
      <c r="K1017" s="12">
        <f>LOOKUP(414020900,[1]PlanCuentas!$A$2:$A$6092,[1]PlanCuentas!N$2:N$6092)</f>
        <v>0</v>
      </c>
      <c r="L1017" s="12">
        <f>LOOKUP(414021000,[1]PlanCuentas!$A$2:$A$6092,[1]PlanCuentas!N$2:N$6092)</f>
        <v>0</v>
      </c>
      <c r="M1017" s="12">
        <f>LOOKUP(414021100,[1]PlanCuentas!$A$2:$A$6092,[1]PlanCuentas!N$2:N$6092)</f>
        <v>0</v>
      </c>
      <c r="N1017" s="12">
        <f>LOOKUP(414021200,[1]PlanCuentas!$A$2:$A$6092,[1]PlanCuentas!N$2:N$6092)</f>
        <v>0</v>
      </c>
      <c r="O1017" s="12">
        <f>LOOKUP(414021300,[1]PlanCuentas!$A$2:$A$6092,[1]PlanCuentas!N$2:N$6092)</f>
        <v>0</v>
      </c>
      <c r="P1017" s="12">
        <f>LOOKUP(414022000,[1]PlanCuentas!$A$2:$A$6092,[1]PlanCuentas!N$2:N$6092)</f>
        <v>0</v>
      </c>
      <c r="Q1017" s="13">
        <f t="shared" si="52"/>
        <v>0</v>
      </c>
    </row>
    <row r="1018" spans="1:21" x14ac:dyDescent="0.2">
      <c r="A1018" s="10">
        <v>13</v>
      </c>
      <c r="B1018" s="11" t="str">
        <f>[1]Aseguradoras!B14</f>
        <v>Fénix S.A de Seguros y Reaseguros</v>
      </c>
      <c r="C1018" s="12">
        <f>LOOKUP(414020100,[1]PlanCuentas!$A$2:$A$6092,[1]PlanCuentas!O$2:O$6092)</f>
        <v>0</v>
      </c>
      <c r="D1018" s="12">
        <f>LOOKUP(414020200,[1]PlanCuentas!$A$2:$A$6092,[1]PlanCuentas!O$2:O$6092)</f>
        <v>0</v>
      </c>
      <c r="E1018" s="12">
        <f>LOOKUP(414020300,[1]PlanCuentas!$A$2:$A$6092,[1]PlanCuentas!O$2:O$6092)</f>
        <v>0</v>
      </c>
      <c r="F1018" s="12">
        <f>LOOKUP(414020400,[1]PlanCuentas!$A$2:$A$6092,[1]PlanCuentas!O$2:O$6092)</f>
        <v>0</v>
      </c>
      <c r="G1018" s="12">
        <f>LOOKUP(414020500,[1]PlanCuentas!$A$2:$A$6092,[1]PlanCuentas!O$2:O$6092)</f>
        <v>0</v>
      </c>
      <c r="H1018" s="12">
        <f>LOOKUP(414020600,[1]PlanCuentas!$A$2:$A$6092,[1]PlanCuentas!O$2:O$6092)</f>
        <v>0</v>
      </c>
      <c r="I1018" s="12">
        <f>LOOKUP(414020700,[1]PlanCuentas!$A$2:$A$6092,[1]PlanCuentas!O$2:O$6092)</f>
        <v>0</v>
      </c>
      <c r="J1018" s="12">
        <f>LOOKUP(414020800,[1]PlanCuentas!$A$2:$A$6092,[1]PlanCuentas!O$2:O$6092)</f>
        <v>0</v>
      </c>
      <c r="K1018" s="12">
        <f>LOOKUP(414020900,[1]PlanCuentas!$A$2:$A$6092,[1]PlanCuentas!O$2:O$6092)</f>
        <v>0</v>
      </c>
      <c r="L1018" s="12">
        <f>LOOKUP(414021000,[1]PlanCuentas!$A$2:$A$6092,[1]PlanCuentas!O$2:O$6092)</f>
        <v>0</v>
      </c>
      <c r="M1018" s="12">
        <f>LOOKUP(414021100,[1]PlanCuentas!$A$2:$A$6092,[1]PlanCuentas!O$2:O$6092)</f>
        <v>0</v>
      </c>
      <c r="N1018" s="12">
        <f>LOOKUP(414021200,[1]PlanCuentas!$A$2:$A$6092,[1]PlanCuentas!O$2:O$6092)</f>
        <v>0</v>
      </c>
      <c r="O1018" s="12">
        <f>LOOKUP(414021300,[1]PlanCuentas!$A$2:$A$6092,[1]PlanCuentas!O$2:O$6092)</f>
        <v>0</v>
      </c>
      <c r="P1018" s="12">
        <f>LOOKUP(414022000,[1]PlanCuentas!$A$2:$A$6092,[1]PlanCuentas!O$2:O$6092)</f>
        <v>0</v>
      </c>
      <c r="Q1018" s="13">
        <f t="shared" si="52"/>
        <v>0</v>
      </c>
      <c r="R1018" s="5"/>
      <c r="S1018" s="5"/>
      <c r="T1018" s="5"/>
      <c r="U1018" s="5"/>
    </row>
    <row r="1019" spans="1:21" x14ac:dyDescent="0.2">
      <c r="A1019" s="10">
        <v>14</v>
      </c>
      <c r="B1019" s="11" t="str">
        <f>[1]Aseguradoras!B15</f>
        <v>Central S.A de Seguros</v>
      </c>
      <c r="C1019" s="12">
        <f>LOOKUP(414020100,[1]PlanCuentas!$A$2:$A$6092,[1]PlanCuentas!P$2:P$6092)</f>
        <v>0</v>
      </c>
      <c r="D1019" s="12">
        <f>LOOKUP(414020200,[1]PlanCuentas!$A$2:$A$6092,[1]PlanCuentas!P$2:P$6092)</f>
        <v>0</v>
      </c>
      <c r="E1019" s="12">
        <f>LOOKUP(414020300,[1]PlanCuentas!$A$2:$A$6092,[1]PlanCuentas!P$2:P$6092)</f>
        <v>0</v>
      </c>
      <c r="F1019" s="12">
        <f>LOOKUP(414020400,[1]PlanCuentas!$A$2:$A$6092,[1]PlanCuentas!P$2:P$6092)</f>
        <v>0</v>
      </c>
      <c r="G1019" s="12">
        <f>LOOKUP(414020500,[1]PlanCuentas!$A$2:$A$6092,[1]PlanCuentas!P$2:P$6092)</f>
        <v>0</v>
      </c>
      <c r="H1019" s="12">
        <f>LOOKUP(414020600,[1]PlanCuentas!$A$2:$A$6092,[1]PlanCuentas!P$2:P$6092)</f>
        <v>0</v>
      </c>
      <c r="I1019" s="12">
        <f>LOOKUP(414020700,[1]PlanCuentas!$A$2:$A$6092,[1]PlanCuentas!P$2:P$6092)</f>
        <v>0</v>
      </c>
      <c r="J1019" s="12">
        <f>LOOKUP(414020800,[1]PlanCuentas!$A$2:$A$6092,[1]PlanCuentas!P$2:P$6092)</f>
        <v>0</v>
      </c>
      <c r="K1019" s="12">
        <f>LOOKUP(414020900,[1]PlanCuentas!$A$2:$A$6092,[1]PlanCuentas!P$2:P$6092)</f>
        <v>0</v>
      </c>
      <c r="L1019" s="12">
        <f>LOOKUP(414021000,[1]PlanCuentas!$A$2:$A$6092,[1]PlanCuentas!P$2:P$6092)</f>
        <v>0</v>
      </c>
      <c r="M1019" s="12">
        <f>LOOKUP(414021100,[1]PlanCuentas!$A$2:$A$6092,[1]PlanCuentas!P$2:P$6092)</f>
        <v>0</v>
      </c>
      <c r="N1019" s="12">
        <f>LOOKUP(414021200,[1]PlanCuentas!$A$2:$A$6092,[1]PlanCuentas!P$2:P$6092)</f>
        <v>0</v>
      </c>
      <c r="O1019" s="12">
        <f>LOOKUP(414021300,[1]PlanCuentas!$A$2:$A$6092,[1]PlanCuentas!P$2:P$6092)</f>
        <v>0</v>
      </c>
      <c r="P1019" s="12">
        <f>LOOKUP(414022000,[1]PlanCuentas!$A$2:$A$6092,[1]PlanCuentas!P$2:P$6092)</f>
        <v>0</v>
      </c>
      <c r="Q1019" s="13">
        <f t="shared" si="52"/>
        <v>0</v>
      </c>
    </row>
    <row r="1020" spans="1:21" x14ac:dyDescent="0.2">
      <c r="A1020" s="10">
        <v>15</v>
      </c>
      <c r="B1020" s="11" t="str">
        <f>[1]Aseguradoras!B16</f>
        <v>Seguros Chaco S.A de Seguros y Reaseguros</v>
      </c>
      <c r="C1020" s="12">
        <f>LOOKUP(414020100,[1]PlanCuentas!$A$2:$A$6092,[1]PlanCuentas!Q$2:Q$6092)</f>
        <v>0</v>
      </c>
      <c r="D1020" s="12">
        <f>LOOKUP(414020200,[1]PlanCuentas!$A$2:$A$6092,[1]PlanCuentas!Q$2:Q$6092)</f>
        <v>0</v>
      </c>
      <c r="E1020" s="12">
        <f>LOOKUP(414020300,[1]PlanCuentas!$A$2:$A$6092,[1]PlanCuentas!Q$2:Q$6092)</f>
        <v>0</v>
      </c>
      <c r="F1020" s="12">
        <f>LOOKUP(414020400,[1]PlanCuentas!$A$2:$A$6092,[1]PlanCuentas!Q$2:Q$6092)</f>
        <v>0</v>
      </c>
      <c r="G1020" s="12">
        <f>LOOKUP(414020500,[1]PlanCuentas!$A$2:$A$6092,[1]PlanCuentas!Q$2:Q$6092)</f>
        <v>0</v>
      </c>
      <c r="H1020" s="12">
        <f>LOOKUP(414020600,[1]PlanCuentas!$A$2:$A$6092,[1]PlanCuentas!Q$2:Q$6092)</f>
        <v>0</v>
      </c>
      <c r="I1020" s="12">
        <f>LOOKUP(414020700,[1]PlanCuentas!$A$2:$A$6092,[1]PlanCuentas!Q$2:Q$6092)</f>
        <v>0</v>
      </c>
      <c r="J1020" s="12">
        <f>LOOKUP(414020800,[1]PlanCuentas!$A$2:$A$6092,[1]PlanCuentas!Q$2:Q$6092)</f>
        <v>0</v>
      </c>
      <c r="K1020" s="12">
        <f>LOOKUP(414020900,[1]PlanCuentas!$A$2:$A$6092,[1]PlanCuentas!Q$2:Q$6092)</f>
        <v>0</v>
      </c>
      <c r="L1020" s="12">
        <f>LOOKUP(414021000,[1]PlanCuentas!$A$2:$A$6092,[1]PlanCuentas!Q$2:Q$6092)</f>
        <v>0</v>
      </c>
      <c r="M1020" s="12">
        <f>LOOKUP(414021100,[1]PlanCuentas!$A$2:$A$6092,[1]PlanCuentas!Q$2:Q$6092)</f>
        <v>0</v>
      </c>
      <c r="N1020" s="12">
        <f>LOOKUP(414021200,[1]PlanCuentas!$A$2:$A$6092,[1]PlanCuentas!Q$2:Q$6092)</f>
        <v>0</v>
      </c>
      <c r="O1020" s="12">
        <f>LOOKUP(414021300,[1]PlanCuentas!$A$2:$A$6092,[1]PlanCuentas!Q$2:Q$6092)</f>
        <v>0</v>
      </c>
      <c r="P1020" s="12">
        <f>LOOKUP(414022000,[1]PlanCuentas!$A$2:$A$6092,[1]PlanCuentas!Q$2:Q$6092)</f>
        <v>0</v>
      </c>
      <c r="Q1020" s="13">
        <f t="shared" si="52"/>
        <v>0</v>
      </c>
    </row>
    <row r="1021" spans="1:21" x14ac:dyDescent="0.2">
      <c r="A1021" s="10">
        <v>16</v>
      </c>
      <c r="B1021" s="11" t="str">
        <f>[1]Aseguradoras!B17</f>
        <v>El Sol Del Paraguay Compañía de Seguros y Reaseguros S.A.</v>
      </c>
      <c r="C1021" s="12">
        <f>LOOKUP(414020100,[1]PlanCuentas!$A$2:$A$6092,[1]PlanCuentas!R$2:R$6092)</f>
        <v>0</v>
      </c>
      <c r="D1021" s="12">
        <f>LOOKUP(414020200,[1]PlanCuentas!$A$2:$A$6092,[1]PlanCuentas!R$2:R$6092)</f>
        <v>0</v>
      </c>
      <c r="E1021" s="12">
        <f>LOOKUP(414020300,[1]PlanCuentas!$A$2:$A$6092,[1]PlanCuentas!R$2:R$6092)</f>
        <v>0</v>
      </c>
      <c r="F1021" s="12">
        <f>LOOKUP(414020400,[1]PlanCuentas!$A$2:$A$6092,[1]PlanCuentas!R$2:R$6092)</f>
        <v>0</v>
      </c>
      <c r="G1021" s="12">
        <f>LOOKUP(414020500,[1]PlanCuentas!$A$2:$A$6092,[1]PlanCuentas!R$2:R$6092)</f>
        <v>0</v>
      </c>
      <c r="H1021" s="12">
        <f>LOOKUP(414020600,[1]PlanCuentas!$A$2:$A$6092,[1]PlanCuentas!R$2:R$6092)</f>
        <v>0</v>
      </c>
      <c r="I1021" s="12">
        <f>LOOKUP(414020700,[1]PlanCuentas!$A$2:$A$6092,[1]PlanCuentas!R$2:R$6092)</f>
        <v>0</v>
      </c>
      <c r="J1021" s="12">
        <f>LOOKUP(414020800,[1]PlanCuentas!$A$2:$A$6092,[1]PlanCuentas!R$2:R$6092)</f>
        <v>0</v>
      </c>
      <c r="K1021" s="12">
        <f>LOOKUP(414020900,[1]PlanCuentas!$A$2:$A$6092,[1]PlanCuentas!R$2:R$6092)</f>
        <v>0</v>
      </c>
      <c r="L1021" s="12">
        <f>LOOKUP(414021000,[1]PlanCuentas!$A$2:$A$6092,[1]PlanCuentas!R$2:R$6092)</f>
        <v>0</v>
      </c>
      <c r="M1021" s="12">
        <f>LOOKUP(414021100,[1]PlanCuentas!$A$2:$A$6092,[1]PlanCuentas!R$2:R$6092)</f>
        <v>0</v>
      </c>
      <c r="N1021" s="12">
        <f>LOOKUP(414021200,[1]PlanCuentas!$A$2:$A$6092,[1]PlanCuentas!R$2:R$6092)</f>
        <v>0</v>
      </c>
      <c r="O1021" s="12">
        <f>LOOKUP(414021300,[1]PlanCuentas!$A$2:$A$6092,[1]PlanCuentas!R$2:R$6092)</f>
        <v>0</v>
      </c>
      <c r="P1021" s="12">
        <f>LOOKUP(414022000,[1]PlanCuentas!$A$2:$A$6092,[1]PlanCuentas!R$2:R$6092)</f>
        <v>0</v>
      </c>
      <c r="Q1021" s="13">
        <f t="shared" si="52"/>
        <v>0</v>
      </c>
    </row>
    <row r="1022" spans="1:21" x14ac:dyDescent="0.2">
      <c r="A1022" s="10">
        <v>17</v>
      </c>
      <c r="B1022" s="11" t="str">
        <f>[1]Aseguradoras!B18</f>
        <v>Intercontinental de Seguros y Reaseguros S.A.</v>
      </c>
      <c r="C1022" s="12">
        <f>LOOKUP(414020100,[1]PlanCuentas!$A$2:$A$6092,[1]PlanCuentas!S$2:S$6092)</f>
        <v>0</v>
      </c>
      <c r="D1022" s="12">
        <f>LOOKUP(414020200,[1]PlanCuentas!$A$2:$A$6092,[1]PlanCuentas!S$2:S$6092)</f>
        <v>0</v>
      </c>
      <c r="E1022" s="12">
        <f>LOOKUP(414020300,[1]PlanCuentas!$A$2:$A$6092,[1]PlanCuentas!S$2:S$6092)</f>
        <v>0</v>
      </c>
      <c r="F1022" s="12">
        <f>LOOKUP(414020400,[1]PlanCuentas!$A$2:$A$6092,[1]PlanCuentas!S$2:S$6092)</f>
        <v>0</v>
      </c>
      <c r="G1022" s="12">
        <f>LOOKUP(414020500,[1]PlanCuentas!$A$2:$A$6092,[1]PlanCuentas!S$2:S$6092)</f>
        <v>0</v>
      </c>
      <c r="H1022" s="12">
        <f>LOOKUP(414020600,[1]PlanCuentas!$A$2:$A$6092,[1]PlanCuentas!S$2:S$6092)</f>
        <v>0</v>
      </c>
      <c r="I1022" s="12">
        <f>LOOKUP(414020700,[1]PlanCuentas!$A$2:$A$6092,[1]PlanCuentas!S$2:S$6092)</f>
        <v>0</v>
      </c>
      <c r="J1022" s="12">
        <f>LOOKUP(414020800,[1]PlanCuentas!$A$2:$A$6092,[1]PlanCuentas!S$2:S$6092)</f>
        <v>0</v>
      </c>
      <c r="K1022" s="12">
        <f>LOOKUP(414020900,[1]PlanCuentas!$A$2:$A$6092,[1]PlanCuentas!S$2:S$6092)</f>
        <v>0</v>
      </c>
      <c r="L1022" s="12">
        <f>LOOKUP(414021000,[1]PlanCuentas!$A$2:$A$6092,[1]PlanCuentas!S$2:S$6092)</f>
        <v>0</v>
      </c>
      <c r="M1022" s="12">
        <f>LOOKUP(414021100,[1]PlanCuentas!$A$2:$A$6092,[1]PlanCuentas!S$2:S$6092)</f>
        <v>0</v>
      </c>
      <c r="N1022" s="12">
        <f>LOOKUP(414021200,[1]PlanCuentas!$A$2:$A$6092,[1]PlanCuentas!S$2:S$6092)</f>
        <v>0</v>
      </c>
      <c r="O1022" s="12">
        <f>LOOKUP(414021300,[1]PlanCuentas!$A$2:$A$6092,[1]PlanCuentas!S$2:S$6092)</f>
        <v>0</v>
      </c>
      <c r="P1022" s="12">
        <f>LOOKUP(414022000,[1]PlanCuentas!$A$2:$A$6092,[1]PlanCuentas!S$2:S$6092)</f>
        <v>0</v>
      </c>
      <c r="Q1022" s="13">
        <f t="shared" si="52"/>
        <v>0</v>
      </c>
    </row>
    <row r="1023" spans="1:21" x14ac:dyDescent="0.2">
      <c r="A1023" s="10">
        <v>18</v>
      </c>
      <c r="B1023" s="11" t="str">
        <f>[1]Aseguradoras!B19</f>
        <v>Seguridad S.A Compañía de Seguros</v>
      </c>
      <c r="C1023" s="12">
        <f>LOOKUP(414020100,[1]PlanCuentas!$A$2:$A$6092,[1]PlanCuentas!T$2:T$6092)</f>
        <v>0</v>
      </c>
      <c r="D1023" s="12">
        <f>LOOKUP(414020200,[1]PlanCuentas!$A$2:$A$6092,[1]PlanCuentas!T$2:T$6092)</f>
        <v>0</v>
      </c>
      <c r="E1023" s="12">
        <f>LOOKUP(414020300,[1]PlanCuentas!$A$2:$A$6092,[1]PlanCuentas!T$2:T$6092)</f>
        <v>0</v>
      </c>
      <c r="F1023" s="12">
        <f>LOOKUP(414020400,[1]PlanCuentas!$A$2:$A$6092,[1]PlanCuentas!T$2:T$6092)</f>
        <v>0</v>
      </c>
      <c r="G1023" s="12">
        <f>LOOKUP(414020500,[1]PlanCuentas!$A$2:$A$6092,[1]PlanCuentas!T$2:T$6092)</f>
        <v>0</v>
      </c>
      <c r="H1023" s="12">
        <f>LOOKUP(414020600,[1]PlanCuentas!$A$2:$A$6092,[1]PlanCuentas!T$2:T$6092)</f>
        <v>0</v>
      </c>
      <c r="I1023" s="12">
        <f>LOOKUP(414020700,[1]PlanCuentas!$A$2:$A$6092,[1]PlanCuentas!T$2:T$6092)</f>
        <v>0</v>
      </c>
      <c r="J1023" s="12">
        <f>LOOKUP(414020800,[1]PlanCuentas!$A$2:$A$6092,[1]PlanCuentas!T$2:T$6092)</f>
        <v>0</v>
      </c>
      <c r="K1023" s="12">
        <f>LOOKUP(414020900,[1]PlanCuentas!$A$2:$A$6092,[1]PlanCuentas!T$2:T$6092)</f>
        <v>0</v>
      </c>
      <c r="L1023" s="12">
        <f>LOOKUP(414021000,[1]PlanCuentas!$A$2:$A$6092,[1]PlanCuentas!T$2:T$6092)</f>
        <v>0</v>
      </c>
      <c r="M1023" s="12">
        <f>LOOKUP(414021100,[1]PlanCuentas!$A$2:$A$6092,[1]PlanCuentas!T$2:T$6092)</f>
        <v>0</v>
      </c>
      <c r="N1023" s="12">
        <f>LOOKUP(414021200,[1]PlanCuentas!$A$2:$A$6092,[1]PlanCuentas!T$2:T$6092)</f>
        <v>0</v>
      </c>
      <c r="O1023" s="12">
        <f>LOOKUP(414021300,[1]PlanCuentas!$A$2:$A$6092,[1]PlanCuentas!T$2:T$6092)</f>
        <v>0</v>
      </c>
      <c r="P1023" s="12">
        <f>LOOKUP(414022000,[1]PlanCuentas!$A$2:$A$6092,[1]PlanCuentas!T$2:T$6092)</f>
        <v>0</v>
      </c>
      <c r="Q1023" s="13">
        <f t="shared" si="52"/>
        <v>0</v>
      </c>
    </row>
    <row r="1024" spans="1:21" x14ac:dyDescent="0.2">
      <c r="A1024" s="10">
        <v>19</v>
      </c>
      <c r="B1024" s="11" t="str">
        <f>[1]Aseguradoras!B20</f>
        <v>Universo de Seguros y Reaseguros S.A.</v>
      </c>
      <c r="C1024" s="12">
        <f>LOOKUP(414020100,[1]PlanCuentas!$A$2:$A$6092,[1]PlanCuentas!U$2:U$6092)</f>
        <v>0</v>
      </c>
      <c r="D1024" s="12">
        <f>LOOKUP(414020200,[1]PlanCuentas!$A$2:$A$6092,[1]PlanCuentas!U$2:U$6092)</f>
        <v>0</v>
      </c>
      <c r="E1024" s="12">
        <f>LOOKUP(414020300,[1]PlanCuentas!$A$2:$A$6092,[1]PlanCuentas!U$2:U$6092)</f>
        <v>0</v>
      </c>
      <c r="F1024" s="12">
        <f>LOOKUP(414020400,[1]PlanCuentas!$A$2:$A$6092,[1]PlanCuentas!U$2:U$6092)</f>
        <v>0</v>
      </c>
      <c r="G1024" s="12">
        <f>LOOKUP(414020500,[1]PlanCuentas!$A$2:$A$6092,[1]PlanCuentas!U$2:U$6092)</f>
        <v>0</v>
      </c>
      <c r="H1024" s="12">
        <f>LOOKUP(414020600,[1]PlanCuentas!$A$2:$A$6092,[1]PlanCuentas!U$2:U$6092)</f>
        <v>0</v>
      </c>
      <c r="I1024" s="12">
        <f>LOOKUP(414020700,[1]PlanCuentas!$A$2:$A$6092,[1]PlanCuentas!U$2:U$6092)</f>
        <v>0</v>
      </c>
      <c r="J1024" s="12">
        <f>LOOKUP(414020800,[1]PlanCuentas!$A$2:$A$6092,[1]PlanCuentas!U$2:U$6092)</f>
        <v>0</v>
      </c>
      <c r="K1024" s="12">
        <f>LOOKUP(414020900,[1]PlanCuentas!$A$2:$A$6092,[1]PlanCuentas!U$2:U$6092)</f>
        <v>0</v>
      </c>
      <c r="L1024" s="12">
        <f>LOOKUP(414021000,[1]PlanCuentas!$A$2:$A$6092,[1]PlanCuentas!U$2:U$6092)</f>
        <v>0</v>
      </c>
      <c r="M1024" s="12">
        <f>LOOKUP(414021100,[1]PlanCuentas!$A$2:$A$6092,[1]PlanCuentas!U$2:U$6092)</f>
        <v>0</v>
      </c>
      <c r="N1024" s="12">
        <f>LOOKUP(414021200,[1]PlanCuentas!$A$2:$A$6092,[1]PlanCuentas!U$2:U$6092)</f>
        <v>0</v>
      </c>
      <c r="O1024" s="12">
        <f>LOOKUP(414021300,[1]PlanCuentas!$A$2:$A$6092,[1]PlanCuentas!U$2:U$6092)</f>
        <v>0</v>
      </c>
      <c r="P1024" s="12">
        <f>LOOKUP(414022000,[1]PlanCuentas!$A$2:$A$6092,[1]PlanCuentas!U$2:U$6092)</f>
        <v>0</v>
      </c>
      <c r="Q1024" s="13">
        <f t="shared" si="52"/>
        <v>0</v>
      </c>
    </row>
    <row r="1025" spans="1:30" x14ac:dyDescent="0.2">
      <c r="A1025" s="10">
        <v>20</v>
      </c>
      <c r="B1025" s="11" t="str">
        <f>[1]Aseguradoras!B21</f>
        <v>Aseguradora Yacyreta S.A de Seguros y Reaseguros</v>
      </c>
      <c r="C1025" s="12">
        <f>LOOKUP(414020100,[1]PlanCuentas!$A$2:$A$6092,[1]PlanCuentas!V$2:V$6092)</f>
        <v>0</v>
      </c>
      <c r="D1025" s="12">
        <f>LOOKUP(414020200,[1]PlanCuentas!$A$2:$A$6092,[1]PlanCuentas!V$2:V$6092)</f>
        <v>0</v>
      </c>
      <c r="E1025" s="12">
        <f>LOOKUP(414020300,[1]PlanCuentas!$A$2:$A$6092,[1]PlanCuentas!V$2:V$6092)</f>
        <v>0</v>
      </c>
      <c r="F1025" s="12">
        <f>LOOKUP(414020400,[1]PlanCuentas!$A$2:$A$6092,[1]PlanCuentas!V$2:V$6092)</f>
        <v>0</v>
      </c>
      <c r="G1025" s="12">
        <f>LOOKUP(414020500,[1]PlanCuentas!$A$2:$A$6092,[1]PlanCuentas!V$2:V$6092)</f>
        <v>0</v>
      </c>
      <c r="H1025" s="12">
        <f>LOOKUP(414020600,[1]PlanCuentas!$A$2:$A$6092,[1]PlanCuentas!V$2:V$6092)</f>
        <v>0</v>
      </c>
      <c r="I1025" s="12">
        <f>LOOKUP(414020700,[1]PlanCuentas!$A$2:$A$6092,[1]PlanCuentas!V$2:V$6092)</f>
        <v>0</v>
      </c>
      <c r="J1025" s="12">
        <f>LOOKUP(414020800,[1]PlanCuentas!$A$2:$A$6092,[1]PlanCuentas!V$2:V$6092)</f>
        <v>0</v>
      </c>
      <c r="K1025" s="12">
        <f>LOOKUP(414020900,[1]PlanCuentas!$A$2:$A$6092,[1]PlanCuentas!V$2:V$6092)</f>
        <v>0</v>
      </c>
      <c r="L1025" s="12">
        <f>LOOKUP(414021000,[1]PlanCuentas!$A$2:$A$6092,[1]PlanCuentas!V$2:V$6092)</f>
        <v>0</v>
      </c>
      <c r="M1025" s="12">
        <f>LOOKUP(414021100,[1]PlanCuentas!$A$2:$A$6092,[1]PlanCuentas!V$2:V$6092)</f>
        <v>0</v>
      </c>
      <c r="N1025" s="12">
        <f>LOOKUP(414021200,[1]PlanCuentas!$A$2:$A$6092,[1]PlanCuentas!V$2:V$6092)</f>
        <v>0</v>
      </c>
      <c r="O1025" s="12">
        <f>LOOKUP(414021300,[1]PlanCuentas!$A$2:$A$6092,[1]PlanCuentas!V$2:V$6092)</f>
        <v>0</v>
      </c>
      <c r="P1025" s="12">
        <f>LOOKUP(414022000,[1]PlanCuentas!$A$2:$A$6092,[1]PlanCuentas!V$2:V$6092)</f>
        <v>0</v>
      </c>
      <c r="Q1025" s="13">
        <f t="shared" si="52"/>
        <v>0</v>
      </c>
    </row>
    <row r="1026" spans="1:30" x14ac:dyDescent="0.2">
      <c r="A1026" s="10">
        <v>21</v>
      </c>
      <c r="B1026" s="11" t="str">
        <f>[1]Aseguradoras!B22</f>
        <v>La Agricola S.A de Seguros y Reaseguros</v>
      </c>
      <c r="C1026" s="12">
        <f>LOOKUP(414020100,[1]PlanCuentas!$A$2:$A$6092,[1]PlanCuentas!W$2:W$6092)</f>
        <v>0</v>
      </c>
      <c r="D1026" s="12">
        <f>LOOKUP(414020200,[1]PlanCuentas!$A$2:$A$6092,[1]PlanCuentas!W$2:W$6092)</f>
        <v>0</v>
      </c>
      <c r="E1026" s="12">
        <f>LOOKUP(414020300,[1]PlanCuentas!$A$2:$A$6092,[1]PlanCuentas!W$2:W$6092)</f>
        <v>0</v>
      </c>
      <c r="F1026" s="12">
        <f>LOOKUP(414020400,[1]PlanCuentas!$A$2:$A$6092,[1]PlanCuentas!W$2:W$6092)</f>
        <v>0</v>
      </c>
      <c r="G1026" s="12">
        <f>LOOKUP(414020500,[1]PlanCuentas!$A$2:$A$6092,[1]PlanCuentas!W$2:W$6092)</f>
        <v>0</v>
      </c>
      <c r="H1026" s="12">
        <f>LOOKUP(414020600,[1]PlanCuentas!$A$2:$A$6092,[1]PlanCuentas!W$2:W$6092)</f>
        <v>0</v>
      </c>
      <c r="I1026" s="12">
        <f>LOOKUP(414020700,[1]PlanCuentas!$A$2:$A$6092,[1]PlanCuentas!W$2:W$6092)</f>
        <v>0</v>
      </c>
      <c r="J1026" s="12">
        <f>LOOKUP(414020800,[1]PlanCuentas!$A$2:$A$6092,[1]PlanCuentas!W$2:W$6092)</f>
        <v>0</v>
      </c>
      <c r="K1026" s="12">
        <f>LOOKUP(414020900,[1]PlanCuentas!$A$2:$A$6092,[1]PlanCuentas!W$2:W$6092)</f>
        <v>0</v>
      </c>
      <c r="L1026" s="12">
        <f>LOOKUP(414021000,[1]PlanCuentas!$A$2:$A$6092,[1]PlanCuentas!W$2:W$6092)</f>
        <v>0</v>
      </c>
      <c r="M1026" s="12">
        <f>LOOKUP(414021100,[1]PlanCuentas!$A$2:$A$6092,[1]PlanCuentas!W$2:W$6092)</f>
        <v>0</v>
      </c>
      <c r="N1026" s="12">
        <f>LOOKUP(414021200,[1]PlanCuentas!$A$2:$A$6092,[1]PlanCuentas!W$2:W$6092)</f>
        <v>0</v>
      </c>
      <c r="O1026" s="12">
        <f>LOOKUP(414021300,[1]PlanCuentas!$A$2:$A$6092,[1]PlanCuentas!W$2:W$6092)</f>
        <v>0</v>
      </c>
      <c r="P1026" s="12">
        <f>LOOKUP(414022000,[1]PlanCuentas!$A$2:$A$6092,[1]PlanCuentas!W$2:W$6092)</f>
        <v>0</v>
      </c>
      <c r="Q1026" s="13">
        <f t="shared" si="52"/>
        <v>0</v>
      </c>
      <c r="R1026" s="5"/>
      <c r="S1026" s="5"/>
      <c r="T1026" s="5"/>
      <c r="U1026" s="5"/>
    </row>
    <row r="1027" spans="1:30" x14ac:dyDescent="0.2">
      <c r="A1027" s="10">
        <v>22</v>
      </c>
      <c r="B1027" s="11" t="str">
        <f>[1]Aseguradoras!B23</f>
        <v>Grupo General de Seguros y Reaseguros S.A.</v>
      </c>
      <c r="C1027" s="12">
        <f>LOOKUP(414020100,[1]PlanCuentas!$A$2:$A$6092,[1]PlanCuentas!X$2:X$6092)</f>
        <v>0</v>
      </c>
      <c r="D1027" s="12">
        <f>LOOKUP(414020200,[1]PlanCuentas!$A$2:$A$6092,[1]PlanCuentas!X$2:X$6092)</f>
        <v>0</v>
      </c>
      <c r="E1027" s="12">
        <f>LOOKUP(414020300,[1]PlanCuentas!$A$2:$A$6092,[1]PlanCuentas!X$2:X$6092)</f>
        <v>0</v>
      </c>
      <c r="F1027" s="12">
        <f>LOOKUP(414020400,[1]PlanCuentas!$A$2:$A$6092,[1]PlanCuentas!X$2:X$6092)</f>
        <v>0</v>
      </c>
      <c r="G1027" s="12">
        <f>LOOKUP(414020500,[1]PlanCuentas!$A$2:$A$6092,[1]PlanCuentas!X$2:X$6092)</f>
        <v>0</v>
      </c>
      <c r="H1027" s="12">
        <f>LOOKUP(414020600,[1]PlanCuentas!$A$2:$A$6092,[1]PlanCuentas!X$2:X$6092)</f>
        <v>0</v>
      </c>
      <c r="I1027" s="12">
        <f>LOOKUP(414020700,[1]PlanCuentas!$A$2:$A$6092,[1]PlanCuentas!X$2:X$6092)</f>
        <v>0</v>
      </c>
      <c r="J1027" s="12">
        <f>LOOKUP(414020800,[1]PlanCuentas!$A$2:$A$6092,[1]PlanCuentas!X$2:X$6092)</f>
        <v>0</v>
      </c>
      <c r="K1027" s="12">
        <f>LOOKUP(414020900,[1]PlanCuentas!$A$2:$A$6092,[1]PlanCuentas!X$2:X$6092)</f>
        <v>0</v>
      </c>
      <c r="L1027" s="12">
        <f>LOOKUP(414021000,[1]PlanCuentas!$A$2:$A$6092,[1]PlanCuentas!X$2:X$6092)</f>
        <v>0</v>
      </c>
      <c r="M1027" s="12">
        <f>LOOKUP(414021100,[1]PlanCuentas!$A$2:$A$6092,[1]PlanCuentas!X$2:X$6092)</f>
        <v>0</v>
      </c>
      <c r="N1027" s="12">
        <f>LOOKUP(414021200,[1]PlanCuentas!$A$2:$A$6092,[1]PlanCuentas!X$2:X$6092)</f>
        <v>0</v>
      </c>
      <c r="O1027" s="12">
        <f>LOOKUP(414021300,[1]PlanCuentas!$A$2:$A$6092,[1]PlanCuentas!X$2:X$6092)</f>
        <v>0</v>
      </c>
      <c r="P1027" s="12">
        <f>LOOKUP(414022000,[1]PlanCuentas!$A$2:$A$6092,[1]PlanCuentas!X$2:X$6092)</f>
        <v>0</v>
      </c>
      <c r="Q1027" s="13">
        <f t="shared" si="52"/>
        <v>0</v>
      </c>
      <c r="R1027" s="5"/>
      <c r="S1027" s="5"/>
      <c r="T1027" s="5"/>
      <c r="U1027" s="5"/>
    </row>
    <row r="1028" spans="1:30" x14ac:dyDescent="0.2">
      <c r="A1028" s="10">
        <v>23</v>
      </c>
      <c r="B1028" s="11" t="str">
        <f>[1]Aseguradoras!B24</f>
        <v>Alfa S.A de Seguros y Reaseguros</v>
      </c>
      <c r="C1028" s="12">
        <f>LOOKUP(414020100,[1]PlanCuentas!$A$2:$A$6092,[1]PlanCuentas!Y$2:Y$6092)</f>
        <v>0</v>
      </c>
      <c r="D1028" s="12">
        <f>LOOKUP(414020200,[1]PlanCuentas!$A$2:$A$6092,[1]PlanCuentas!Y$2:Y$6092)</f>
        <v>0</v>
      </c>
      <c r="E1028" s="12">
        <f>LOOKUP(414020300,[1]PlanCuentas!$A$2:$A$6092,[1]PlanCuentas!Y$2:Y$6092)</f>
        <v>0</v>
      </c>
      <c r="F1028" s="12">
        <f>LOOKUP(414020400,[1]PlanCuentas!$A$2:$A$6092,[1]PlanCuentas!Y$2:Y$6092)</f>
        <v>0</v>
      </c>
      <c r="G1028" s="12">
        <f>LOOKUP(414020500,[1]PlanCuentas!$A$2:$A$6092,[1]PlanCuentas!Y$2:Y$6092)</f>
        <v>0</v>
      </c>
      <c r="H1028" s="12">
        <f>LOOKUP(414020600,[1]PlanCuentas!$A$2:$A$6092,[1]PlanCuentas!Y$2:Y$6092)</f>
        <v>0</v>
      </c>
      <c r="I1028" s="12">
        <f>LOOKUP(414020700,[1]PlanCuentas!$A$2:$A$6092,[1]PlanCuentas!Y$2:Y$6092)</f>
        <v>0</v>
      </c>
      <c r="J1028" s="12">
        <f>LOOKUP(414020800,[1]PlanCuentas!$A$2:$A$6092,[1]PlanCuentas!Y$2:Y$6092)</f>
        <v>0</v>
      </c>
      <c r="K1028" s="12">
        <f>LOOKUP(414020900,[1]PlanCuentas!$A$2:$A$6092,[1]PlanCuentas!Y$2:Y$6092)</f>
        <v>0</v>
      </c>
      <c r="L1028" s="12">
        <f>LOOKUP(414021000,[1]PlanCuentas!$A$2:$A$6092,[1]PlanCuentas!Y$2:Y$6092)</f>
        <v>0</v>
      </c>
      <c r="M1028" s="12">
        <f>LOOKUP(414021100,[1]PlanCuentas!$A$2:$A$6092,[1]PlanCuentas!Y$2:Y$6092)</f>
        <v>0</v>
      </c>
      <c r="N1028" s="12">
        <f>LOOKUP(414021200,[1]PlanCuentas!$A$2:$A$6092,[1]PlanCuentas!Y$2:Y$6092)</f>
        <v>0</v>
      </c>
      <c r="O1028" s="12">
        <f>LOOKUP(414021300,[1]PlanCuentas!$A$2:$A$6092,[1]PlanCuentas!Y$2:Y$6092)</f>
        <v>0</v>
      </c>
      <c r="P1028" s="12">
        <f>LOOKUP(414022000,[1]PlanCuentas!$A$2:$A$6092,[1]PlanCuentas!Y$2:Y$6092)</f>
        <v>0</v>
      </c>
      <c r="Q1028" s="13">
        <f t="shared" si="52"/>
        <v>0</v>
      </c>
      <c r="R1028" s="5"/>
      <c r="S1028" s="5"/>
      <c r="T1028" s="5"/>
      <c r="U1028" s="5"/>
    </row>
    <row r="1029" spans="1:30" x14ac:dyDescent="0.2">
      <c r="A1029" s="10">
        <v>24</v>
      </c>
      <c r="B1029" s="11" t="str">
        <f>[1]Aseguradoras!B25</f>
        <v>Cenit de Seguros S.A.</v>
      </c>
      <c r="C1029" s="12">
        <f>LOOKUP(414020100,[1]PlanCuentas!$A$2:$A$6092,[1]PlanCuentas!Z$2:Z$6092)</f>
        <v>0</v>
      </c>
      <c r="D1029" s="12">
        <f>LOOKUP(414020200,[1]PlanCuentas!$A$2:$A$6092,[1]PlanCuentas!Z$2:Z$6092)</f>
        <v>0</v>
      </c>
      <c r="E1029" s="12">
        <f>LOOKUP(414020300,[1]PlanCuentas!$A$2:$A$6092,[1]PlanCuentas!Z$2:Z$6092)</f>
        <v>0</v>
      </c>
      <c r="F1029" s="12">
        <f>LOOKUP(414020400,[1]PlanCuentas!$A$2:$A$6092,[1]PlanCuentas!Z$2:Z$6092)</f>
        <v>0</v>
      </c>
      <c r="G1029" s="12">
        <f>LOOKUP(414020500,[1]PlanCuentas!$A$2:$A$6092,[1]PlanCuentas!Z$2:Z$6092)</f>
        <v>0</v>
      </c>
      <c r="H1029" s="12">
        <f>LOOKUP(414020600,[1]PlanCuentas!$A$2:$A$6092,[1]PlanCuentas!Z$2:Z$6092)</f>
        <v>0</v>
      </c>
      <c r="I1029" s="12">
        <f>LOOKUP(414020700,[1]PlanCuentas!$A$2:$A$6092,[1]PlanCuentas!Z$2:Z$6092)</f>
        <v>0</v>
      </c>
      <c r="J1029" s="12">
        <f>LOOKUP(414020800,[1]PlanCuentas!$A$2:$A$6092,[1]PlanCuentas!Z$2:Z$6092)</f>
        <v>0</v>
      </c>
      <c r="K1029" s="12">
        <f>LOOKUP(414020900,[1]PlanCuentas!$A$2:$A$6092,[1]PlanCuentas!Z$2:Z$6092)</f>
        <v>0</v>
      </c>
      <c r="L1029" s="12">
        <f>LOOKUP(414021000,[1]PlanCuentas!$A$2:$A$6092,[1]PlanCuentas!Z$2:Z$6092)</f>
        <v>0</v>
      </c>
      <c r="M1029" s="12">
        <f>LOOKUP(414021100,[1]PlanCuentas!$A$2:$A$6092,[1]PlanCuentas!Z$2:Z$6092)</f>
        <v>0</v>
      </c>
      <c r="N1029" s="12">
        <f>LOOKUP(414021200,[1]PlanCuentas!$A$2:$A$6092,[1]PlanCuentas!Z$2:Z$6092)</f>
        <v>0</v>
      </c>
      <c r="O1029" s="12">
        <f>LOOKUP(414021300,[1]PlanCuentas!$A$2:$A$6092,[1]PlanCuentas!Z$2:Z$6092)</f>
        <v>0</v>
      </c>
      <c r="P1029" s="12">
        <f>LOOKUP(414022000,[1]PlanCuentas!$A$2:$A$6092,[1]PlanCuentas!Z$2:Z$6092)</f>
        <v>0</v>
      </c>
      <c r="Q1029" s="13">
        <f t="shared" si="52"/>
        <v>0</v>
      </c>
      <c r="R1029" s="5"/>
      <c r="S1029" s="5"/>
      <c r="T1029" s="5"/>
      <c r="U1029" s="5"/>
    </row>
    <row r="1030" spans="1:30" x14ac:dyDescent="0.2">
      <c r="A1030" s="10">
        <v>25</v>
      </c>
      <c r="B1030" s="11" t="str">
        <f>[1]Aseguradoras!B26</f>
        <v>La Meridional Paraguaya S.A de Seguros</v>
      </c>
      <c r="C1030" s="12">
        <f>LOOKUP(414020100,[1]PlanCuentas!$A$2:$A$6092,[1]PlanCuentas!AA$2:AA$6092)</f>
        <v>0</v>
      </c>
      <c r="D1030" s="12">
        <f>LOOKUP(414020200,[1]PlanCuentas!$A$2:$A$6092,[1]PlanCuentas!AA$2:AA$6092)</f>
        <v>0</v>
      </c>
      <c r="E1030" s="12">
        <f>LOOKUP(414020300,[1]PlanCuentas!$A$2:$A$6092,[1]PlanCuentas!AA$2:AA$6092)</f>
        <v>0</v>
      </c>
      <c r="F1030" s="12">
        <f>LOOKUP(414020400,[1]PlanCuentas!$A$2:$A$6092,[1]PlanCuentas!AA$2:AA$6092)</f>
        <v>0</v>
      </c>
      <c r="G1030" s="12">
        <f>LOOKUP(414020500,[1]PlanCuentas!$A$2:$A$6092,[1]PlanCuentas!AA$2:AA$6092)</f>
        <v>0</v>
      </c>
      <c r="H1030" s="12">
        <f>LOOKUP(414020600,[1]PlanCuentas!$A$2:$A$6092,[1]PlanCuentas!AA$2:AA$6092)</f>
        <v>0</v>
      </c>
      <c r="I1030" s="12">
        <f>LOOKUP(414020700,[1]PlanCuentas!$A$2:$A$6092,[1]PlanCuentas!AA$2:AA$6092)</f>
        <v>0</v>
      </c>
      <c r="J1030" s="12">
        <f>LOOKUP(414020800,[1]PlanCuentas!$A$2:$A$6092,[1]PlanCuentas!AA$2:AA$6092)</f>
        <v>0</v>
      </c>
      <c r="K1030" s="12">
        <f>LOOKUP(414020900,[1]PlanCuentas!$A$2:$A$6092,[1]PlanCuentas!AA$2:AA$6092)</f>
        <v>0</v>
      </c>
      <c r="L1030" s="12">
        <f>LOOKUP(414021000,[1]PlanCuentas!$A$2:$A$6092,[1]PlanCuentas!AA$2:AA$6092)</f>
        <v>0</v>
      </c>
      <c r="M1030" s="12">
        <f>LOOKUP(414021100,[1]PlanCuentas!$A$2:$A$6092,[1]PlanCuentas!AA$2:AA$6092)</f>
        <v>0</v>
      </c>
      <c r="N1030" s="12">
        <f>LOOKUP(414021200,[1]PlanCuentas!$A$2:$A$6092,[1]PlanCuentas!AA$2:AA$6092)</f>
        <v>0</v>
      </c>
      <c r="O1030" s="12">
        <f>LOOKUP(414021300,[1]PlanCuentas!$A$2:$A$6092,[1]PlanCuentas!AA$2:AA$6092)</f>
        <v>0</v>
      </c>
      <c r="P1030" s="12">
        <f>LOOKUP(414022000,[1]PlanCuentas!$A$2:$A$6092,[1]PlanCuentas!AA$2:AA$6092)</f>
        <v>0</v>
      </c>
      <c r="Q1030" s="13">
        <f t="shared" si="52"/>
        <v>0</v>
      </c>
      <c r="R1030" s="5"/>
      <c r="S1030" s="5"/>
      <c r="T1030" s="5"/>
      <c r="U1030" s="5"/>
    </row>
    <row r="1031" spans="1:30" x14ac:dyDescent="0.2">
      <c r="A1031" s="10">
        <v>26</v>
      </c>
      <c r="B1031" s="11" t="str">
        <f>[1]Aseguradoras!B27</f>
        <v>Aseguradora Del Este S.A de Seguros y Reaseguros</v>
      </c>
      <c r="C1031" s="12">
        <f>LOOKUP(414020100,[1]PlanCuentas!$A$2:$A$6092,[1]PlanCuentas!AB$2:AB$6092)</f>
        <v>0</v>
      </c>
      <c r="D1031" s="12">
        <f>LOOKUP(414020200,[1]PlanCuentas!$A$2:$A$6092,[1]PlanCuentas!AB$2:AB$6092)</f>
        <v>0</v>
      </c>
      <c r="E1031" s="12">
        <f>LOOKUP(414020300,[1]PlanCuentas!$A$2:$A$6092,[1]PlanCuentas!AB$2:AB$6092)</f>
        <v>0</v>
      </c>
      <c r="F1031" s="12">
        <f>LOOKUP(414020400,[1]PlanCuentas!$A$2:$A$6092,[1]PlanCuentas!AB$2:AB$6092)</f>
        <v>0</v>
      </c>
      <c r="G1031" s="12">
        <f>LOOKUP(414020500,[1]PlanCuentas!$A$2:$A$6092,[1]PlanCuentas!AB$2:AB$6092)</f>
        <v>0</v>
      </c>
      <c r="H1031" s="12">
        <f>LOOKUP(414020600,[1]PlanCuentas!$A$2:$A$6092,[1]PlanCuentas!AB$2:AB$6092)</f>
        <v>0</v>
      </c>
      <c r="I1031" s="12">
        <f>LOOKUP(414020700,[1]PlanCuentas!$A$2:$A$6092,[1]PlanCuentas!AB$2:AB$6092)</f>
        <v>0</v>
      </c>
      <c r="J1031" s="12">
        <f>LOOKUP(414020800,[1]PlanCuentas!$A$2:$A$6092,[1]PlanCuentas!AB$2:AB$6092)</f>
        <v>0</v>
      </c>
      <c r="K1031" s="12">
        <f>LOOKUP(414020900,[1]PlanCuentas!$A$2:$A$6092,[1]PlanCuentas!AB$2:AB$6092)</f>
        <v>0</v>
      </c>
      <c r="L1031" s="12">
        <f>LOOKUP(414021000,[1]PlanCuentas!$A$2:$A$6092,[1]PlanCuentas!AB$2:AB$6092)</f>
        <v>0</v>
      </c>
      <c r="M1031" s="12">
        <f>LOOKUP(414021100,[1]PlanCuentas!$A$2:$A$6092,[1]PlanCuentas!AB$2:AB$6092)</f>
        <v>0</v>
      </c>
      <c r="N1031" s="12">
        <f>LOOKUP(414021200,[1]PlanCuentas!$A$2:$A$6092,[1]PlanCuentas!AB$2:AB$6092)</f>
        <v>0</v>
      </c>
      <c r="O1031" s="12">
        <f>LOOKUP(414021300,[1]PlanCuentas!$A$2:$A$6092,[1]PlanCuentas!AB$2:AB$6092)</f>
        <v>0</v>
      </c>
      <c r="P1031" s="12">
        <f>LOOKUP(414022000,[1]PlanCuentas!$A$2:$A$6092,[1]PlanCuentas!AB$2:AB$6092)</f>
        <v>0</v>
      </c>
      <c r="Q1031" s="13">
        <f t="shared" si="52"/>
        <v>0</v>
      </c>
    </row>
    <row r="1032" spans="1:30" x14ac:dyDescent="0.2">
      <c r="A1032" s="10">
        <v>27</v>
      </c>
      <c r="B1032" s="11" t="str">
        <f>[1]Aseguradoras!B28</f>
        <v>Imperio S.A de Seguros y Reaseguros</v>
      </c>
      <c r="C1032" s="12">
        <f>LOOKUP(414020100,[1]PlanCuentas!$A$2:$A$6092,[1]PlanCuentas!AC$2:AC$6092)</f>
        <v>0</v>
      </c>
      <c r="D1032" s="12">
        <f>LOOKUP(414020200,[1]PlanCuentas!$A$2:$A$6092,[1]PlanCuentas!AC$2:AC$6092)</f>
        <v>0</v>
      </c>
      <c r="E1032" s="12">
        <f>LOOKUP(414020300,[1]PlanCuentas!$A$2:$A$6092,[1]PlanCuentas!AC$2:AC$6092)</f>
        <v>0</v>
      </c>
      <c r="F1032" s="12">
        <f>LOOKUP(414020400,[1]PlanCuentas!$A$2:$A$6092,[1]PlanCuentas!AC$2:AC$6092)</f>
        <v>0</v>
      </c>
      <c r="G1032" s="12">
        <f>LOOKUP(414020500,[1]PlanCuentas!$A$2:$A$6092,[1]PlanCuentas!AC$2:AC$6092)</f>
        <v>0</v>
      </c>
      <c r="H1032" s="12">
        <f>LOOKUP(414020600,[1]PlanCuentas!$A$2:$A$6092,[1]PlanCuentas!AC$2:AC$6092)</f>
        <v>0</v>
      </c>
      <c r="I1032" s="12">
        <f>LOOKUP(414020700,[1]PlanCuentas!$A$2:$A$6092,[1]PlanCuentas!AC$2:AC$6092)</f>
        <v>0</v>
      </c>
      <c r="J1032" s="12">
        <f>LOOKUP(414020800,[1]PlanCuentas!$A$2:$A$6092,[1]PlanCuentas!AC$2:AC$6092)</f>
        <v>0</v>
      </c>
      <c r="K1032" s="12">
        <f>LOOKUP(414020900,[1]PlanCuentas!$A$2:$A$6092,[1]PlanCuentas!AC$2:AC$6092)</f>
        <v>0</v>
      </c>
      <c r="L1032" s="12">
        <f>LOOKUP(414021000,[1]PlanCuentas!$A$2:$A$6092,[1]PlanCuentas!AC$2:AC$6092)</f>
        <v>0</v>
      </c>
      <c r="M1032" s="12">
        <f>LOOKUP(414021100,[1]PlanCuentas!$A$2:$A$6092,[1]PlanCuentas!AC$2:AC$6092)</f>
        <v>0</v>
      </c>
      <c r="N1032" s="12">
        <f>LOOKUP(414021200,[1]PlanCuentas!$A$2:$A$6092,[1]PlanCuentas!AC$2:AC$6092)</f>
        <v>0</v>
      </c>
      <c r="O1032" s="12">
        <f>LOOKUP(414021300,[1]PlanCuentas!$A$2:$A$6092,[1]PlanCuentas!AC$2:AC$6092)</f>
        <v>0</v>
      </c>
      <c r="P1032" s="12">
        <f>LOOKUP(414022000,[1]PlanCuentas!$A$2:$A$6092,[1]PlanCuentas!AC$2:AC$6092)</f>
        <v>0</v>
      </c>
      <c r="Q1032" s="13">
        <f t="shared" si="52"/>
        <v>0</v>
      </c>
    </row>
    <row r="1033" spans="1:30" x14ac:dyDescent="0.2">
      <c r="A1033" s="10">
        <v>28</v>
      </c>
      <c r="B1033" s="11" t="str">
        <f>[1]Aseguradoras!B29</f>
        <v>Regional S.A de Seguros y Reaseguros</v>
      </c>
      <c r="C1033" s="12">
        <f>LOOKUP(414020100,[1]PlanCuentas!$A$2:$A$6092,[1]PlanCuentas!AD$2:AD$6092)</f>
        <v>0</v>
      </c>
      <c r="D1033" s="12">
        <f>LOOKUP(414020200,[1]PlanCuentas!$A$2:$A$6092,[1]PlanCuentas!AD$2:AD$6092)</f>
        <v>0</v>
      </c>
      <c r="E1033" s="12">
        <f>LOOKUP(414020300,[1]PlanCuentas!$A$2:$A$6092,[1]PlanCuentas!AD$2:AD$6092)</f>
        <v>0</v>
      </c>
      <c r="F1033" s="12">
        <f>LOOKUP(414020400,[1]PlanCuentas!$A$2:$A$6092,[1]PlanCuentas!AD$2:AD$6092)</f>
        <v>0</v>
      </c>
      <c r="G1033" s="12">
        <f>LOOKUP(414020500,[1]PlanCuentas!$A$2:$A$6092,[1]PlanCuentas!AD$2:AD$6092)</f>
        <v>0</v>
      </c>
      <c r="H1033" s="12">
        <f>LOOKUP(414020600,[1]PlanCuentas!$A$2:$A$6092,[1]PlanCuentas!AD$2:AD$6092)</f>
        <v>0</v>
      </c>
      <c r="I1033" s="12">
        <f>LOOKUP(414020700,[1]PlanCuentas!$A$2:$A$6092,[1]PlanCuentas!AD$2:AD$6092)</f>
        <v>0</v>
      </c>
      <c r="J1033" s="12">
        <f>LOOKUP(414020800,[1]PlanCuentas!$A$2:$A$6092,[1]PlanCuentas!AD$2:AD$6092)</f>
        <v>0</v>
      </c>
      <c r="K1033" s="12">
        <f>LOOKUP(414020900,[1]PlanCuentas!$A$2:$A$6092,[1]PlanCuentas!AD$2:AD$6092)</f>
        <v>0</v>
      </c>
      <c r="L1033" s="12">
        <f>LOOKUP(414021000,[1]PlanCuentas!$A$2:$A$6092,[1]PlanCuentas!AD$2:AD$6092)</f>
        <v>0</v>
      </c>
      <c r="M1033" s="12">
        <f>LOOKUP(414021100,[1]PlanCuentas!$A$2:$A$6092,[1]PlanCuentas!AD$2:AD$6092)</f>
        <v>0</v>
      </c>
      <c r="N1033" s="12">
        <f>LOOKUP(414021200,[1]PlanCuentas!$A$2:$A$6092,[1]PlanCuentas!AD$2:AD$6092)</f>
        <v>0</v>
      </c>
      <c r="O1033" s="12">
        <f>LOOKUP(414021300,[1]PlanCuentas!$A$2:$A$6092,[1]PlanCuentas!AD$2:AD$6092)</f>
        <v>0</v>
      </c>
      <c r="P1033" s="12">
        <f>LOOKUP(414022000,[1]PlanCuentas!$A$2:$A$6092,[1]PlanCuentas!AD$2:AD$6092)</f>
        <v>0</v>
      </c>
      <c r="Q1033" s="13">
        <f t="shared" si="52"/>
        <v>0</v>
      </c>
    </row>
    <row r="1034" spans="1:30" s="37" customFormat="1" x14ac:dyDescent="0.2">
      <c r="A1034" s="10">
        <v>29</v>
      </c>
      <c r="B1034" s="11" t="str">
        <f>[1]Aseguradoras!B30</f>
        <v>Mapfre Paraguay Compañía de Seguros S.A.</v>
      </c>
      <c r="C1034" s="12">
        <f>LOOKUP(414020100,[1]PlanCuentas!$A$2:$A$6092,[1]PlanCuentas!AE$2:AE$6092)</f>
        <v>0</v>
      </c>
      <c r="D1034" s="12">
        <f>LOOKUP(414020200,[1]PlanCuentas!$A$2:$A$6092,[1]PlanCuentas!AE$2:AE$6092)</f>
        <v>0</v>
      </c>
      <c r="E1034" s="12">
        <f>LOOKUP(414020300,[1]PlanCuentas!$A$2:$A$6092,[1]PlanCuentas!AE$2:AE$6092)</f>
        <v>0</v>
      </c>
      <c r="F1034" s="12">
        <f>LOOKUP(414020400,[1]PlanCuentas!$A$2:$A$6092,[1]PlanCuentas!AE$2:AE$6092)</f>
        <v>0</v>
      </c>
      <c r="G1034" s="12">
        <f>LOOKUP(414020500,[1]PlanCuentas!$A$2:$A$6092,[1]PlanCuentas!AE$2:AE$6092)</f>
        <v>0</v>
      </c>
      <c r="H1034" s="12">
        <f>LOOKUP(414020600,[1]PlanCuentas!$A$2:$A$6092,[1]PlanCuentas!AE$2:AE$6092)</f>
        <v>0</v>
      </c>
      <c r="I1034" s="12">
        <f>LOOKUP(414020700,[1]PlanCuentas!$A$2:$A$6092,[1]PlanCuentas!AE$2:AE$6092)</f>
        <v>0</v>
      </c>
      <c r="J1034" s="12">
        <f>LOOKUP(414020800,[1]PlanCuentas!$A$2:$A$6092,[1]PlanCuentas!AE$2:AE$6092)</f>
        <v>0</v>
      </c>
      <c r="K1034" s="12">
        <f>LOOKUP(414020900,[1]PlanCuentas!$A$2:$A$6092,[1]PlanCuentas!AE$2:AE$6092)</f>
        <v>0</v>
      </c>
      <c r="L1034" s="12">
        <f>LOOKUP(414021000,[1]PlanCuentas!$A$2:$A$6092,[1]PlanCuentas!AE$2:AE$6092)</f>
        <v>0</v>
      </c>
      <c r="M1034" s="12">
        <f>LOOKUP(414021100,[1]PlanCuentas!$A$2:$A$6092,[1]PlanCuentas!AE$2:AE$6092)</f>
        <v>0</v>
      </c>
      <c r="N1034" s="12">
        <f>LOOKUP(414021200,[1]PlanCuentas!$A$2:$A$6092,[1]PlanCuentas!AE$2:AE$6092)</f>
        <v>0</v>
      </c>
      <c r="O1034" s="12">
        <f>LOOKUP(414021300,[1]PlanCuentas!$A$2:$A$6092,[1]PlanCuentas!AE$2:AE$6092)</f>
        <v>0</v>
      </c>
      <c r="P1034" s="12">
        <f>LOOKUP(414022000,[1]PlanCuentas!$A$2:$A$6092,[1]PlanCuentas!AE$2:AE$6092)</f>
        <v>0</v>
      </c>
      <c r="Q1034" s="13">
        <f t="shared" si="52"/>
        <v>0</v>
      </c>
    </row>
    <row r="1035" spans="1:30" x14ac:dyDescent="0.2">
      <c r="A1035" s="10">
        <v>30</v>
      </c>
      <c r="B1035" s="11" t="str">
        <f>[1]Aseguradoras!B31</f>
        <v>Aseguradora Tajy Propiedad Cooperativa S.A. de Seguros</v>
      </c>
      <c r="C1035" s="12">
        <f>LOOKUP(414020100,[1]PlanCuentas!$A$2:$A$6092,[1]PlanCuentas!AF$2:AF$6092)</f>
        <v>0</v>
      </c>
      <c r="D1035" s="12">
        <f>LOOKUP(414020200,[1]PlanCuentas!$A$2:$A$6092,[1]PlanCuentas!AF$2:AF$6092)</f>
        <v>0</v>
      </c>
      <c r="E1035" s="12">
        <f>LOOKUP(414020300,[1]PlanCuentas!$A$2:$A$6092,[1]PlanCuentas!AF$2:AF$6092)</f>
        <v>0</v>
      </c>
      <c r="F1035" s="12">
        <f>LOOKUP(414020400,[1]PlanCuentas!$A$2:$A$6092,[1]PlanCuentas!AF$2:AF$6092)</f>
        <v>0</v>
      </c>
      <c r="G1035" s="12">
        <f>LOOKUP(414020500,[1]PlanCuentas!$A$2:$A$6092,[1]PlanCuentas!AF$2:AF$6092)</f>
        <v>0</v>
      </c>
      <c r="H1035" s="12">
        <f>LOOKUP(414020600,[1]PlanCuentas!$A$2:$A$6092,[1]PlanCuentas!AF$2:AF$6092)</f>
        <v>0</v>
      </c>
      <c r="I1035" s="12">
        <f>LOOKUP(414020700,[1]PlanCuentas!$A$2:$A$6092,[1]PlanCuentas!AF$2:AF$6092)</f>
        <v>0</v>
      </c>
      <c r="J1035" s="12">
        <f>LOOKUP(414020800,[1]PlanCuentas!$A$2:$A$6092,[1]PlanCuentas!AF$2:AF$6092)</f>
        <v>0</v>
      </c>
      <c r="K1035" s="12">
        <f>LOOKUP(414020900,[1]PlanCuentas!$A$2:$A$6092,[1]PlanCuentas!AF$2:AF$6092)</f>
        <v>0</v>
      </c>
      <c r="L1035" s="12">
        <f>LOOKUP(414021000,[1]PlanCuentas!$A$2:$A$6092,[1]PlanCuentas!AF$2:AF$6092)</f>
        <v>0</v>
      </c>
      <c r="M1035" s="12">
        <f>LOOKUP(414021100,[1]PlanCuentas!$A$2:$A$6092,[1]PlanCuentas!AF$2:AF$6092)</f>
        <v>0</v>
      </c>
      <c r="N1035" s="12">
        <f>LOOKUP(414021200,[1]PlanCuentas!$A$2:$A$6092,[1]PlanCuentas!AF$2:AF$6092)</f>
        <v>0</v>
      </c>
      <c r="O1035" s="12">
        <f>LOOKUP(414021300,[1]PlanCuentas!$A$2:$A$6092,[1]PlanCuentas!AF$2:AF$6092)</f>
        <v>0</v>
      </c>
      <c r="P1035" s="12">
        <f>LOOKUP(414022000,[1]PlanCuentas!$A$2:$A$6092,[1]PlanCuentas!AF$2:AF$6092)</f>
        <v>0</v>
      </c>
      <c r="Q1035" s="13">
        <f t="shared" si="52"/>
        <v>0</v>
      </c>
    </row>
    <row r="1036" spans="1:30" x14ac:dyDescent="0.2">
      <c r="A1036" s="10">
        <v>31</v>
      </c>
      <c r="B1036" s="11" t="str">
        <f>[1]Aseguradoras!B32</f>
        <v>Aseguradora del Sur S.A. Seguros Generales - ASUR</v>
      </c>
      <c r="C1036" s="12">
        <f>LOOKUP(414020100,[1]PlanCuentas!$A$2:$A$6092,[1]PlanCuentas!AG$2:AG$6092)</f>
        <v>0</v>
      </c>
      <c r="D1036" s="12">
        <f>LOOKUP(414020200,[1]PlanCuentas!$A$2:$A$6092,[1]PlanCuentas!AG$2:AG$6092)</f>
        <v>0</v>
      </c>
      <c r="E1036" s="12">
        <f>LOOKUP(414020300,[1]PlanCuentas!$A$2:$A$6092,[1]PlanCuentas!AG$2:AG$6092)</f>
        <v>0</v>
      </c>
      <c r="F1036" s="12">
        <f>LOOKUP(414020400,[1]PlanCuentas!$A$2:$A$6092,[1]PlanCuentas!AG$2:AG$6092)</f>
        <v>0</v>
      </c>
      <c r="G1036" s="12">
        <f>LOOKUP(414020500,[1]PlanCuentas!$A$2:$A$6092,[1]PlanCuentas!AG$2:AG$6092)</f>
        <v>0</v>
      </c>
      <c r="H1036" s="12">
        <f>LOOKUP(414020600,[1]PlanCuentas!$A$2:$A$6092,[1]PlanCuentas!AG$2:AG$6092)</f>
        <v>0</v>
      </c>
      <c r="I1036" s="12">
        <f>LOOKUP(414020700,[1]PlanCuentas!$A$2:$A$6092,[1]PlanCuentas!AG$2:AG$6092)</f>
        <v>0</v>
      </c>
      <c r="J1036" s="12">
        <f>LOOKUP(414020800,[1]PlanCuentas!$A$2:$A$6092,[1]PlanCuentas!AG$2:AG$6092)</f>
        <v>0</v>
      </c>
      <c r="K1036" s="12">
        <f>LOOKUP(414020900,[1]PlanCuentas!$A$2:$A$6092,[1]PlanCuentas!AG$2:AG$6092)</f>
        <v>0</v>
      </c>
      <c r="L1036" s="12">
        <f>LOOKUP(414021000,[1]PlanCuentas!$A$2:$A$6092,[1]PlanCuentas!AG$2:AG$6092)</f>
        <v>0</v>
      </c>
      <c r="M1036" s="12">
        <f>LOOKUP(414021100,[1]PlanCuentas!$A$2:$A$6092,[1]PlanCuentas!AG$2:AG$6092)</f>
        <v>0</v>
      </c>
      <c r="N1036" s="12">
        <f>LOOKUP(414021200,[1]PlanCuentas!$A$2:$A$6092,[1]PlanCuentas!AG$2:AG$6092)</f>
        <v>0</v>
      </c>
      <c r="O1036" s="12">
        <f>LOOKUP(414021300,[1]PlanCuentas!$A$2:$A$6092,[1]PlanCuentas!AG$2:AG$6092)</f>
        <v>0</v>
      </c>
      <c r="P1036" s="12">
        <f>LOOKUP(414022000,[1]PlanCuentas!$A$2:$A$6092,[1]PlanCuentas!AG$2:AG$6092)</f>
        <v>0</v>
      </c>
      <c r="Q1036" s="13">
        <f t="shared" si="52"/>
        <v>0</v>
      </c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</row>
    <row r="1037" spans="1:30" x14ac:dyDescent="0.2">
      <c r="A1037" s="10">
        <v>32</v>
      </c>
      <c r="B1037" s="11" t="str">
        <f>[1]Aseguradoras!B33</f>
        <v>Panal Compañía De Seguros Generales S.A.</v>
      </c>
      <c r="C1037" s="12">
        <f>LOOKUP(414020100,[1]PlanCuentas!$A$2:$A$6092,[1]PlanCuentas!AH$2:AH$6092)</f>
        <v>0</v>
      </c>
      <c r="D1037" s="12">
        <f>LOOKUP(414020200,[1]PlanCuentas!$A$2:$A$6092,[1]PlanCuentas!AH$2:AH$6092)</f>
        <v>0</v>
      </c>
      <c r="E1037" s="12">
        <f>LOOKUP(414020300,[1]PlanCuentas!$A$2:$A$6092,[1]PlanCuentas!AH$2:AH$6092)</f>
        <v>0</v>
      </c>
      <c r="F1037" s="12">
        <f>LOOKUP(414020400,[1]PlanCuentas!$A$2:$A$6092,[1]PlanCuentas!AH$2:AH$6092)</f>
        <v>0</v>
      </c>
      <c r="G1037" s="12">
        <f>LOOKUP(414020500,[1]PlanCuentas!$A$2:$A$6092,[1]PlanCuentas!AH$2:AH$6092)</f>
        <v>0</v>
      </c>
      <c r="H1037" s="12">
        <f>LOOKUP(414020600,[1]PlanCuentas!$A$2:$A$6092,[1]PlanCuentas!AH$2:AH$6092)</f>
        <v>0</v>
      </c>
      <c r="I1037" s="12">
        <f>LOOKUP(414020700,[1]PlanCuentas!$A$2:$A$6092,[1]PlanCuentas!AH$2:AH$6092)</f>
        <v>0</v>
      </c>
      <c r="J1037" s="12">
        <f>LOOKUP(414020800,[1]PlanCuentas!$A$2:$A$6092,[1]PlanCuentas!AH$2:AH$6092)</f>
        <v>0</v>
      </c>
      <c r="K1037" s="12">
        <f>LOOKUP(414020900,[1]PlanCuentas!$A$2:$A$6092,[1]PlanCuentas!AH$2:AH$6092)</f>
        <v>0</v>
      </c>
      <c r="L1037" s="12">
        <f>LOOKUP(414021000,[1]PlanCuentas!$A$2:$A$6092,[1]PlanCuentas!AH$2:AH$6092)</f>
        <v>0</v>
      </c>
      <c r="M1037" s="12">
        <f>LOOKUP(414021100,[1]PlanCuentas!$A$2:$A$6092,[1]PlanCuentas!AH$2:AH$6092)</f>
        <v>0</v>
      </c>
      <c r="N1037" s="12">
        <f>LOOKUP(414021200,[1]PlanCuentas!$A$2:$A$6092,[1]PlanCuentas!AH$2:AH$6092)</f>
        <v>0</v>
      </c>
      <c r="O1037" s="12">
        <f>LOOKUP(414021300,[1]PlanCuentas!$A$2:$A$6092,[1]PlanCuentas!AH$2:AH$6092)</f>
        <v>0</v>
      </c>
      <c r="P1037" s="12">
        <f>LOOKUP(414022000,[1]PlanCuentas!$A$2:$A$6092,[1]PlanCuentas!AH$2:AH$6092)</f>
        <v>0</v>
      </c>
      <c r="Q1037" s="13">
        <f t="shared" si="52"/>
        <v>0</v>
      </c>
    </row>
    <row r="1038" spans="1:30" x14ac:dyDescent="0.2">
      <c r="A1038" s="14">
        <v>33</v>
      </c>
      <c r="B1038" s="19" t="str">
        <f>[1]Aseguradoras!B34</f>
        <v>Sancor Seguros del Paraguay S.A.</v>
      </c>
      <c r="C1038" s="12">
        <f>LOOKUP(414020100,[1]PlanCuentas!$A$2:$A$6092,[1]PlanCuentas!AI$2:AI$6092)</f>
        <v>0</v>
      </c>
      <c r="D1038" s="12">
        <f>LOOKUP(414020200,[1]PlanCuentas!$A$2:$A$6092,[1]PlanCuentas!AI$2:AI$6092)</f>
        <v>0</v>
      </c>
      <c r="E1038" s="12">
        <f>LOOKUP(414020300,[1]PlanCuentas!$A$2:$A$6092,[1]PlanCuentas!AI$2:AI$6092)</f>
        <v>0</v>
      </c>
      <c r="F1038" s="12">
        <f>LOOKUP(414020400,[1]PlanCuentas!$A$2:$A$6092,[1]PlanCuentas!AI$2:AI$6092)</f>
        <v>0</v>
      </c>
      <c r="G1038" s="12">
        <f>LOOKUP(414020500,[1]PlanCuentas!$A$2:$A$6092,[1]PlanCuentas!AI$2:AI$6092)</f>
        <v>0</v>
      </c>
      <c r="H1038" s="12">
        <f>LOOKUP(414020600,[1]PlanCuentas!$A$2:$A$6092,[1]PlanCuentas!AI$2:AI$6092)</f>
        <v>0</v>
      </c>
      <c r="I1038" s="12">
        <f>LOOKUP(414020700,[1]PlanCuentas!$A$2:$A$6092,[1]PlanCuentas!AI$2:AI$6092)</f>
        <v>0</v>
      </c>
      <c r="J1038" s="12">
        <f>LOOKUP(414020800,[1]PlanCuentas!$A$2:$A$6092,[1]PlanCuentas!AI$2:AI$6092)</f>
        <v>0</v>
      </c>
      <c r="K1038" s="12">
        <f>LOOKUP(414020900,[1]PlanCuentas!$A$2:$A$6092,[1]PlanCuentas!AI$2:AI$6092)</f>
        <v>0</v>
      </c>
      <c r="L1038" s="12">
        <f>LOOKUP(414021000,[1]PlanCuentas!$A$2:$A$6092,[1]PlanCuentas!AI$2:AI$6092)</f>
        <v>0</v>
      </c>
      <c r="M1038" s="12">
        <f>LOOKUP(414021100,[1]PlanCuentas!$A$2:$A$6092,[1]PlanCuentas!AI$2:AI$6092)</f>
        <v>0</v>
      </c>
      <c r="N1038" s="12">
        <f>LOOKUP(414021200,[1]PlanCuentas!$A$2:$A$6092,[1]PlanCuentas!AI$2:AI$6092)</f>
        <v>0</v>
      </c>
      <c r="O1038" s="12">
        <f>LOOKUP(414021300,[1]PlanCuentas!$A$2:$A$6092,[1]PlanCuentas!AI$2:AI$6092)</f>
        <v>0</v>
      </c>
      <c r="P1038" s="12">
        <f>LOOKUP(414022000,[1]PlanCuentas!$A$2:$A$6092,[1]PlanCuentas!AI$2:AI$6092)</f>
        <v>0</v>
      </c>
      <c r="Q1038" s="13">
        <f>SUM(C1038:P1038)</f>
        <v>0</v>
      </c>
    </row>
    <row r="1039" spans="1:30" x14ac:dyDescent="0.2">
      <c r="A1039" s="14"/>
      <c r="B1039" s="15" t="s">
        <v>18</v>
      </c>
      <c r="C1039" s="17">
        <f t="shared" ref="C1039:Q1039" si="53">SUBTOTAL(109,C1006:C1038)</f>
        <v>0</v>
      </c>
      <c r="D1039" s="17">
        <f t="shared" si="53"/>
        <v>0</v>
      </c>
      <c r="E1039" s="17">
        <f t="shared" si="53"/>
        <v>0</v>
      </c>
      <c r="F1039" s="17">
        <f t="shared" si="53"/>
        <v>0</v>
      </c>
      <c r="G1039" s="17">
        <f t="shared" si="53"/>
        <v>0</v>
      </c>
      <c r="H1039" s="17">
        <f t="shared" si="53"/>
        <v>0</v>
      </c>
      <c r="I1039" s="17">
        <f t="shared" si="53"/>
        <v>0</v>
      </c>
      <c r="J1039" s="17">
        <f t="shared" si="53"/>
        <v>0</v>
      </c>
      <c r="K1039" s="17">
        <f t="shared" si="53"/>
        <v>0</v>
      </c>
      <c r="L1039" s="17">
        <f t="shared" si="53"/>
        <v>0</v>
      </c>
      <c r="M1039" s="17">
        <f t="shared" si="53"/>
        <v>0</v>
      </c>
      <c r="N1039" s="17">
        <f t="shared" si="53"/>
        <v>0</v>
      </c>
      <c r="O1039" s="17">
        <f t="shared" si="53"/>
        <v>0</v>
      </c>
      <c r="P1039" s="17">
        <f t="shared" si="53"/>
        <v>0</v>
      </c>
      <c r="Q1039" s="17">
        <f t="shared" si="53"/>
        <v>0</v>
      </c>
    </row>
    <row r="1040" spans="1:30" x14ac:dyDescent="0.2"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</row>
    <row r="1041" spans="1:21" ht="28.35" customHeight="1" x14ac:dyDescent="0.2">
      <c r="A1041" s="1" t="s">
        <v>60</v>
      </c>
      <c r="B1041" s="47" t="s">
        <v>61</v>
      </c>
      <c r="C1041" s="47"/>
      <c r="D1041" s="2"/>
      <c r="E1041" s="3"/>
      <c r="F1041" s="4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</row>
    <row r="1042" spans="1:21" ht="24" x14ac:dyDescent="0.2">
      <c r="A1042" s="7" t="s">
        <v>2</v>
      </c>
      <c r="B1042" s="8" t="s">
        <v>3</v>
      </c>
      <c r="C1042" s="9" t="s">
        <v>4</v>
      </c>
      <c r="D1042" s="9" t="s">
        <v>5</v>
      </c>
      <c r="E1042" s="9" t="s">
        <v>6</v>
      </c>
      <c r="F1042" s="36" t="s">
        <v>7</v>
      </c>
      <c r="G1042" s="9" t="s">
        <v>8</v>
      </c>
      <c r="H1042" s="9" t="s">
        <v>9</v>
      </c>
      <c r="I1042" s="9" t="s">
        <v>10</v>
      </c>
      <c r="J1042" s="9" t="s">
        <v>11</v>
      </c>
      <c r="K1042" s="9" t="s">
        <v>12</v>
      </c>
      <c r="L1042" s="9" t="s">
        <v>13</v>
      </c>
      <c r="M1042" s="9" t="s">
        <v>14</v>
      </c>
      <c r="N1042" s="9" t="s">
        <v>15</v>
      </c>
      <c r="O1042" s="9" t="s">
        <v>16</v>
      </c>
      <c r="P1042" s="8" t="s">
        <v>17</v>
      </c>
      <c r="Q1042" s="8" t="s">
        <v>18</v>
      </c>
    </row>
    <row r="1043" spans="1:21" x14ac:dyDescent="0.2">
      <c r="A1043" s="10">
        <v>1</v>
      </c>
      <c r="B1043" s="11" t="str">
        <f>[1]Aseguradoras!B2</f>
        <v>El Comercio Paraguayo S.A. de Seguros</v>
      </c>
      <c r="C1043" s="12">
        <f>LOOKUP(415010100,[1]PlanCuentas!$A$2:$A$6092,[1]PlanCuentas!C$2:C$6092)</f>
        <v>0</v>
      </c>
      <c r="D1043" s="12">
        <f>LOOKUP(415010200,[1]PlanCuentas!$A$2:$A$6092,[1]PlanCuentas!C$2:C$6092)</f>
        <v>0</v>
      </c>
      <c r="E1043" s="12">
        <f>LOOKUP(415010300,[1]PlanCuentas!$A$2:$A$6092,[1]PlanCuentas!C$2:C$6092)</f>
        <v>0</v>
      </c>
      <c r="F1043" s="12">
        <f>LOOKUP(415010400,[1]PlanCuentas!$A$2:$A$6092,[1]PlanCuentas!C$2:C$6092)</f>
        <v>0</v>
      </c>
      <c r="G1043" s="12">
        <f>LOOKUP(415010500,[1]PlanCuentas!$A$2:$A$6092,[1]PlanCuentas!C$2:C$6092)</f>
        <v>0</v>
      </c>
      <c r="H1043" s="12">
        <f>LOOKUP(415010600,[1]PlanCuentas!$A$2:$A$6092,[1]PlanCuentas!C$2:C$6092)</f>
        <v>0</v>
      </c>
      <c r="I1043" s="12">
        <f>LOOKUP(415010700,[1]PlanCuentas!$A$2:$A$6092,[1]PlanCuentas!C$2:C$6092)</f>
        <v>0</v>
      </c>
      <c r="J1043" s="12">
        <f>LOOKUP(415010800,[1]PlanCuentas!$A$2:$A$6092,[1]PlanCuentas!C$2:C$6092)</f>
        <v>0</v>
      </c>
      <c r="K1043" s="12">
        <f>LOOKUP(415010900,[1]PlanCuentas!$A$2:$A$6092,[1]PlanCuentas!C$2:C$6092)</f>
        <v>0</v>
      </c>
      <c r="L1043" s="12">
        <f>LOOKUP(415011000,[1]PlanCuentas!$A$2:$A$6092,[1]PlanCuentas!C$2:C$6092)</f>
        <v>0</v>
      </c>
      <c r="M1043" s="12">
        <f>LOOKUP(415011100,[1]PlanCuentas!$A$2:$A$6092,[1]PlanCuentas!C$2:C$6092)</f>
        <v>0</v>
      </c>
      <c r="N1043" s="12">
        <f>LOOKUP(415011200,[1]PlanCuentas!$A$2:$A$6092,[1]PlanCuentas!C$2:C$6092)</f>
        <v>0</v>
      </c>
      <c r="O1043" s="12">
        <f>LOOKUP(415011300,[1]PlanCuentas!$A$2:$A$6092,[1]PlanCuentas!C$2:C$6092)</f>
        <v>0</v>
      </c>
      <c r="P1043" s="12">
        <f>LOOKUP(415012000,[1]PlanCuentas!$A$2:$A$6092,[1]PlanCuentas!C$2:C$6092)</f>
        <v>0</v>
      </c>
      <c r="Q1043" s="13">
        <f t="shared" ref="Q1043:Q1074" si="54">SUM(C1043:P1043)</f>
        <v>0</v>
      </c>
    </row>
    <row r="1044" spans="1:21" x14ac:dyDescent="0.2">
      <c r="A1044" s="10">
        <v>2</v>
      </c>
      <c r="B1044" s="11" t="str">
        <f>[1]Aseguradoras!B3</f>
        <v>La Rural S.A de Seguros</v>
      </c>
      <c r="C1044" s="12">
        <f>LOOKUP(415010100,[1]PlanCuentas!$A$2:$A$6092,[1]PlanCuentas!D$2:D$6092)</f>
        <v>0</v>
      </c>
      <c r="D1044" s="12">
        <f>LOOKUP(415010200,[1]PlanCuentas!$A$2:$A$6092,[1]PlanCuentas!D$2:D$6092)</f>
        <v>0</v>
      </c>
      <c r="E1044" s="12">
        <f>LOOKUP(415010300,[1]PlanCuentas!$A$2:$A$6092,[1]PlanCuentas!D$2:D$6092)</f>
        <v>0</v>
      </c>
      <c r="F1044" s="12">
        <f>LOOKUP(415010400,[1]PlanCuentas!$A$2:$A$6092,[1]PlanCuentas!D$2:D$6092)</f>
        <v>0</v>
      </c>
      <c r="G1044" s="12">
        <f>LOOKUP(415010500,[1]PlanCuentas!$A$2:$A$6092,[1]PlanCuentas!D$2:D$6092)</f>
        <v>0</v>
      </c>
      <c r="H1044" s="12">
        <f>LOOKUP(415010600,[1]PlanCuentas!$A$2:$A$6092,[1]PlanCuentas!D$2:D$6092)</f>
        <v>0</v>
      </c>
      <c r="I1044" s="12">
        <f>LOOKUP(415010700,[1]PlanCuentas!$A$2:$A$6092,[1]PlanCuentas!D$2:D$6092)</f>
        <v>0</v>
      </c>
      <c r="J1044" s="12">
        <f>LOOKUP(415010800,[1]PlanCuentas!$A$2:$A$6092,[1]PlanCuentas!D$2:D$6092)</f>
        <v>0</v>
      </c>
      <c r="K1044" s="12">
        <f>LOOKUP(415010900,[1]PlanCuentas!$A$2:$A$6092,[1]PlanCuentas!D$2:D$6092)</f>
        <v>0</v>
      </c>
      <c r="L1044" s="12">
        <f>LOOKUP(415011000,[1]PlanCuentas!$A$2:$A$6092,[1]PlanCuentas!D$2:D$6092)</f>
        <v>0</v>
      </c>
      <c r="M1044" s="12">
        <f>LOOKUP(415011100,[1]PlanCuentas!$A$2:$A$6092,[1]PlanCuentas!D$2:D$6092)</f>
        <v>0</v>
      </c>
      <c r="N1044" s="12">
        <f>LOOKUP(415011200,[1]PlanCuentas!$A$2:$A$6092,[1]PlanCuentas!D$2:D$6092)</f>
        <v>0</v>
      </c>
      <c r="O1044" s="12">
        <f>LOOKUP(415011300,[1]PlanCuentas!$A$2:$A$6092,[1]PlanCuentas!D$2:D$6092)</f>
        <v>0</v>
      </c>
      <c r="P1044" s="12">
        <f>LOOKUP(415012000,[1]PlanCuentas!$A$2:$A$6092,[1]PlanCuentas!D$2:D$6092)</f>
        <v>0</v>
      </c>
      <c r="Q1044" s="13">
        <f t="shared" si="54"/>
        <v>0</v>
      </c>
    </row>
    <row r="1045" spans="1:21" x14ac:dyDescent="0.2">
      <c r="A1045" s="10">
        <v>3</v>
      </c>
      <c r="B1045" s="11" t="str">
        <f>[1]Aseguradoras!B4</f>
        <v>La Paraguaya S.A de Seguros</v>
      </c>
      <c r="C1045" s="12">
        <f>LOOKUP(415010100,[1]PlanCuentas!$A$2:$A$6092,[1]PlanCuentas!E$2:E$6092)</f>
        <v>0</v>
      </c>
      <c r="D1045" s="12">
        <f>LOOKUP(415010200,[1]PlanCuentas!$A$2:$A$6092,[1]PlanCuentas!E$2:E$6092)</f>
        <v>0</v>
      </c>
      <c r="E1045" s="12">
        <f>LOOKUP(415010300,[1]PlanCuentas!$A$2:$A$6092,[1]PlanCuentas!E$2:E$6092)</f>
        <v>0</v>
      </c>
      <c r="F1045" s="12">
        <f>LOOKUP(415010400,[1]PlanCuentas!$A$2:$A$6092,[1]PlanCuentas!E$2:E$6092)</f>
        <v>0</v>
      </c>
      <c r="G1045" s="12">
        <f>LOOKUP(415010500,[1]PlanCuentas!$A$2:$A$6092,[1]PlanCuentas!E$2:E$6092)</f>
        <v>0</v>
      </c>
      <c r="H1045" s="12">
        <f>LOOKUP(415010600,[1]PlanCuentas!$A$2:$A$6092,[1]PlanCuentas!E$2:E$6092)</f>
        <v>0</v>
      </c>
      <c r="I1045" s="12">
        <f>LOOKUP(415010700,[1]PlanCuentas!$A$2:$A$6092,[1]PlanCuentas!E$2:E$6092)</f>
        <v>0</v>
      </c>
      <c r="J1045" s="12">
        <f>LOOKUP(415010800,[1]PlanCuentas!$A$2:$A$6092,[1]PlanCuentas!E$2:E$6092)</f>
        <v>0</v>
      </c>
      <c r="K1045" s="12">
        <f>LOOKUP(415010900,[1]PlanCuentas!$A$2:$A$6092,[1]PlanCuentas!E$2:E$6092)</f>
        <v>0</v>
      </c>
      <c r="L1045" s="12">
        <f>LOOKUP(415011000,[1]PlanCuentas!$A$2:$A$6092,[1]PlanCuentas!E$2:E$6092)</f>
        <v>0</v>
      </c>
      <c r="M1045" s="12">
        <f>LOOKUP(415011100,[1]PlanCuentas!$A$2:$A$6092,[1]PlanCuentas!E$2:E$6092)</f>
        <v>0</v>
      </c>
      <c r="N1045" s="12">
        <f>LOOKUP(415011200,[1]PlanCuentas!$A$2:$A$6092,[1]PlanCuentas!E$2:E$6092)</f>
        <v>0</v>
      </c>
      <c r="O1045" s="12">
        <f>LOOKUP(415011300,[1]PlanCuentas!$A$2:$A$6092,[1]PlanCuentas!E$2:E$6092)</f>
        <v>0</v>
      </c>
      <c r="P1045" s="12">
        <f>LOOKUP(415012000,[1]PlanCuentas!$A$2:$A$6092,[1]PlanCuentas!E$2:E$6092)</f>
        <v>0</v>
      </c>
      <c r="Q1045" s="13">
        <f t="shared" si="54"/>
        <v>0</v>
      </c>
    </row>
    <row r="1046" spans="1:21" x14ac:dyDescent="0.2">
      <c r="A1046" s="10">
        <v>4</v>
      </c>
      <c r="B1046" s="11" t="str">
        <f>[1]Aseguradoras!B5</f>
        <v>Seguros Generales S. A (SEGESA)</v>
      </c>
      <c r="C1046" s="12">
        <f>LOOKUP(415010100,[1]PlanCuentas!$A$2:$A$6092,[1]PlanCuentas!F$2:F$6092)</f>
        <v>0</v>
      </c>
      <c r="D1046" s="12">
        <f>LOOKUP(415010200,[1]PlanCuentas!$A$2:$A$6092,[1]PlanCuentas!F$2:F$6092)</f>
        <v>0</v>
      </c>
      <c r="E1046" s="12">
        <f>LOOKUP(415010300,[1]PlanCuentas!$A$2:$A$6092,[1]PlanCuentas!F$2:F$6092)</f>
        <v>0</v>
      </c>
      <c r="F1046" s="12">
        <f>LOOKUP(415010400,[1]PlanCuentas!$A$2:$A$6092,[1]PlanCuentas!F$2:F$6092)</f>
        <v>0</v>
      </c>
      <c r="G1046" s="12">
        <f>LOOKUP(415010500,[1]PlanCuentas!$A$2:$A$6092,[1]PlanCuentas!F$2:F$6092)</f>
        <v>0</v>
      </c>
      <c r="H1046" s="12">
        <f>LOOKUP(415010600,[1]PlanCuentas!$A$2:$A$6092,[1]PlanCuentas!F$2:F$6092)</f>
        <v>0</v>
      </c>
      <c r="I1046" s="12">
        <f>LOOKUP(415010700,[1]PlanCuentas!$A$2:$A$6092,[1]PlanCuentas!F$2:F$6092)</f>
        <v>0</v>
      </c>
      <c r="J1046" s="12">
        <f>LOOKUP(415010800,[1]PlanCuentas!$A$2:$A$6092,[1]PlanCuentas!F$2:F$6092)</f>
        <v>0</v>
      </c>
      <c r="K1046" s="12">
        <f>LOOKUP(415010900,[1]PlanCuentas!$A$2:$A$6092,[1]PlanCuentas!F$2:F$6092)</f>
        <v>0</v>
      </c>
      <c r="L1046" s="12">
        <f>LOOKUP(415011000,[1]PlanCuentas!$A$2:$A$6092,[1]PlanCuentas!F$2:F$6092)</f>
        <v>0</v>
      </c>
      <c r="M1046" s="12">
        <f>LOOKUP(415011100,[1]PlanCuentas!$A$2:$A$6092,[1]PlanCuentas!F$2:F$6092)</f>
        <v>0</v>
      </c>
      <c r="N1046" s="12">
        <f>LOOKUP(415011200,[1]PlanCuentas!$A$2:$A$6092,[1]PlanCuentas!F$2:F$6092)</f>
        <v>0</v>
      </c>
      <c r="O1046" s="12">
        <f>LOOKUP(415011300,[1]PlanCuentas!$A$2:$A$6092,[1]PlanCuentas!F$2:F$6092)</f>
        <v>0</v>
      </c>
      <c r="P1046" s="12">
        <f>LOOKUP(415012000,[1]PlanCuentas!$A$2:$A$6092,[1]PlanCuentas!F$2:F$6092)</f>
        <v>0</v>
      </c>
      <c r="Q1046" s="13">
        <f t="shared" si="54"/>
        <v>0</v>
      </c>
      <c r="R1046" s="5"/>
      <c r="S1046" s="5"/>
    </row>
    <row r="1047" spans="1:21" x14ac:dyDescent="0.2">
      <c r="A1047" s="10">
        <v>5</v>
      </c>
      <c r="B1047" s="11" t="str">
        <f>[1]Aseguradoras!B6</f>
        <v>Rumbos S.A de Seguros</v>
      </c>
      <c r="C1047" s="12">
        <f>LOOKUP(415010100,[1]PlanCuentas!$A$2:$A$6092,[1]PlanCuentas!G$2:G$6092)</f>
        <v>0</v>
      </c>
      <c r="D1047" s="12">
        <f>LOOKUP(415010200,[1]PlanCuentas!$A$2:$A$6092,[1]PlanCuentas!G$2:G$6092)</f>
        <v>0</v>
      </c>
      <c r="E1047" s="12">
        <f>LOOKUP(415010300,[1]PlanCuentas!$A$2:$A$6092,[1]PlanCuentas!G$2:G$6092)</f>
        <v>0</v>
      </c>
      <c r="F1047" s="12">
        <f>LOOKUP(415010400,[1]PlanCuentas!$A$2:$A$6092,[1]PlanCuentas!G$2:G$6092)</f>
        <v>0</v>
      </c>
      <c r="G1047" s="12">
        <f>LOOKUP(415010500,[1]PlanCuentas!$A$2:$A$6092,[1]PlanCuentas!G$2:G$6092)</f>
        <v>0</v>
      </c>
      <c r="H1047" s="12">
        <f>LOOKUP(415010600,[1]PlanCuentas!$A$2:$A$6092,[1]PlanCuentas!G$2:G$6092)</f>
        <v>0</v>
      </c>
      <c r="I1047" s="12">
        <f>LOOKUP(415010700,[1]PlanCuentas!$A$2:$A$6092,[1]PlanCuentas!G$2:G$6092)</f>
        <v>0</v>
      </c>
      <c r="J1047" s="12">
        <f>LOOKUP(415010800,[1]PlanCuentas!$A$2:$A$6092,[1]PlanCuentas!G$2:G$6092)</f>
        <v>0</v>
      </c>
      <c r="K1047" s="12">
        <f>LOOKUP(415010900,[1]PlanCuentas!$A$2:$A$6092,[1]PlanCuentas!G$2:G$6092)</f>
        <v>0</v>
      </c>
      <c r="L1047" s="12">
        <f>LOOKUP(415011000,[1]PlanCuentas!$A$2:$A$6092,[1]PlanCuentas!G$2:G$6092)</f>
        <v>0</v>
      </c>
      <c r="M1047" s="12">
        <f>LOOKUP(415011100,[1]PlanCuentas!$A$2:$A$6092,[1]PlanCuentas!G$2:G$6092)</f>
        <v>0</v>
      </c>
      <c r="N1047" s="12">
        <f>LOOKUP(415011200,[1]PlanCuentas!$A$2:$A$6092,[1]PlanCuentas!G$2:G$6092)</f>
        <v>0</v>
      </c>
      <c r="O1047" s="12">
        <f>LOOKUP(415011300,[1]PlanCuentas!$A$2:$A$6092,[1]PlanCuentas!G$2:G$6092)</f>
        <v>0</v>
      </c>
      <c r="P1047" s="12">
        <f>LOOKUP(415012000,[1]PlanCuentas!$A$2:$A$6092,[1]PlanCuentas!G$2:G$6092)</f>
        <v>0</v>
      </c>
      <c r="Q1047" s="13">
        <f t="shared" si="54"/>
        <v>0</v>
      </c>
      <c r="R1047" s="5"/>
      <c r="S1047" s="5"/>
      <c r="T1047" s="5"/>
      <c r="U1047" s="5"/>
    </row>
    <row r="1048" spans="1:21" x14ac:dyDescent="0.2">
      <c r="A1048" s="10">
        <v>6</v>
      </c>
      <c r="B1048" s="11" t="str">
        <f>[1]Aseguradoras!B7</f>
        <v>La Consolidada S.A de Seguros</v>
      </c>
      <c r="C1048" s="12">
        <f>LOOKUP(415010100,[1]PlanCuentas!$A$2:$A$6092,[1]PlanCuentas!H$2:H$6092)</f>
        <v>0</v>
      </c>
      <c r="D1048" s="12">
        <f>LOOKUP(415010200,[1]PlanCuentas!$A$2:$A$6092,[1]PlanCuentas!H$2:H$6092)</f>
        <v>0</v>
      </c>
      <c r="E1048" s="12">
        <f>LOOKUP(415010300,[1]PlanCuentas!$A$2:$A$6092,[1]PlanCuentas!H$2:H$6092)</f>
        <v>0</v>
      </c>
      <c r="F1048" s="12">
        <f>LOOKUP(415010400,[1]PlanCuentas!$A$2:$A$6092,[1]PlanCuentas!H$2:H$6092)</f>
        <v>0</v>
      </c>
      <c r="G1048" s="12">
        <f>LOOKUP(415010500,[1]PlanCuentas!$A$2:$A$6092,[1]PlanCuentas!H$2:H$6092)</f>
        <v>0</v>
      </c>
      <c r="H1048" s="12">
        <f>LOOKUP(415010600,[1]PlanCuentas!$A$2:$A$6092,[1]PlanCuentas!H$2:H$6092)</f>
        <v>0</v>
      </c>
      <c r="I1048" s="12">
        <f>LOOKUP(415010700,[1]PlanCuentas!$A$2:$A$6092,[1]PlanCuentas!H$2:H$6092)</f>
        <v>0</v>
      </c>
      <c r="J1048" s="12">
        <f>LOOKUP(415010800,[1]PlanCuentas!$A$2:$A$6092,[1]PlanCuentas!H$2:H$6092)</f>
        <v>0</v>
      </c>
      <c r="K1048" s="12">
        <f>LOOKUP(415010900,[1]PlanCuentas!$A$2:$A$6092,[1]PlanCuentas!H$2:H$6092)</f>
        <v>0</v>
      </c>
      <c r="L1048" s="12">
        <f>LOOKUP(415011000,[1]PlanCuentas!$A$2:$A$6092,[1]PlanCuentas!H$2:H$6092)</f>
        <v>0</v>
      </c>
      <c r="M1048" s="12">
        <f>LOOKUP(415011100,[1]PlanCuentas!$A$2:$A$6092,[1]PlanCuentas!H$2:H$6092)</f>
        <v>0</v>
      </c>
      <c r="N1048" s="12">
        <f>LOOKUP(415011200,[1]PlanCuentas!$A$2:$A$6092,[1]PlanCuentas!H$2:H$6092)</f>
        <v>0</v>
      </c>
      <c r="O1048" s="12">
        <f>LOOKUP(415011300,[1]PlanCuentas!$A$2:$A$6092,[1]PlanCuentas!H$2:H$6092)</f>
        <v>0</v>
      </c>
      <c r="P1048" s="12">
        <f>LOOKUP(415012000,[1]PlanCuentas!$A$2:$A$6092,[1]PlanCuentas!H$2:H$6092)</f>
        <v>0</v>
      </c>
      <c r="Q1048" s="13">
        <f t="shared" si="54"/>
        <v>0</v>
      </c>
      <c r="R1048" s="5"/>
      <c r="S1048" s="5"/>
    </row>
    <row r="1049" spans="1:21" x14ac:dyDescent="0.2">
      <c r="A1049" s="10">
        <v>7</v>
      </c>
      <c r="B1049" s="11" t="str">
        <f>[1]Aseguradoras!B8</f>
        <v>El Productor S.A de Seguros y Reaseguros</v>
      </c>
      <c r="C1049" s="12">
        <f>LOOKUP(415010100,[1]PlanCuentas!$A$2:$A$6092,[1]PlanCuentas!I$2:I$6092)</f>
        <v>0</v>
      </c>
      <c r="D1049" s="12">
        <f>LOOKUP(415010200,[1]PlanCuentas!$A$2:$A$6092,[1]PlanCuentas!I$2:I$6092)</f>
        <v>0</v>
      </c>
      <c r="E1049" s="12">
        <f>LOOKUP(415010300,[1]PlanCuentas!$A$2:$A$6092,[1]PlanCuentas!I$2:I$6092)</f>
        <v>0</v>
      </c>
      <c r="F1049" s="12">
        <f>LOOKUP(415010400,[1]PlanCuentas!$A$2:$A$6092,[1]PlanCuentas!I$2:I$6092)</f>
        <v>0</v>
      </c>
      <c r="G1049" s="12">
        <f>LOOKUP(415010500,[1]PlanCuentas!$A$2:$A$6092,[1]PlanCuentas!I$2:I$6092)</f>
        <v>0</v>
      </c>
      <c r="H1049" s="12">
        <f>LOOKUP(415010600,[1]PlanCuentas!$A$2:$A$6092,[1]PlanCuentas!I$2:I$6092)</f>
        <v>0</v>
      </c>
      <c r="I1049" s="12">
        <f>LOOKUP(415010700,[1]PlanCuentas!$A$2:$A$6092,[1]PlanCuentas!I$2:I$6092)</f>
        <v>0</v>
      </c>
      <c r="J1049" s="12">
        <f>LOOKUP(415010800,[1]PlanCuentas!$A$2:$A$6092,[1]PlanCuentas!I$2:I$6092)</f>
        <v>0</v>
      </c>
      <c r="K1049" s="12">
        <f>LOOKUP(415010900,[1]PlanCuentas!$A$2:$A$6092,[1]PlanCuentas!I$2:I$6092)</f>
        <v>0</v>
      </c>
      <c r="L1049" s="12">
        <f>LOOKUP(415011000,[1]PlanCuentas!$A$2:$A$6092,[1]PlanCuentas!I$2:I$6092)</f>
        <v>0</v>
      </c>
      <c r="M1049" s="12">
        <f>LOOKUP(415011100,[1]PlanCuentas!$A$2:$A$6092,[1]PlanCuentas!I$2:I$6092)</f>
        <v>0</v>
      </c>
      <c r="N1049" s="12">
        <f>LOOKUP(415011200,[1]PlanCuentas!$A$2:$A$6092,[1]PlanCuentas!I$2:I$6092)</f>
        <v>0</v>
      </c>
      <c r="O1049" s="12">
        <f>LOOKUP(415011300,[1]PlanCuentas!$A$2:$A$6092,[1]PlanCuentas!I$2:I$6092)</f>
        <v>0</v>
      </c>
      <c r="P1049" s="12">
        <f>LOOKUP(415012000,[1]PlanCuentas!$A$2:$A$6092,[1]PlanCuentas!I$2:I$6092)</f>
        <v>0</v>
      </c>
      <c r="Q1049" s="13">
        <f t="shared" si="54"/>
        <v>0</v>
      </c>
      <c r="R1049" s="5"/>
      <c r="S1049" s="5"/>
    </row>
    <row r="1050" spans="1:21" x14ac:dyDescent="0.2">
      <c r="A1050" s="10">
        <v>8</v>
      </c>
      <c r="B1050" s="11" t="str">
        <f>[1]Aseguradoras!B9</f>
        <v>Atalaya S.A de Seguros Generales</v>
      </c>
      <c r="C1050" s="12">
        <f>LOOKUP(415010100,[1]PlanCuentas!$A$2:$A$6092,[1]PlanCuentas!J$2:J$6092)</f>
        <v>0</v>
      </c>
      <c r="D1050" s="12">
        <f>LOOKUP(415010200,[1]PlanCuentas!$A$2:$A$6092,[1]PlanCuentas!J$2:J$6092)</f>
        <v>0</v>
      </c>
      <c r="E1050" s="12">
        <f>LOOKUP(415010300,[1]PlanCuentas!$A$2:$A$6092,[1]PlanCuentas!J$2:J$6092)</f>
        <v>0</v>
      </c>
      <c r="F1050" s="12">
        <f>LOOKUP(415010400,[1]PlanCuentas!$A$2:$A$6092,[1]PlanCuentas!J$2:J$6092)</f>
        <v>0</v>
      </c>
      <c r="G1050" s="12">
        <f>LOOKUP(415010500,[1]PlanCuentas!$A$2:$A$6092,[1]PlanCuentas!J$2:J$6092)</f>
        <v>0</v>
      </c>
      <c r="H1050" s="12">
        <f>LOOKUP(415010600,[1]PlanCuentas!$A$2:$A$6092,[1]PlanCuentas!J$2:J$6092)</f>
        <v>0</v>
      </c>
      <c r="I1050" s="12">
        <f>LOOKUP(415010700,[1]PlanCuentas!$A$2:$A$6092,[1]PlanCuentas!J$2:J$6092)</f>
        <v>0</v>
      </c>
      <c r="J1050" s="12">
        <f>LOOKUP(415010800,[1]PlanCuentas!$A$2:$A$6092,[1]PlanCuentas!J$2:J$6092)</f>
        <v>0</v>
      </c>
      <c r="K1050" s="12">
        <f>LOOKUP(415010900,[1]PlanCuentas!$A$2:$A$6092,[1]PlanCuentas!J$2:J$6092)</f>
        <v>0</v>
      </c>
      <c r="L1050" s="12">
        <f>LOOKUP(415011000,[1]PlanCuentas!$A$2:$A$6092,[1]PlanCuentas!J$2:J$6092)</f>
        <v>0</v>
      </c>
      <c r="M1050" s="12">
        <f>LOOKUP(415011100,[1]PlanCuentas!$A$2:$A$6092,[1]PlanCuentas!J$2:J$6092)</f>
        <v>0</v>
      </c>
      <c r="N1050" s="12">
        <f>LOOKUP(415011200,[1]PlanCuentas!$A$2:$A$6092,[1]PlanCuentas!J$2:J$6092)</f>
        <v>0</v>
      </c>
      <c r="O1050" s="12">
        <f>LOOKUP(415011300,[1]PlanCuentas!$A$2:$A$6092,[1]PlanCuentas!J$2:J$6092)</f>
        <v>0</v>
      </c>
      <c r="P1050" s="12">
        <f>LOOKUP(415012000,[1]PlanCuentas!$A$2:$A$6092,[1]PlanCuentas!J$2:J$6092)</f>
        <v>0</v>
      </c>
      <c r="Q1050" s="13">
        <f t="shared" si="54"/>
        <v>0</v>
      </c>
      <c r="R1050" s="5"/>
      <c r="S1050" s="5"/>
    </row>
    <row r="1051" spans="1:21" x14ac:dyDescent="0.2">
      <c r="A1051" s="10">
        <v>9</v>
      </c>
      <c r="B1051" s="11" t="str">
        <f>[1]Aseguradoras!B10</f>
        <v>La Independencia de Seguros S.A.</v>
      </c>
      <c r="C1051" s="12">
        <f>LOOKUP(415010100,[1]PlanCuentas!$A$2:$A$6092,[1]PlanCuentas!K$2:K$6092)</f>
        <v>0</v>
      </c>
      <c r="D1051" s="12">
        <f>LOOKUP(415010200,[1]PlanCuentas!$A$2:$A$6092,[1]PlanCuentas!K$2:K$6092)</f>
        <v>0</v>
      </c>
      <c r="E1051" s="12">
        <f>LOOKUP(415010300,[1]PlanCuentas!$A$2:$A$6092,[1]PlanCuentas!K$2:K$6092)</f>
        <v>0</v>
      </c>
      <c r="F1051" s="12">
        <f>LOOKUP(415010400,[1]PlanCuentas!$A$2:$A$6092,[1]PlanCuentas!K$2:K$6092)</f>
        <v>0</v>
      </c>
      <c r="G1051" s="12">
        <f>LOOKUP(415010500,[1]PlanCuentas!$A$2:$A$6092,[1]PlanCuentas!K$2:K$6092)</f>
        <v>0</v>
      </c>
      <c r="H1051" s="12">
        <f>LOOKUP(415010600,[1]PlanCuentas!$A$2:$A$6092,[1]PlanCuentas!K$2:K$6092)</f>
        <v>0</v>
      </c>
      <c r="I1051" s="12">
        <f>LOOKUP(415010700,[1]PlanCuentas!$A$2:$A$6092,[1]PlanCuentas!K$2:K$6092)</f>
        <v>0</v>
      </c>
      <c r="J1051" s="12">
        <f>LOOKUP(415010800,[1]PlanCuentas!$A$2:$A$6092,[1]PlanCuentas!K$2:K$6092)</f>
        <v>0</v>
      </c>
      <c r="K1051" s="12">
        <f>LOOKUP(415010900,[1]PlanCuentas!$A$2:$A$6092,[1]PlanCuentas!K$2:K$6092)</f>
        <v>0</v>
      </c>
      <c r="L1051" s="12">
        <f>LOOKUP(415011000,[1]PlanCuentas!$A$2:$A$6092,[1]PlanCuentas!K$2:K$6092)</f>
        <v>0</v>
      </c>
      <c r="M1051" s="12">
        <f>LOOKUP(415011100,[1]PlanCuentas!$A$2:$A$6092,[1]PlanCuentas!K$2:K$6092)</f>
        <v>0</v>
      </c>
      <c r="N1051" s="12">
        <f>LOOKUP(415011200,[1]PlanCuentas!$A$2:$A$6092,[1]PlanCuentas!K$2:K$6092)</f>
        <v>0</v>
      </c>
      <c r="O1051" s="12">
        <f>LOOKUP(415011300,[1]PlanCuentas!$A$2:$A$6092,[1]PlanCuentas!K$2:K$6092)</f>
        <v>0</v>
      </c>
      <c r="P1051" s="12">
        <f>LOOKUP(415012000,[1]PlanCuentas!$A$2:$A$6092,[1]PlanCuentas!K$2:K$6092)</f>
        <v>0</v>
      </c>
      <c r="Q1051" s="13">
        <f t="shared" si="54"/>
        <v>0</v>
      </c>
      <c r="R1051" s="5"/>
      <c r="S1051" s="5"/>
    </row>
    <row r="1052" spans="1:21" x14ac:dyDescent="0.2">
      <c r="A1052" s="10">
        <v>10</v>
      </c>
      <c r="B1052" s="11" t="str">
        <f>[1]Aseguradoras!B11</f>
        <v>Patria S.A de Seguros y Reaseguros</v>
      </c>
      <c r="C1052" s="12">
        <f>LOOKUP(415010100,[1]PlanCuentas!$A$2:$A$6092,[1]PlanCuentas!L$2:L$6092)</f>
        <v>0</v>
      </c>
      <c r="D1052" s="12">
        <f>LOOKUP(415010200,[1]PlanCuentas!$A$2:$A$6092,[1]PlanCuentas!L$2:L$6092)</f>
        <v>0</v>
      </c>
      <c r="E1052" s="12">
        <f>LOOKUP(415010300,[1]PlanCuentas!$A$2:$A$6092,[1]PlanCuentas!L$2:L$6092)</f>
        <v>0</v>
      </c>
      <c r="F1052" s="12">
        <f>LOOKUP(415010400,[1]PlanCuentas!$A$2:$A$6092,[1]PlanCuentas!L$2:L$6092)</f>
        <v>0</v>
      </c>
      <c r="G1052" s="12">
        <f>LOOKUP(415010500,[1]PlanCuentas!$A$2:$A$6092,[1]PlanCuentas!L$2:L$6092)</f>
        <v>0</v>
      </c>
      <c r="H1052" s="12">
        <f>LOOKUP(415010600,[1]PlanCuentas!$A$2:$A$6092,[1]PlanCuentas!L$2:L$6092)</f>
        <v>0</v>
      </c>
      <c r="I1052" s="12">
        <f>LOOKUP(415010700,[1]PlanCuentas!$A$2:$A$6092,[1]PlanCuentas!L$2:L$6092)</f>
        <v>0</v>
      </c>
      <c r="J1052" s="12">
        <f>LOOKUP(415010800,[1]PlanCuentas!$A$2:$A$6092,[1]PlanCuentas!L$2:L$6092)</f>
        <v>0</v>
      </c>
      <c r="K1052" s="12">
        <f>LOOKUP(415010900,[1]PlanCuentas!$A$2:$A$6092,[1]PlanCuentas!L$2:L$6092)</f>
        <v>0</v>
      </c>
      <c r="L1052" s="12">
        <f>LOOKUP(415011000,[1]PlanCuentas!$A$2:$A$6092,[1]PlanCuentas!L$2:L$6092)</f>
        <v>0</v>
      </c>
      <c r="M1052" s="12">
        <f>LOOKUP(415011100,[1]PlanCuentas!$A$2:$A$6092,[1]PlanCuentas!L$2:L$6092)</f>
        <v>0</v>
      </c>
      <c r="N1052" s="12">
        <f>LOOKUP(415011200,[1]PlanCuentas!$A$2:$A$6092,[1]PlanCuentas!L$2:L$6092)</f>
        <v>0</v>
      </c>
      <c r="O1052" s="12">
        <f>LOOKUP(415011300,[1]PlanCuentas!$A$2:$A$6092,[1]PlanCuentas!L$2:L$6092)</f>
        <v>0</v>
      </c>
      <c r="P1052" s="12">
        <f>LOOKUP(415012000,[1]PlanCuentas!$A$2:$A$6092,[1]PlanCuentas!L$2:L$6092)</f>
        <v>0</v>
      </c>
      <c r="Q1052" s="13">
        <f t="shared" si="54"/>
        <v>0</v>
      </c>
      <c r="R1052" s="5"/>
      <c r="S1052" s="5"/>
    </row>
    <row r="1053" spans="1:21" x14ac:dyDescent="0.2">
      <c r="A1053" s="10">
        <v>11</v>
      </c>
      <c r="B1053" s="11" t="str">
        <f>[1]Aseguradoras!B12</f>
        <v>Garantía S.A de Seguros y Reaseguros</v>
      </c>
      <c r="C1053" s="12">
        <f>LOOKUP(415010100,[1]PlanCuentas!$A$2:$A$6092,[1]PlanCuentas!M$2:M$6092)</f>
        <v>0</v>
      </c>
      <c r="D1053" s="12">
        <f>LOOKUP(415010200,[1]PlanCuentas!$A$2:$A$6092,[1]PlanCuentas!M$2:M$6092)</f>
        <v>0</v>
      </c>
      <c r="E1053" s="12">
        <f>LOOKUP(415010300,[1]PlanCuentas!$A$2:$A$6092,[1]PlanCuentas!M$2:M$6092)</f>
        <v>0</v>
      </c>
      <c r="F1053" s="12">
        <f>LOOKUP(415010400,[1]PlanCuentas!$A$2:$A$6092,[1]PlanCuentas!M$2:M$6092)</f>
        <v>0</v>
      </c>
      <c r="G1053" s="12">
        <f>LOOKUP(415010500,[1]PlanCuentas!$A$2:$A$6092,[1]PlanCuentas!M$2:M$6092)</f>
        <v>0</v>
      </c>
      <c r="H1053" s="12">
        <f>LOOKUP(415010600,[1]PlanCuentas!$A$2:$A$6092,[1]PlanCuentas!M$2:M$6092)</f>
        <v>0</v>
      </c>
      <c r="I1053" s="12">
        <f>LOOKUP(415010700,[1]PlanCuentas!$A$2:$A$6092,[1]PlanCuentas!M$2:M$6092)</f>
        <v>0</v>
      </c>
      <c r="J1053" s="12">
        <f>LOOKUP(415010800,[1]PlanCuentas!$A$2:$A$6092,[1]PlanCuentas!M$2:M$6092)</f>
        <v>0</v>
      </c>
      <c r="K1053" s="12">
        <f>LOOKUP(415010900,[1]PlanCuentas!$A$2:$A$6092,[1]PlanCuentas!M$2:M$6092)</f>
        <v>0</v>
      </c>
      <c r="L1053" s="12">
        <f>LOOKUP(415011000,[1]PlanCuentas!$A$2:$A$6092,[1]PlanCuentas!M$2:M$6092)</f>
        <v>0</v>
      </c>
      <c r="M1053" s="12">
        <f>LOOKUP(415011100,[1]PlanCuentas!$A$2:$A$6092,[1]PlanCuentas!M$2:M$6092)</f>
        <v>0</v>
      </c>
      <c r="N1053" s="12">
        <f>LOOKUP(415011200,[1]PlanCuentas!$A$2:$A$6092,[1]PlanCuentas!M$2:M$6092)</f>
        <v>0</v>
      </c>
      <c r="O1053" s="12">
        <f>LOOKUP(415011300,[1]PlanCuentas!$A$2:$A$6092,[1]PlanCuentas!M$2:M$6092)</f>
        <v>0</v>
      </c>
      <c r="P1053" s="12">
        <f>LOOKUP(415012000,[1]PlanCuentas!$A$2:$A$6092,[1]PlanCuentas!M$2:M$6092)</f>
        <v>0</v>
      </c>
      <c r="Q1053" s="13">
        <f t="shared" si="54"/>
        <v>0</v>
      </c>
      <c r="R1053" s="5"/>
      <c r="S1053" s="5"/>
    </row>
    <row r="1054" spans="1:21" x14ac:dyDescent="0.2">
      <c r="A1054" s="10">
        <v>12</v>
      </c>
      <c r="B1054" s="11" t="str">
        <f>[1]Aseguradoras!B13</f>
        <v>Aseguradora Paraguaya S.A.</v>
      </c>
      <c r="C1054" s="12">
        <f>LOOKUP(415010100,[1]PlanCuentas!$A$2:$A$6092,[1]PlanCuentas!N$2:N$6092)</f>
        <v>0</v>
      </c>
      <c r="D1054" s="12">
        <f>LOOKUP(415010200,[1]PlanCuentas!$A$2:$A$6092,[1]PlanCuentas!N$2:N$6092)</f>
        <v>0</v>
      </c>
      <c r="E1054" s="12">
        <f>LOOKUP(415010300,[1]PlanCuentas!$A$2:$A$6092,[1]PlanCuentas!N$2:N$6092)</f>
        <v>0</v>
      </c>
      <c r="F1054" s="12">
        <f>LOOKUP(415010400,[1]PlanCuentas!$A$2:$A$6092,[1]PlanCuentas!N$2:N$6092)</f>
        <v>0</v>
      </c>
      <c r="G1054" s="12">
        <f>LOOKUP(415010500,[1]PlanCuentas!$A$2:$A$6092,[1]PlanCuentas!N$2:N$6092)</f>
        <v>0</v>
      </c>
      <c r="H1054" s="12">
        <f>LOOKUP(415010600,[1]PlanCuentas!$A$2:$A$6092,[1]PlanCuentas!N$2:N$6092)</f>
        <v>0</v>
      </c>
      <c r="I1054" s="12">
        <f>LOOKUP(415010700,[1]PlanCuentas!$A$2:$A$6092,[1]PlanCuentas!N$2:N$6092)</f>
        <v>0</v>
      </c>
      <c r="J1054" s="12">
        <f>LOOKUP(415010800,[1]PlanCuentas!$A$2:$A$6092,[1]PlanCuentas!N$2:N$6092)</f>
        <v>0</v>
      </c>
      <c r="K1054" s="12">
        <f>LOOKUP(415010900,[1]PlanCuentas!$A$2:$A$6092,[1]PlanCuentas!N$2:N$6092)</f>
        <v>0</v>
      </c>
      <c r="L1054" s="12">
        <f>LOOKUP(415011000,[1]PlanCuentas!$A$2:$A$6092,[1]PlanCuentas!N$2:N$6092)</f>
        <v>0</v>
      </c>
      <c r="M1054" s="12">
        <f>LOOKUP(415011100,[1]PlanCuentas!$A$2:$A$6092,[1]PlanCuentas!N$2:N$6092)</f>
        <v>0</v>
      </c>
      <c r="N1054" s="12">
        <f>LOOKUP(415011200,[1]PlanCuentas!$A$2:$A$6092,[1]PlanCuentas!N$2:N$6092)</f>
        <v>0</v>
      </c>
      <c r="O1054" s="12">
        <f>LOOKUP(415011300,[1]PlanCuentas!$A$2:$A$6092,[1]PlanCuentas!N$2:N$6092)</f>
        <v>0</v>
      </c>
      <c r="P1054" s="12">
        <f>LOOKUP(415012000,[1]PlanCuentas!$A$2:$A$6092,[1]PlanCuentas!N$2:N$6092)</f>
        <v>0</v>
      </c>
      <c r="Q1054" s="13">
        <f t="shared" si="54"/>
        <v>0</v>
      </c>
      <c r="R1054" s="5"/>
      <c r="S1054" s="5"/>
    </row>
    <row r="1055" spans="1:21" x14ac:dyDescent="0.2">
      <c r="A1055" s="10">
        <v>13</v>
      </c>
      <c r="B1055" s="11" t="str">
        <f>[1]Aseguradoras!B14</f>
        <v>Fénix S.A de Seguros y Reaseguros</v>
      </c>
      <c r="C1055" s="12">
        <f>LOOKUP(415010100,[1]PlanCuentas!$A$2:$A$6092,[1]PlanCuentas!O$2:O$6092)</f>
        <v>0</v>
      </c>
      <c r="D1055" s="12">
        <f>LOOKUP(415010200,[1]PlanCuentas!$A$2:$A$6092,[1]PlanCuentas!O$2:O$6092)</f>
        <v>0</v>
      </c>
      <c r="E1055" s="12">
        <f>LOOKUP(415010300,[1]PlanCuentas!$A$2:$A$6092,[1]PlanCuentas!O$2:O$6092)</f>
        <v>0</v>
      </c>
      <c r="F1055" s="12">
        <f>LOOKUP(415010400,[1]PlanCuentas!$A$2:$A$6092,[1]PlanCuentas!O$2:O$6092)</f>
        <v>0</v>
      </c>
      <c r="G1055" s="12">
        <f>LOOKUP(415010500,[1]PlanCuentas!$A$2:$A$6092,[1]PlanCuentas!O$2:O$6092)</f>
        <v>0</v>
      </c>
      <c r="H1055" s="12">
        <f>LOOKUP(415010600,[1]PlanCuentas!$A$2:$A$6092,[1]PlanCuentas!O$2:O$6092)</f>
        <v>0</v>
      </c>
      <c r="I1055" s="12">
        <f>LOOKUP(415010700,[1]PlanCuentas!$A$2:$A$6092,[1]PlanCuentas!O$2:O$6092)</f>
        <v>0</v>
      </c>
      <c r="J1055" s="12">
        <f>LOOKUP(415010800,[1]PlanCuentas!$A$2:$A$6092,[1]PlanCuentas!O$2:O$6092)</f>
        <v>0</v>
      </c>
      <c r="K1055" s="12">
        <f>LOOKUP(415010900,[1]PlanCuentas!$A$2:$A$6092,[1]PlanCuentas!O$2:O$6092)</f>
        <v>0</v>
      </c>
      <c r="L1055" s="12">
        <f>LOOKUP(415011000,[1]PlanCuentas!$A$2:$A$6092,[1]PlanCuentas!O$2:O$6092)</f>
        <v>0</v>
      </c>
      <c r="M1055" s="12">
        <f>LOOKUP(415011100,[1]PlanCuentas!$A$2:$A$6092,[1]PlanCuentas!O$2:O$6092)</f>
        <v>0</v>
      </c>
      <c r="N1055" s="12">
        <f>LOOKUP(415011200,[1]PlanCuentas!$A$2:$A$6092,[1]PlanCuentas!O$2:O$6092)</f>
        <v>0</v>
      </c>
      <c r="O1055" s="12">
        <f>LOOKUP(415011300,[1]PlanCuentas!$A$2:$A$6092,[1]PlanCuentas!O$2:O$6092)</f>
        <v>0</v>
      </c>
      <c r="P1055" s="12">
        <f>LOOKUP(415012000,[1]PlanCuentas!$A$2:$A$6092,[1]PlanCuentas!O$2:O$6092)</f>
        <v>0</v>
      </c>
      <c r="Q1055" s="13">
        <f t="shared" si="54"/>
        <v>0</v>
      </c>
      <c r="R1055" s="5"/>
      <c r="S1055" s="5"/>
    </row>
    <row r="1056" spans="1:21" x14ac:dyDescent="0.2">
      <c r="A1056" s="10">
        <v>14</v>
      </c>
      <c r="B1056" s="11" t="str">
        <f>[1]Aseguradoras!B15</f>
        <v>Central S.A de Seguros</v>
      </c>
      <c r="C1056" s="12">
        <f>LOOKUP(415010100,[1]PlanCuentas!$A$2:$A$6092,[1]PlanCuentas!P$2:P$6092)</f>
        <v>0</v>
      </c>
      <c r="D1056" s="12">
        <f>LOOKUP(415010200,[1]PlanCuentas!$A$2:$A$6092,[1]PlanCuentas!P$2:P$6092)</f>
        <v>0</v>
      </c>
      <c r="E1056" s="12">
        <f>LOOKUP(415010300,[1]PlanCuentas!$A$2:$A$6092,[1]PlanCuentas!P$2:P$6092)</f>
        <v>0</v>
      </c>
      <c r="F1056" s="12">
        <f>LOOKUP(415010400,[1]PlanCuentas!$A$2:$A$6092,[1]PlanCuentas!P$2:P$6092)</f>
        <v>0</v>
      </c>
      <c r="G1056" s="12">
        <f>LOOKUP(415010500,[1]PlanCuentas!$A$2:$A$6092,[1]PlanCuentas!P$2:P$6092)</f>
        <v>0</v>
      </c>
      <c r="H1056" s="12">
        <f>LOOKUP(415010600,[1]PlanCuentas!$A$2:$A$6092,[1]PlanCuentas!P$2:P$6092)</f>
        <v>0</v>
      </c>
      <c r="I1056" s="12">
        <f>LOOKUP(415010700,[1]PlanCuentas!$A$2:$A$6092,[1]PlanCuentas!P$2:P$6092)</f>
        <v>0</v>
      </c>
      <c r="J1056" s="12">
        <f>LOOKUP(415010800,[1]PlanCuentas!$A$2:$A$6092,[1]PlanCuentas!P$2:P$6092)</f>
        <v>0</v>
      </c>
      <c r="K1056" s="12">
        <f>LOOKUP(415010900,[1]PlanCuentas!$A$2:$A$6092,[1]PlanCuentas!P$2:P$6092)</f>
        <v>0</v>
      </c>
      <c r="L1056" s="12">
        <f>LOOKUP(415011000,[1]PlanCuentas!$A$2:$A$6092,[1]PlanCuentas!P$2:P$6092)</f>
        <v>0</v>
      </c>
      <c r="M1056" s="12">
        <f>LOOKUP(415011100,[1]PlanCuentas!$A$2:$A$6092,[1]PlanCuentas!P$2:P$6092)</f>
        <v>0</v>
      </c>
      <c r="N1056" s="12">
        <f>LOOKUP(415011200,[1]PlanCuentas!$A$2:$A$6092,[1]PlanCuentas!P$2:P$6092)</f>
        <v>0</v>
      </c>
      <c r="O1056" s="12">
        <f>LOOKUP(415011300,[1]PlanCuentas!$A$2:$A$6092,[1]PlanCuentas!P$2:P$6092)</f>
        <v>0</v>
      </c>
      <c r="P1056" s="12">
        <f>LOOKUP(415012000,[1]PlanCuentas!$A$2:$A$6092,[1]PlanCuentas!P$2:P$6092)</f>
        <v>0</v>
      </c>
      <c r="Q1056" s="13">
        <f t="shared" si="54"/>
        <v>0</v>
      </c>
    </row>
    <row r="1057" spans="1:17" x14ac:dyDescent="0.2">
      <c r="A1057" s="10">
        <v>15</v>
      </c>
      <c r="B1057" s="11" t="str">
        <f>[1]Aseguradoras!B16</f>
        <v>Seguros Chaco S.A de Seguros y Reaseguros</v>
      </c>
      <c r="C1057" s="12">
        <f>LOOKUP(415010100,[1]PlanCuentas!$A$2:$A$6092,[1]PlanCuentas!Q$2:Q$6092)</f>
        <v>0</v>
      </c>
      <c r="D1057" s="12">
        <f>LOOKUP(415010200,[1]PlanCuentas!$A$2:$A$6092,[1]PlanCuentas!Q$2:Q$6092)</f>
        <v>0</v>
      </c>
      <c r="E1057" s="12">
        <f>LOOKUP(415010300,[1]PlanCuentas!$A$2:$A$6092,[1]PlanCuentas!Q$2:Q$6092)</f>
        <v>0</v>
      </c>
      <c r="F1057" s="12">
        <f>LOOKUP(415010400,[1]PlanCuentas!$A$2:$A$6092,[1]PlanCuentas!Q$2:Q$6092)</f>
        <v>0</v>
      </c>
      <c r="G1057" s="12">
        <f>LOOKUP(415010500,[1]PlanCuentas!$A$2:$A$6092,[1]PlanCuentas!Q$2:Q$6092)</f>
        <v>0</v>
      </c>
      <c r="H1057" s="12">
        <f>LOOKUP(415010600,[1]PlanCuentas!$A$2:$A$6092,[1]PlanCuentas!Q$2:Q$6092)</f>
        <v>0</v>
      </c>
      <c r="I1057" s="12">
        <f>LOOKUP(415010700,[1]PlanCuentas!$A$2:$A$6092,[1]PlanCuentas!Q$2:Q$6092)</f>
        <v>0</v>
      </c>
      <c r="J1057" s="12">
        <f>LOOKUP(415010800,[1]PlanCuentas!$A$2:$A$6092,[1]PlanCuentas!Q$2:Q$6092)</f>
        <v>0</v>
      </c>
      <c r="K1057" s="12">
        <f>LOOKUP(415010900,[1]PlanCuentas!$A$2:$A$6092,[1]PlanCuentas!Q$2:Q$6092)</f>
        <v>0</v>
      </c>
      <c r="L1057" s="12">
        <f>LOOKUP(415011000,[1]PlanCuentas!$A$2:$A$6092,[1]PlanCuentas!Q$2:Q$6092)</f>
        <v>0</v>
      </c>
      <c r="M1057" s="12">
        <f>LOOKUP(415011100,[1]PlanCuentas!$A$2:$A$6092,[1]PlanCuentas!Q$2:Q$6092)</f>
        <v>0</v>
      </c>
      <c r="N1057" s="12">
        <f>LOOKUP(415011200,[1]PlanCuentas!$A$2:$A$6092,[1]PlanCuentas!Q$2:Q$6092)</f>
        <v>0</v>
      </c>
      <c r="O1057" s="12">
        <f>LOOKUP(415011300,[1]PlanCuentas!$A$2:$A$6092,[1]PlanCuentas!Q$2:Q$6092)</f>
        <v>0</v>
      </c>
      <c r="P1057" s="12">
        <f>LOOKUP(415012000,[1]PlanCuentas!$A$2:$A$6092,[1]PlanCuentas!Q$2:Q$6092)</f>
        <v>0</v>
      </c>
      <c r="Q1057" s="13">
        <f t="shared" si="54"/>
        <v>0</v>
      </c>
    </row>
    <row r="1058" spans="1:17" x14ac:dyDescent="0.2">
      <c r="A1058" s="10">
        <v>16</v>
      </c>
      <c r="B1058" s="11" t="str">
        <f>[1]Aseguradoras!B17</f>
        <v>El Sol Del Paraguay Compañía de Seguros y Reaseguros S.A.</v>
      </c>
      <c r="C1058" s="12">
        <f>LOOKUP(415010100,[1]PlanCuentas!$A$2:$A$6092,[1]PlanCuentas!R$2:R$6092)</f>
        <v>0</v>
      </c>
      <c r="D1058" s="12">
        <f>LOOKUP(415010200,[1]PlanCuentas!$A$2:$A$6092,[1]PlanCuentas!R$2:R$6092)</f>
        <v>0</v>
      </c>
      <c r="E1058" s="12">
        <f>LOOKUP(415010300,[1]PlanCuentas!$A$2:$A$6092,[1]PlanCuentas!R$2:R$6092)</f>
        <v>0</v>
      </c>
      <c r="F1058" s="12">
        <f>LOOKUP(415010400,[1]PlanCuentas!$A$2:$A$6092,[1]PlanCuentas!R$2:R$6092)</f>
        <v>0</v>
      </c>
      <c r="G1058" s="12">
        <f>LOOKUP(415010500,[1]PlanCuentas!$A$2:$A$6092,[1]PlanCuentas!R$2:R$6092)</f>
        <v>0</v>
      </c>
      <c r="H1058" s="12">
        <f>LOOKUP(415010600,[1]PlanCuentas!$A$2:$A$6092,[1]PlanCuentas!R$2:R$6092)</f>
        <v>0</v>
      </c>
      <c r="I1058" s="12">
        <f>LOOKUP(415010700,[1]PlanCuentas!$A$2:$A$6092,[1]PlanCuentas!R$2:R$6092)</f>
        <v>0</v>
      </c>
      <c r="J1058" s="12">
        <f>LOOKUP(415010800,[1]PlanCuentas!$A$2:$A$6092,[1]PlanCuentas!R$2:R$6092)</f>
        <v>0</v>
      </c>
      <c r="K1058" s="12">
        <f>LOOKUP(415010900,[1]PlanCuentas!$A$2:$A$6092,[1]PlanCuentas!R$2:R$6092)</f>
        <v>0</v>
      </c>
      <c r="L1058" s="12">
        <f>LOOKUP(415011000,[1]PlanCuentas!$A$2:$A$6092,[1]PlanCuentas!R$2:R$6092)</f>
        <v>0</v>
      </c>
      <c r="M1058" s="12">
        <f>LOOKUP(415011100,[1]PlanCuentas!$A$2:$A$6092,[1]PlanCuentas!R$2:R$6092)</f>
        <v>0</v>
      </c>
      <c r="N1058" s="12">
        <f>LOOKUP(415011200,[1]PlanCuentas!$A$2:$A$6092,[1]PlanCuentas!R$2:R$6092)</f>
        <v>0</v>
      </c>
      <c r="O1058" s="12">
        <f>LOOKUP(415011300,[1]PlanCuentas!$A$2:$A$6092,[1]PlanCuentas!R$2:R$6092)</f>
        <v>0</v>
      </c>
      <c r="P1058" s="12">
        <f>LOOKUP(415012000,[1]PlanCuentas!$A$2:$A$6092,[1]PlanCuentas!R$2:R$6092)</f>
        <v>0</v>
      </c>
      <c r="Q1058" s="13">
        <f t="shared" si="54"/>
        <v>0</v>
      </c>
    </row>
    <row r="1059" spans="1:17" x14ac:dyDescent="0.2">
      <c r="A1059" s="10">
        <v>17</v>
      </c>
      <c r="B1059" s="11" t="str">
        <f>[1]Aseguradoras!B18</f>
        <v>Intercontinental de Seguros y Reaseguros S.A.</v>
      </c>
      <c r="C1059" s="12">
        <f>LOOKUP(415010100,[1]PlanCuentas!$A$2:$A$6092,[1]PlanCuentas!S$2:S$6092)</f>
        <v>0</v>
      </c>
      <c r="D1059" s="12">
        <f>LOOKUP(415010200,[1]PlanCuentas!$A$2:$A$6092,[1]PlanCuentas!S$2:S$6092)</f>
        <v>0</v>
      </c>
      <c r="E1059" s="12">
        <f>LOOKUP(415010300,[1]PlanCuentas!$A$2:$A$6092,[1]PlanCuentas!S$2:S$6092)</f>
        <v>0</v>
      </c>
      <c r="F1059" s="12">
        <f>LOOKUP(415010400,[1]PlanCuentas!$A$2:$A$6092,[1]PlanCuentas!S$2:S$6092)</f>
        <v>0</v>
      </c>
      <c r="G1059" s="12">
        <f>LOOKUP(415010500,[1]PlanCuentas!$A$2:$A$6092,[1]PlanCuentas!S$2:S$6092)</f>
        <v>0</v>
      </c>
      <c r="H1059" s="12">
        <f>LOOKUP(415010600,[1]PlanCuentas!$A$2:$A$6092,[1]PlanCuentas!S$2:S$6092)</f>
        <v>0</v>
      </c>
      <c r="I1059" s="12">
        <f>LOOKUP(415010700,[1]PlanCuentas!$A$2:$A$6092,[1]PlanCuentas!S$2:S$6092)</f>
        <v>0</v>
      </c>
      <c r="J1059" s="12">
        <f>LOOKUP(415010800,[1]PlanCuentas!$A$2:$A$6092,[1]PlanCuentas!S$2:S$6092)</f>
        <v>0</v>
      </c>
      <c r="K1059" s="12">
        <f>LOOKUP(415010900,[1]PlanCuentas!$A$2:$A$6092,[1]PlanCuentas!S$2:S$6092)</f>
        <v>0</v>
      </c>
      <c r="L1059" s="12">
        <f>LOOKUP(415011000,[1]PlanCuentas!$A$2:$A$6092,[1]PlanCuentas!S$2:S$6092)</f>
        <v>0</v>
      </c>
      <c r="M1059" s="12">
        <f>LOOKUP(415011100,[1]PlanCuentas!$A$2:$A$6092,[1]PlanCuentas!S$2:S$6092)</f>
        <v>0</v>
      </c>
      <c r="N1059" s="12">
        <f>LOOKUP(415011200,[1]PlanCuentas!$A$2:$A$6092,[1]PlanCuentas!S$2:S$6092)</f>
        <v>0</v>
      </c>
      <c r="O1059" s="12">
        <f>LOOKUP(415011300,[1]PlanCuentas!$A$2:$A$6092,[1]PlanCuentas!S$2:S$6092)</f>
        <v>0</v>
      </c>
      <c r="P1059" s="12">
        <f>LOOKUP(415012000,[1]PlanCuentas!$A$2:$A$6092,[1]PlanCuentas!S$2:S$6092)</f>
        <v>0</v>
      </c>
      <c r="Q1059" s="13">
        <f t="shared" si="54"/>
        <v>0</v>
      </c>
    </row>
    <row r="1060" spans="1:17" x14ac:dyDescent="0.2">
      <c r="A1060" s="10">
        <v>18</v>
      </c>
      <c r="B1060" s="11" t="str">
        <f>[1]Aseguradoras!B19</f>
        <v>Seguridad S.A Compañía de Seguros</v>
      </c>
      <c r="C1060" s="12">
        <f>LOOKUP(415010100,[1]PlanCuentas!$A$2:$A$6092,[1]PlanCuentas!T$2:T$6092)</f>
        <v>0</v>
      </c>
      <c r="D1060" s="12">
        <f>LOOKUP(415010200,[1]PlanCuentas!$A$2:$A$6092,[1]PlanCuentas!T$2:T$6092)</f>
        <v>0</v>
      </c>
      <c r="E1060" s="12">
        <f>LOOKUP(415010300,[1]PlanCuentas!$A$2:$A$6092,[1]PlanCuentas!T$2:T$6092)</f>
        <v>0</v>
      </c>
      <c r="F1060" s="12">
        <f>LOOKUP(415010400,[1]PlanCuentas!$A$2:$A$6092,[1]PlanCuentas!T$2:T$6092)</f>
        <v>0</v>
      </c>
      <c r="G1060" s="12">
        <f>LOOKUP(415010500,[1]PlanCuentas!$A$2:$A$6092,[1]PlanCuentas!T$2:T$6092)</f>
        <v>0</v>
      </c>
      <c r="H1060" s="12">
        <f>LOOKUP(415010600,[1]PlanCuentas!$A$2:$A$6092,[1]PlanCuentas!T$2:T$6092)</f>
        <v>0</v>
      </c>
      <c r="I1060" s="12">
        <f>LOOKUP(415010700,[1]PlanCuentas!$A$2:$A$6092,[1]PlanCuentas!T$2:T$6092)</f>
        <v>0</v>
      </c>
      <c r="J1060" s="12">
        <f>LOOKUP(415010800,[1]PlanCuentas!$A$2:$A$6092,[1]PlanCuentas!T$2:T$6092)</f>
        <v>0</v>
      </c>
      <c r="K1060" s="12">
        <f>LOOKUP(415010900,[1]PlanCuentas!$A$2:$A$6092,[1]PlanCuentas!T$2:T$6092)</f>
        <v>0</v>
      </c>
      <c r="L1060" s="12">
        <f>LOOKUP(415011000,[1]PlanCuentas!$A$2:$A$6092,[1]PlanCuentas!T$2:T$6092)</f>
        <v>0</v>
      </c>
      <c r="M1060" s="12">
        <f>LOOKUP(415011100,[1]PlanCuentas!$A$2:$A$6092,[1]PlanCuentas!T$2:T$6092)</f>
        <v>0</v>
      </c>
      <c r="N1060" s="12">
        <f>LOOKUP(415011200,[1]PlanCuentas!$A$2:$A$6092,[1]PlanCuentas!T$2:T$6092)</f>
        <v>0</v>
      </c>
      <c r="O1060" s="12">
        <f>LOOKUP(415011300,[1]PlanCuentas!$A$2:$A$6092,[1]PlanCuentas!T$2:T$6092)</f>
        <v>0</v>
      </c>
      <c r="P1060" s="12">
        <f>LOOKUP(415012000,[1]PlanCuentas!$A$2:$A$6092,[1]PlanCuentas!T$2:T$6092)</f>
        <v>0</v>
      </c>
      <c r="Q1060" s="13">
        <f t="shared" si="54"/>
        <v>0</v>
      </c>
    </row>
    <row r="1061" spans="1:17" x14ac:dyDescent="0.2">
      <c r="A1061" s="10">
        <v>19</v>
      </c>
      <c r="B1061" s="11" t="str">
        <f>[1]Aseguradoras!B20</f>
        <v>Universo de Seguros y Reaseguros S.A.</v>
      </c>
      <c r="C1061" s="12">
        <f>LOOKUP(415010100,[1]PlanCuentas!$A$2:$A$6092,[1]PlanCuentas!U$2:U$6092)</f>
        <v>0</v>
      </c>
      <c r="D1061" s="12">
        <f>LOOKUP(415010200,[1]PlanCuentas!$A$2:$A$6092,[1]PlanCuentas!U$2:U$6092)</f>
        <v>0</v>
      </c>
      <c r="E1061" s="12">
        <f>LOOKUP(415010300,[1]PlanCuentas!$A$2:$A$6092,[1]PlanCuentas!U$2:U$6092)</f>
        <v>0</v>
      </c>
      <c r="F1061" s="12">
        <f>LOOKUP(415010400,[1]PlanCuentas!$A$2:$A$6092,[1]PlanCuentas!U$2:U$6092)</f>
        <v>0</v>
      </c>
      <c r="G1061" s="12">
        <f>LOOKUP(415010500,[1]PlanCuentas!$A$2:$A$6092,[1]PlanCuentas!U$2:U$6092)</f>
        <v>0</v>
      </c>
      <c r="H1061" s="12">
        <f>LOOKUP(415010600,[1]PlanCuentas!$A$2:$A$6092,[1]PlanCuentas!U$2:U$6092)</f>
        <v>0</v>
      </c>
      <c r="I1061" s="12">
        <f>LOOKUP(415010700,[1]PlanCuentas!$A$2:$A$6092,[1]PlanCuentas!U$2:U$6092)</f>
        <v>0</v>
      </c>
      <c r="J1061" s="12">
        <f>LOOKUP(415010800,[1]PlanCuentas!$A$2:$A$6092,[1]PlanCuentas!U$2:U$6092)</f>
        <v>0</v>
      </c>
      <c r="K1061" s="12">
        <f>LOOKUP(415010900,[1]PlanCuentas!$A$2:$A$6092,[1]PlanCuentas!U$2:U$6092)</f>
        <v>0</v>
      </c>
      <c r="L1061" s="12">
        <f>LOOKUP(415011000,[1]PlanCuentas!$A$2:$A$6092,[1]PlanCuentas!U$2:U$6092)</f>
        <v>0</v>
      </c>
      <c r="M1061" s="12">
        <f>LOOKUP(415011100,[1]PlanCuentas!$A$2:$A$6092,[1]PlanCuentas!U$2:U$6092)</f>
        <v>0</v>
      </c>
      <c r="N1061" s="12">
        <f>LOOKUP(415011200,[1]PlanCuentas!$A$2:$A$6092,[1]PlanCuentas!U$2:U$6092)</f>
        <v>0</v>
      </c>
      <c r="O1061" s="12">
        <f>LOOKUP(415011300,[1]PlanCuentas!$A$2:$A$6092,[1]PlanCuentas!U$2:U$6092)</f>
        <v>0</v>
      </c>
      <c r="P1061" s="12">
        <f>LOOKUP(415012000,[1]PlanCuentas!$A$2:$A$6092,[1]PlanCuentas!U$2:U$6092)</f>
        <v>0</v>
      </c>
      <c r="Q1061" s="13">
        <f t="shared" si="54"/>
        <v>0</v>
      </c>
    </row>
    <row r="1062" spans="1:17" x14ac:dyDescent="0.2">
      <c r="A1062" s="10">
        <v>20</v>
      </c>
      <c r="B1062" s="11" t="str">
        <f>[1]Aseguradoras!B21</f>
        <v>Aseguradora Yacyreta S.A de Seguros y Reaseguros</v>
      </c>
      <c r="C1062" s="12">
        <f>LOOKUP(415010100,[1]PlanCuentas!$A$2:$A$6092,[1]PlanCuentas!V$2:V$6092)</f>
        <v>0</v>
      </c>
      <c r="D1062" s="12">
        <f>LOOKUP(415010200,[1]PlanCuentas!$A$2:$A$6092,[1]PlanCuentas!V$2:V$6092)</f>
        <v>0</v>
      </c>
      <c r="E1062" s="12">
        <f>LOOKUP(415010300,[1]PlanCuentas!$A$2:$A$6092,[1]PlanCuentas!V$2:V$6092)</f>
        <v>0</v>
      </c>
      <c r="F1062" s="12">
        <f>LOOKUP(415010400,[1]PlanCuentas!$A$2:$A$6092,[1]PlanCuentas!V$2:V$6092)</f>
        <v>0</v>
      </c>
      <c r="G1062" s="12">
        <f>LOOKUP(415010500,[1]PlanCuentas!$A$2:$A$6092,[1]PlanCuentas!V$2:V$6092)</f>
        <v>0</v>
      </c>
      <c r="H1062" s="12">
        <f>LOOKUP(415010600,[1]PlanCuentas!$A$2:$A$6092,[1]PlanCuentas!V$2:V$6092)</f>
        <v>0</v>
      </c>
      <c r="I1062" s="12">
        <f>LOOKUP(415010700,[1]PlanCuentas!$A$2:$A$6092,[1]PlanCuentas!V$2:V$6092)</f>
        <v>0</v>
      </c>
      <c r="J1062" s="12">
        <f>LOOKUP(415010800,[1]PlanCuentas!$A$2:$A$6092,[1]PlanCuentas!V$2:V$6092)</f>
        <v>0</v>
      </c>
      <c r="K1062" s="12">
        <f>LOOKUP(415010900,[1]PlanCuentas!$A$2:$A$6092,[1]PlanCuentas!V$2:V$6092)</f>
        <v>0</v>
      </c>
      <c r="L1062" s="12">
        <f>LOOKUP(415011000,[1]PlanCuentas!$A$2:$A$6092,[1]PlanCuentas!V$2:V$6092)</f>
        <v>0</v>
      </c>
      <c r="M1062" s="12">
        <f>LOOKUP(415011100,[1]PlanCuentas!$A$2:$A$6092,[1]PlanCuentas!V$2:V$6092)</f>
        <v>0</v>
      </c>
      <c r="N1062" s="12">
        <f>LOOKUP(415011200,[1]PlanCuentas!$A$2:$A$6092,[1]PlanCuentas!V$2:V$6092)</f>
        <v>0</v>
      </c>
      <c r="O1062" s="12">
        <f>LOOKUP(415011300,[1]PlanCuentas!$A$2:$A$6092,[1]PlanCuentas!V$2:V$6092)</f>
        <v>0</v>
      </c>
      <c r="P1062" s="12">
        <f>LOOKUP(415012000,[1]PlanCuentas!$A$2:$A$6092,[1]PlanCuentas!V$2:V$6092)</f>
        <v>0</v>
      </c>
      <c r="Q1062" s="13">
        <f t="shared" si="54"/>
        <v>0</v>
      </c>
    </row>
    <row r="1063" spans="1:17" x14ac:dyDescent="0.2">
      <c r="A1063" s="10">
        <v>21</v>
      </c>
      <c r="B1063" s="11" t="str">
        <f>[1]Aseguradoras!B22</f>
        <v>La Agricola S.A de Seguros y Reaseguros</v>
      </c>
      <c r="C1063" s="12">
        <f>LOOKUP(415010100,[1]PlanCuentas!$A$2:$A$6092,[1]PlanCuentas!W$2:W$6092)</f>
        <v>0</v>
      </c>
      <c r="D1063" s="12">
        <f>LOOKUP(415010200,[1]PlanCuentas!$A$2:$A$6092,[1]PlanCuentas!W$2:W$6092)</f>
        <v>0</v>
      </c>
      <c r="E1063" s="12">
        <f>LOOKUP(415010300,[1]PlanCuentas!$A$2:$A$6092,[1]PlanCuentas!W$2:W$6092)</f>
        <v>0</v>
      </c>
      <c r="F1063" s="12">
        <f>LOOKUP(415010400,[1]PlanCuentas!$A$2:$A$6092,[1]PlanCuentas!W$2:W$6092)</f>
        <v>0</v>
      </c>
      <c r="G1063" s="12">
        <f>LOOKUP(415010500,[1]PlanCuentas!$A$2:$A$6092,[1]PlanCuentas!W$2:W$6092)</f>
        <v>0</v>
      </c>
      <c r="H1063" s="12">
        <f>LOOKUP(415010600,[1]PlanCuentas!$A$2:$A$6092,[1]PlanCuentas!W$2:W$6092)</f>
        <v>0</v>
      </c>
      <c r="I1063" s="12">
        <f>LOOKUP(415010700,[1]PlanCuentas!$A$2:$A$6092,[1]PlanCuentas!W$2:W$6092)</f>
        <v>0</v>
      </c>
      <c r="J1063" s="12">
        <f>LOOKUP(415010800,[1]PlanCuentas!$A$2:$A$6092,[1]PlanCuentas!W$2:W$6092)</f>
        <v>0</v>
      </c>
      <c r="K1063" s="12">
        <f>LOOKUP(415010900,[1]PlanCuentas!$A$2:$A$6092,[1]PlanCuentas!W$2:W$6092)</f>
        <v>0</v>
      </c>
      <c r="L1063" s="12">
        <f>LOOKUP(415011000,[1]PlanCuentas!$A$2:$A$6092,[1]PlanCuentas!W$2:W$6092)</f>
        <v>0</v>
      </c>
      <c r="M1063" s="12">
        <f>LOOKUP(415011100,[1]PlanCuentas!$A$2:$A$6092,[1]PlanCuentas!W$2:W$6092)</f>
        <v>0</v>
      </c>
      <c r="N1063" s="12">
        <f>LOOKUP(415011200,[1]PlanCuentas!$A$2:$A$6092,[1]PlanCuentas!W$2:W$6092)</f>
        <v>0</v>
      </c>
      <c r="O1063" s="12">
        <f>LOOKUP(415011300,[1]PlanCuentas!$A$2:$A$6092,[1]PlanCuentas!W$2:W$6092)</f>
        <v>0</v>
      </c>
      <c r="P1063" s="12">
        <f>LOOKUP(415012000,[1]PlanCuentas!$A$2:$A$6092,[1]PlanCuentas!W$2:W$6092)</f>
        <v>0</v>
      </c>
      <c r="Q1063" s="13">
        <f t="shared" si="54"/>
        <v>0</v>
      </c>
    </row>
    <row r="1064" spans="1:17" x14ac:dyDescent="0.2">
      <c r="A1064" s="10">
        <v>22</v>
      </c>
      <c r="B1064" s="11" t="str">
        <f>[1]Aseguradoras!B23</f>
        <v>Grupo General de Seguros y Reaseguros S.A.</v>
      </c>
      <c r="C1064" s="12">
        <f>LOOKUP(415010100,[1]PlanCuentas!$A$2:$A$6092,[1]PlanCuentas!X$2:X$6092)</f>
        <v>0</v>
      </c>
      <c r="D1064" s="12">
        <f>LOOKUP(415010200,[1]PlanCuentas!$A$2:$A$6092,[1]PlanCuentas!X$2:X$6092)</f>
        <v>0</v>
      </c>
      <c r="E1064" s="12">
        <f>LOOKUP(415010300,[1]PlanCuentas!$A$2:$A$6092,[1]PlanCuentas!X$2:X$6092)</f>
        <v>0</v>
      </c>
      <c r="F1064" s="12">
        <f>LOOKUP(415010400,[1]PlanCuentas!$A$2:$A$6092,[1]PlanCuentas!X$2:X$6092)</f>
        <v>0</v>
      </c>
      <c r="G1064" s="12">
        <f>LOOKUP(415010500,[1]PlanCuentas!$A$2:$A$6092,[1]PlanCuentas!X$2:X$6092)</f>
        <v>0</v>
      </c>
      <c r="H1064" s="12">
        <f>LOOKUP(415010600,[1]PlanCuentas!$A$2:$A$6092,[1]PlanCuentas!X$2:X$6092)</f>
        <v>0</v>
      </c>
      <c r="I1064" s="12">
        <f>LOOKUP(415010700,[1]PlanCuentas!$A$2:$A$6092,[1]PlanCuentas!X$2:X$6092)</f>
        <v>0</v>
      </c>
      <c r="J1064" s="12">
        <f>LOOKUP(415010800,[1]PlanCuentas!$A$2:$A$6092,[1]PlanCuentas!X$2:X$6092)</f>
        <v>0</v>
      </c>
      <c r="K1064" s="12">
        <f>LOOKUP(415010900,[1]PlanCuentas!$A$2:$A$6092,[1]PlanCuentas!X$2:X$6092)</f>
        <v>0</v>
      </c>
      <c r="L1064" s="12">
        <f>LOOKUP(415011000,[1]PlanCuentas!$A$2:$A$6092,[1]PlanCuentas!X$2:X$6092)</f>
        <v>0</v>
      </c>
      <c r="M1064" s="12">
        <f>LOOKUP(415011100,[1]PlanCuentas!$A$2:$A$6092,[1]PlanCuentas!X$2:X$6092)</f>
        <v>0</v>
      </c>
      <c r="N1064" s="12">
        <f>LOOKUP(415011200,[1]PlanCuentas!$A$2:$A$6092,[1]PlanCuentas!X$2:X$6092)</f>
        <v>0</v>
      </c>
      <c r="O1064" s="12">
        <f>LOOKUP(415011300,[1]PlanCuentas!$A$2:$A$6092,[1]PlanCuentas!X$2:X$6092)</f>
        <v>0</v>
      </c>
      <c r="P1064" s="12">
        <f>LOOKUP(415012000,[1]PlanCuentas!$A$2:$A$6092,[1]PlanCuentas!X$2:X$6092)</f>
        <v>0</v>
      </c>
      <c r="Q1064" s="13">
        <f t="shared" si="54"/>
        <v>0</v>
      </c>
    </row>
    <row r="1065" spans="1:17" x14ac:dyDescent="0.2">
      <c r="A1065" s="10">
        <v>23</v>
      </c>
      <c r="B1065" s="11" t="str">
        <f>[1]Aseguradoras!B24</f>
        <v>Alfa S.A de Seguros y Reaseguros</v>
      </c>
      <c r="C1065" s="12">
        <f>LOOKUP(415010100,[1]PlanCuentas!$A$2:$A$6092,[1]PlanCuentas!Y$2:Y$6092)</f>
        <v>0</v>
      </c>
      <c r="D1065" s="12">
        <f>LOOKUP(415010200,[1]PlanCuentas!$A$2:$A$6092,[1]PlanCuentas!Y$2:Y$6092)</f>
        <v>0</v>
      </c>
      <c r="E1065" s="12">
        <f>LOOKUP(415010300,[1]PlanCuentas!$A$2:$A$6092,[1]PlanCuentas!Y$2:Y$6092)</f>
        <v>0</v>
      </c>
      <c r="F1065" s="12">
        <f>LOOKUP(415010400,[1]PlanCuentas!$A$2:$A$6092,[1]PlanCuentas!Y$2:Y$6092)</f>
        <v>0</v>
      </c>
      <c r="G1065" s="12">
        <f>LOOKUP(415010500,[1]PlanCuentas!$A$2:$A$6092,[1]PlanCuentas!Y$2:Y$6092)</f>
        <v>0</v>
      </c>
      <c r="H1065" s="12">
        <f>LOOKUP(415010600,[1]PlanCuentas!$A$2:$A$6092,[1]PlanCuentas!Y$2:Y$6092)</f>
        <v>0</v>
      </c>
      <c r="I1065" s="12">
        <f>LOOKUP(415010700,[1]PlanCuentas!$A$2:$A$6092,[1]PlanCuentas!Y$2:Y$6092)</f>
        <v>0</v>
      </c>
      <c r="J1065" s="12">
        <f>LOOKUP(415010800,[1]PlanCuentas!$A$2:$A$6092,[1]PlanCuentas!Y$2:Y$6092)</f>
        <v>0</v>
      </c>
      <c r="K1065" s="12">
        <f>LOOKUP(415010900,[1]PlanCuentas!$A$2:$A$6092,[1]PlanCuentas!Y$2:Y$6092)</f>
        <v>0</v>
      </c>
      <c r="L1065" s="12">
        <f>LOOKUP(415011000,[1]PlanCuentas!$A$2:$A$6092,[1]PlanCuentas!Y$2:Y$6092)</f>
        <v>0</v>
      </c>
      <c r="M1065" s="12">
        <f>LOOKUP(415011100,[1]PlanCuentas!$A$2:$A$6092,[1]PlanCuentas!Y$2:Y$6092)</f>
        <v>0</v>
      </c>
      <c r="N1065" s="12">
        <f>LOOKUP(415011200,[1]PlanCuentas!$A$2:$A$6092,[1]PlanCuentas!Y$2:Y$6092)</f>
        <v>0</v>
      </c>
      <c r="O1065" s="12">
        <f>LOOKUP(415011300,[1]PlanCuentas!$A$2:$A$6092,[1]PlanCuentas!Y$2:Y$6092)</f>
        <v>0</v>
      </c>
      <c r="P1065" s="12">
        <f>LOOKUP(415012000,[1]PlanCuentas!$A$2:$A$6092,[1]PlanCuentas!Y$2:Y$6092)</f>
        <v>0</v>
      </c>
      <c r="Q1065" s="13">
        <f t="shared" si="54"/>
        <v>0</v>
      </c>
    </row>
    <row r="1066" spans="1:17" x14ac:dyDescent="0.2">
      <c r="A1066" s="10">
        <v>24</v>
      </c>
      <c r="B1066" s="11" t="str">
        <f>[1]Aseguradoras!B25</f>
        <v>Cenit de Seguros S.A.</v>
      </c>
      <c r="C1066" s="12">
        <f>LOOKUP(415010100,[1]PlanCuentas!$A$2:$A$6092,[1]PlanCuentas!Z$2:Z$6092)</f>
        <v>0</v>
      </c>
      <c r="D1066" s="12">
        <f>LOOKUP(415010200,[1]PlanCuentas!$A$2:$A$6092,[1]PlanCuentas!Z$2:Z$6092)</f>
        <v>0</v>
      </c>
      <c r="E1066" s="12">
        <f>LOOKUP(415010300,[1]PlanCuentas!$A$2:$A$6092,[1]PlanCuentas!Z$2:Z$6092)</f>
        <v>0</v>
      </c>
      <c r="F1066" s="12">
        <f>LOOKUP(415010400,[1]PlanCuentas!$A$2:$A$6092,[1]PlanCuentas!Z$2:Z$6092)</f>
        <v>0</v>
      </c>
      <c r="G1066" s="12">
        <f>LOOKUP(415010500,[1]PlanCuentas!$A$2:$A$6092,[1]PlanCuentas!Z$2:Z$6092)</f>
        <v>0</v>
      </c>
      <c r="H1066" s="12">
        <f>LOOKUP(415010600,[1]PlanCuentas!$A$2:$A$6092,[1]PlanCuentas!Z$2:Z$6092)</f>
        <v>0</v>
      </c>
      <c r="I1066" s="12">
        <f>LOOKUP(415010700,[1]PlanCuentas!$A$2:$A$6092,[1]PlanCuentas!Z$2:Z$6092)</f>
        <v>0</v>
      </c>
      <c r="J1066" s="12">
        <f>LOOKUP(415010800,[1]PlanCuentas!$A$2:$A$6092,[1]PlanCuentas!Z$2:Z$6092)</f>
        <v>0</v>
      </c>
      <c r="K1066" s="12">
        <f>LOOKUP(415010900,[1]PlanCuentas!$A$2:$A$6092,[1]PlanCuentas!Z$2:Z$6092)</f>
        <v>0</v>
      </c>
      <c r="L1066" s="12">
        <f>LOOKUP(415011000,[1]PlanCuentas!$A$2:$A$6092,[1]PlanCuentas!Z$2:Z$6092)</f>
        <v>0</v>
      </c>
      <c r="M1066" s="12">
        <f>LOOKUP(415011100,[1]PlanCuentas!$A$2:$A$6092,[1]PlanCuentas!Z$2:Z$6092)</f>
        <v>0</v>
      </c>
      <c r="N1066" s="12">
        <f>LOOKUP(415011200,[1]PlanCuentas!$A$2:$A$6092,[1]PlanCuentas!Z$2:Z$6092)</f>
        <v>0</v>
      </c>
      <c r="O1066" s="12">
        <f>LOOKUP(415011300,[1]PlanCuentas!$A$2:$A$6092,[1]PlanCuentas!Z$2:Z$6092)</f>
        <v>0</v>
      </c>
      <c r="P1066" s="12">
        <f>LOOKUP(415012000,[1]PlanCuentas!$A$2:$A$6092,[1]PlanCuentas!Z$2:Z$6092)</f>
        <v>0</v>
      </c>
      <c r="Q1066" s="13">
        <f t="shared" si="54"/>
        <v>0</v>
      </c>
    </row>
    <row r="1067" spans="1:17" x14ac:dyDescent="0.2">
      <c r="A1067" s="10">
        <v>25</v>
      </c>
      <c r="B1067" s="11" t="str">
        <f>[1]Aseguradoras!B26</f>
        <v>La Meridional Paraguaya S.A de Seguros</v>
      </c>
      <c r="C1067" s="12">
        <f>LOOKUP(415010100,[1]PlanCuentas!$A$2:$A$6092,[1]PlanCuentas!AA$2:AA$6092)</f>
        <v>0</v>
      </c>
      <c r="D1067" s="12">
        <f>LOOKUP(415010200,[1]PlanCuentas!$A$2:$A$6092,[1]PlanCuentas!AA$2:AA$6092)</f>
        <v>0</v>
      </c>
      <c r="E1067" s="12">
        <f>LOOKUP(415010300,[1]PlanCuentas!$A$2:$A$6092,[1]PlanCuentas!AA$2:AA$6092)</f>
        <v>0</v>
      </c>
      <c r="F1067" s="12">
        <f>LOOKUP(415010400,[1]PlanCuentas!$A$2:$A$6092,[1]PlanCuentas!AA$2:AA$6092)</f>
        <v>0</v>
      </c>
      <c r="G1067" s="12">
        <f>LOOKUP(415010500,[1]PlanCuentas!$A$2:$A$6092,[1]PlanCuentas!AA$2:AA$6092)</f>
        <v>0</v>
      </c>
      <c r="H1067" s="12">
        <f>LOOKUP(415010600,[1]PlanCuentas!$A$2:$A$6092,[1]PlanCuentas!AA$2:AA$6092)</f>
        <v>0</v>
      </c>
      <c r="I1067" s="12">
        <f>LOOKUP(415010700,[1]PlanCuentas!$A$2:$A$6092,[1]PlanCuentas!AA$2:AA$6092)</f>
        <v>0</v>
      </c>
      <c r="J1067" s="12">
        <f>LOOKUP(415010800,[1]PlanCuentas!$A$2:$A$6092,[1]PlanCuentas!AA$2:AA$6092)</f>
        <v>0</v>
      </c>
      <c r="K1067" s="12">
        <f>LOOKUP(415010900,[1]PlanCuentas!$A$2:$A$6092,[1]PlanCuentas!AA$2:AA$6092)</f>
        <v>0</v>
      </c>
      <c r="L1067" s="12">
        <f>LOOKUP(415011000,[1]PlanCuentas!$A$2:$A$6092,[1]PlanCuentas!AA$2:AA$6092)</f>
        <v>0</v>
      </c>
      <c r="M1067" s="12">
        <f>LOOKUP(415011100,[1]PlanCuentas!$A$2:$A$6092,[1]PlanCuentas!AA$2:AA$6092)</f>
        <v>0</v>
      </c>
      <c r="N1067" s="12">
        <f>LOOKUP(415011200,[1]PlanCuentas!$A$2:$A$6092,[1]PlanCuentas!AA$2:AA$6092)</f>
        <v>0</v>
      </c>
      <c r="O1067" s="12">
        <f>LOOKUP(415011300,[1]PlanCuentas!$A$2:$A$6092,[1]PlanCuentas!AA$2:AA$6092)</f>
        <v>0</v>
      </c>
      <c r="P1067" s="12">
        <f>LOOKUP(415012000,[1]PlanCuentas!$A$2:$A$6092,[1]PlanCuentas!AA$2:AA$6092)</f>
        <v>0</v>
      </c>
      <c r="Q1067" s="13">
        <f t="shared" si="54"/>
        <v>0</v>
      </c>
    </row>
    <row r="1068" spans="1:17" x14ac:dyDescent="0.2">
      <c r="A1068" s="10">
        <v>26</v>
      </c>
      <c r="B1068" s="11" t="str">
        <f>[1]Aseguradoras!B27</f>
        <v>Aseguradora Del Este S.A de Seguros y Reaseguros</v>
      </c>
      <c r="C1068" s="12">
        <f>LOOKUP(415010100,[1]PlanCuentas!$A$2:$A$6092,[1]PlanCuentas!AB$2:AB$6092)</f>
        <v>0</v>
      </c>
      <c r="D1068" s="12">
        <f>LOOKUP(415010200,[1]PlanCuentas!$A$2:$A$6092,[1]PlanCuentas!AB$2:AB$6092)</f>
        <v>0</v>
      </c>
      <c r="E1068" s="12">
        <f>LOOKUP(415010300,[1]PlanCuentas!$A$2:$A$6092,[1]PlanCuentas!AB$2:AB$6092)</f>
        <v>0</v>
      </c>
      <c r="F1068" s="12">
        <f>LOOKUP(415010400,[1]PlanCuentas!$A$2:$A$6092,[1]PlanCuentas!AB$2:AB$6092)</f>
        <v>0</v>
      </c>
      <c r="G1068" s="12">
        <f>LOOKUP(415010500,[1]PlanCuentas!$A$2:$A$6092,[1]PlanCuentas!AB$2:AB$6092)</f>
        <v>0</v>
      </c>
      <c r="H1068" s="12">
        <f>LOOKUP(415010600,[1]PlanCuentas!$A$2:$A$6092,[1]PlanCuentas!AB$2:AB$6092)</f>
        <v>0</v>
      </c>
      <c r="I1068" s="12">
        <f>LOOKUP(415010700,[1]PlanCuentas!$A$2:$A$6092,[1]PlanCuentas!AB$2:AB$6092)</f>
        <v>0</v>
      </c>
      <c r="J1068" s="12">
        <f>LOOKUP(415010800,[1]PlanCuentas!$A$2:$A$6092,[1]PlanCuentas!AB$2:AB$6092)</f>
        <v>0</v>
      </c>
      <c r="K1068" s="12">
        <f>LOOKUP(415010900,[1]PlanCuentas!$A$2:$A$6092,[1]PlanCuentas!AB$2:AB$6092)</f>
        <v>0</v>
      </c>
      <c r="L1068" s="12">
        <f>LOOKUP(415011000,[1]PlanCuentas!$A$2:$A$6092,[1]PlanCuentas!AB$2:AB$6092)</f>
        <v>0</v>
      </c>
      <c r="M1068" s="12">
        <f>LOOKUP(415011100,[1]PlanCuentas!$A$2:$A$6092,[1]PlanCuentas!AB$2:AB$6092)</f>
        <v>0</v>
      </c>
      <c r="N1068" s="12">
        <f>LOOKUP(415011200,[1]PlanCuentas!$A$2:$A$6092,[1]PlanCuentas!AB$2:AB$6092)</f>
        <v>0</v>
      </c>
      <c r="O1068" s="12">
        <f>LOOKUP(415011300,[1]PlanCuentas!$A$2:$A$6092,[1]PlanCuentas!AB$2:AB$6092)</f>
        <v>0</v>
      </c>
      <c r="P1068" s="12">
        <f>LOOKUP(415012000,[1]PlanCuentas!$A$2:$A$6092,[1]PlanCuentas!AB$2:AB$6092)</f>
        <v>0</v>
      </c>
      <c r="Q1068" s="13">
        <f t="shared" si="54"/>
        <v>0</v>
      </c>
    </row>
    <row r="1069" spans="1:17" x14ac:dyDescent="0.2">
      <c r="A1069" s="10">
        <v>27</v>
      </c>
      <c r="B1069" s="11" t="str">
        <f>[1]Aseguradoras!B28</f>
        <v>Imperio S.A de Seguros y Reaseguros</v>
      </c>
      <c r="C1069" s="12">
        <f>LOOKUP(415010100,[1]PlanCuentas!$A$2:$A$6092,[1]PlanCuentas!AC$2:AC$6092)</f>
        <v>0</v>
      </c>
      <c r="D1069" s="12">
        <f>LOOKUP(415010200,[1]PlanCuentas!$A$2:$A$6092,[1]PlanCuentas!AC$2:AC$6092)</f>
        <v>0</v>
      </c>
      <c r="E1069" s="12">
        <f>LOOKUP(415010300,[1]PlanCuentas!$A$2:$A$6092,[1]PlanCuentas!AC$2:AC$6092)</f>
        <v>0</v>
      </c>
      <c r="F1069" s="12">
        <f>LOOKUP(415010400,[1]PlanCuentas!$A$2:$A$6092,[1]PlanCuentas!AC$2:AC$6092)</f>
        <v>0</v>
      </c>
      <c r="G1069" s="12">
        <f>LOOKUP(415010500,[1]PlanCuentas!$A$2:$A$6092,[1]PlanCuentas!AC$2:AC$6092)</f>
        <v>0</v>
      </c>
      <c r="H1069" s="12">
        <f>LOOKUP(415010600,[1]PlanCuentas!$A$2:$A$6092,[1]PlanCuentas!AC$2:AC$6092)</f>
        <v>0</v>
      </c>
      <c r="I1069" s="12">
        <f>LOOKUP(415010700,[1]PlanCuentas!$A$2:$A$6092,[1]PlanCuentas!AC$2:AC$6092)</f>
        <v>0</v>
      </c>
      <c r="J1069" s="12">
        <f>LOOKUP(415010800,[1]PlanCuentas!$A$2:$A$6092,[1]PlanCuentas!AC$2:AC$6092)</f>
        <v>0</v>
      </c>
      <c r="K1069" s="12">
        <f>LOOKUP(415010900,[1]PlanCuentas!$A$2:$A$6092,[1]PlanCuentas!AC$2:AC$6092)</f>
        <v>0</v>
      </c>
      <c r="L1069" s="12">
        <f>LOOKUP(415011000,[1]PlanCuentas!$A$2:$A$6092,[1]PlanCuentas!AC$2:AC$6092)</f>
        <v>0</v>
      </c>
      <c r="M1069" s="12">
        <f>LOOKUP(415011100,[1]PlanCuentas!$A$2:$A$6092,[1]PlanCuentas!AC$2:AC$6092)</f>
        <v>0</v>
      </c>
      <c r="N1069" s="12">
        <f>LOOKUP(415011200,[1]PlanCuentas!$A$2:$A$6092,[1]PlanCuentas!AC$2:AC$6092)</f>
        <v>0</v>
      </c>
      <c r="O1069" s="12">
        <f>LOOKUP(415011300,[1]PlanCuentas!$A$2:$A$6092,[1]PlanCuentas!AC$2:AC$6092)</f>
        <v>0</v>
      </c>
      <c r="P1069" s="12">
        <f>LOOKUP(415012000,[1]PlanCuentas!$A$2:$A$6092,[1]PlanCuentas!AC$2:AC$6092)</f>
        <v>0</v>
      </c>
      <c r="Q1069" s="13">
        <f t="shared" si="54"/>
        <v>0</v>
      </c>
    </row>
    <row r="1070" spans="1:17" x14ac:dyDescent="0.2">
      <c r="A1070" s="10">
        <v>28</v>
      </c>
      <c r="B1070" s="11" t="str">
        <f>[1]Aseguradoras!B29</f>
        <v>Regional S.A de Seguros y Reaseguros</v>
      </c>
      <c r="C1070" s="12">
        <f>LOOKUP(415010100,[1]PlanCuentas!$A$2:$A$6092,[1]PlanCuentas!AD$2:AD$6092)</f>
        <v>0</v>
      </c>
      <c r="D1070" s="12">
        <f>LOOKUP(415010200,[1]PlanCuentas!$A$2:$A$6092,[1]PlanCuentas!AD$2:AD$6092)</f>
        <v>0</v>
      </c>
      <c r="E1070" s="12">
        <f>LOOKUP(415010300,[1]PlanCuentas!$A$2:$A$6092,[1]PlanCuentas!AD$2:AD$6092)</f>
        <v>0</v>
      </c>
      <c r="F1070" s="12">
        <f>LOOKUP(415010400,[1]PlanCuentas!$A$2:$A$6092,[1]PlanCuentas!AD$2:AD$6092)</f>
        <v>0</v>
      </c>
      <c r="G1070" s="12">
        <f>LOOKUP(415010500,[1]PlanCuentas!$A$2:$A$6092,[1]PlanCuentas!AD$2:AD$6092)</f>
        <v>0</v>
      </c>
      <c r="H1070" s="12">
        <f>LOOKUP(415010600,[1]PlanCuentas!$A$2:$A$6092,[1]PlanCuentas!AD$2:AD$6092)</f>
        <v>0</v>
      </c>
      <c r="I1070" s="12">
        <f>LOOKUP(415010700,[1]PlanCuentas!$A$2:$A$6092,[1]PlanCuentas!AD$2:AD$6092)</f>
        <v>0</v>
      </c>
      <c r="J1070" s="12">
        <f>LOOKUP(415010800,[1]PlanCuentas!$A$2:$A$6092,[1]PlanCuentas!AD$2:AD$6092)</f>
        <v>0</v>
      </c>
      <c r="K1070" s="12">
        <f>LOOKUP(415010900,[1]PlanCuentas!$A$2:$A$6092,[1]PlanCuentas!AD$2:AD$6092)</f>
        <v>0</v>
      </c>
      <c r="L1070" s="12">
        <f>LOOKUP(415011000,[1]PlanCuentas!$A$2:$A$6092,[1]PlanCuentas!AD$2:AD$6092)</f>
        <v>0</v>
      </c>
      <c r="M1070" s="12">
        <f>LOOKUP(415011100,[1]PlanCuentas!$A$2:$A$6092,[1]PlanCuentas!AD$2:AD$6092)</f>
        <v>0</v>
      </c>
      <c r="N1070" s="12">
        <f>LOOKUP(415011200,[1]PlanCuentas!$A$2:$A$6092,[1]PlanCuentas!AD$2:AD$6092)</f>
        <v>0</v>
      </c>
      <c r="O1070" s="12">
        <f>LOOKUP(415011300,[1]PlanCuentas!$A$2:$A$6092,[1]PlanCuentas!AD$2:AD$6092)</f>
        <v>0</v>
      </c>
      <c r="P1070" s="12">
        <f>LOOKUP(415012000,[1]PlanCuentas!$A$2:$A$6092,[1]PlanCuentas!AD$2:AD$6092)</f>
        <v>0</v>
      </c>
      <c r="Q1070" s="13">
        <f t="shared" si="54"/>
        <v>0</v>
      </c>
    </row>
    <row r="1071" spans="1:17" s="37" customFormat="1" x14ac:dyDescent="0.2">
      <c r="A1071" s="10">
        <v>29</v>
      </c>
      <c r="B1071" s="11" t="str">
        <f>[1]Aseguradoras!B30</f>
        <v>Mapfre Paraguay Compañía de Seguros S.A.</v>
      </c>
      <c r="C1071" s="12">
        <f>LOOKUP(415010100,[1]PlanCuentas!$A$2:$A$6092,[1]PlanCuentas!AE$2:AE$6092)</f>
        <v>0</v>
      </c>
      <c r="D1071" s="12">
        <f>LOOKUP(415010200,[1]PlanCuentas!$A$2:$A$6092,[1]PlanCuentas!AE$2:AE$6092)</f>
        <v>0</v>
      </c>
      <c r="E1071" s="12">
        <f>LOOKUP(415010300,[1]PlanCuentas!$A$2:$A$6092,[1]PlanCuentas!AE$2:AE$6092)</f>
        <v>0</v>
      </c>
      <c r="F1071" s="12">
        <f>LOOKUP(415010400,[1]PlanCuentas!$A$2:$A$6092,[1]PlanCuentas!AE$2:AE$6092)</f>
        <v>0</v>
      </c>
      <c r="G1071" s="12">
        <f>LOOKUP(415010500,[1]PlanCuentas!$A$2:$A$6092,[1]PlanCuentas!AE$2:AE$6092)</f>
        <v>0</v>
      </c>
      <c r="H1071" s="12">
        <f>LOOKUP(415010600,[1]PlanCuentas!$A$2:$A$6092,[1]PlanCuentas!AE$2:AE$6092)</f>
        <v>0</v>
      </c>
      <c r="I1071" s="12">
        <f>LOOKUP(415010700,[1]PlanCuentas!$A$2:$A$6092,[1]PlanCuentas!AE$2:AE$6092)</f>
        <v>0</v>
      </c>
      <c r="J1071" s="12">
        <f>LOOKUP(415010800,[1]PlanCuentas!$A$2:$A$6092,[1]PlanCuentas!AE$2:AE$6092)</f>
        <v>0</v>
      </c>
      <c r="K1071" s="12">
        <f>LOOKUP(415010900,[1]PlanCuentas!$A$2:$A$6092,[1]PlanCuentas!AE$2:AE$6092)</f>
        <v>0</v>
      </c>
      <c r="L1071" s="12">
        <f>LOOKUP(415011000,[1]PlanCuentas!$A$2:$A$6092,[1]PlanCuentas!AE$2:AE$6092)</f>
        <v>0</v>
      </c>
      <c r="M1071" s="12">
        <f>LOOKUP(415011100,[1]PlanCuentas!$A$2:$A$6092,[1]PlanCuentas!AE$2:AE$6092)</f>
        <v>0</v>
      </c>
      <c r="N1071" s="12">
        <f>LOOKUP(415011200,[1]PlanCuentas!$A$2:$A$6092,[1]PlanCuentas!AE$2:AE$6092)</f>
        <v>0</v>
      </c>
      <c r="O1071" s="12">
        <f>LOOKUP(415011300,[1]PlanCuentas!$A$2:$A$6092,[1]PlanCuentas!AE$2:AE$6092)</f>
        <v>0</v>
      </c>
      <c r="P1071" s="12">
        <f>LOOKUP(415012000,[1]PlanCuentas!$A$2:$A$6092,[1]PlanCuentas!AE$2:AE$6092)</f>
        <v>0</v>
      </c>
      <c r="Q1071" s="13">
        <f t="shared" si="54"/>
        <v>0</v>
      </c>
    </row>
    <row r="1072" spans="1:17" x14ac:dyDescent="0.2">
      <c r="A1072" s="10">
        <v>30</v>
      </c>
      <c r="B1072" s="11" t="str">
        <f>[1]Aseguradoras!B31</f>
        <v>Aseguradora Tajy Propiedad Cooperativa S.A. de Seguros</v>
      </c>
      <c r="C1072" s="12">
        <f>LOOKUP(415010100,[1]PlanCuentas!$A$2:$A$6092,[1]PlanCuentas!AF$2:AF$6092)</f>
        <v>0</v>
      </c>
      <c r="D1072" s="12">
        <f>LOOKUP(415010200,[1]PlanCuentas!$A$2:$A$6092,[1]PlanCuentas!AF$2:AF$6092)</f>
        <v>0</v>
      </c>
      <c r="E1072" s="12">
        <f>LOOKUP(415010300,[1]PlanCuentas!$A$2:$A$6092,[1]PlanCuentas!AF$2:AF$6092)</f>
        <v>0</v>
      </c>
      <c r="F1072" s="12">
        <f>LOOKUP(415010400,[1]PlanCuentas!$A$2:$A$6092,[1]PlanCuentas!AF$2:AF$6092)</f>
        <v>0</v>
      </c>
      <c r="G1072" s="12">
        <f>LOOKUP(415010500,[1]PlanCuentas!$A$2:$A$6092,[1]PlanCuentas!AF$2:AF$6092)</f>
        <v>0</v>
      </c>
      <c r="H1072" s="12">
        <f>LOOKUP(415010600,[1]PlanCuentas!$A$2:$A$6092,[1]PlanCuentas!AF$2:AF$6092)</f>
        <v>0</v>
      </c>
      <c r="I1072" s="12">
        <f>LOOKUP(415010700,[1]PlanCuentas!$A$2:$A$6092,[1]PlanCuentas!AF$2:AF$6092)</f>
        <v>0</v>
      </c>
      <c r="J1072" s="12">
        <f>LOOKUP(415010800,[1]PlanCuentas!$A$2:$A$6092,[1]PlanCuentas!AF$2:AF$6092)</f>
        <v>0</v>
      </c>
      <c r="K1072" s="12">
        <f>LOOKUP(415010900,[1]PlanCuentas!$A$2:$A$6092,[1]PlanCuentas!AF$2:AF$6092)</f>
        <v>0</v>
      </c>
      <c r="L1072" s="12">
        <f>LOOKUP(415011000,[1]PlanCuentas!$A$2:$A$6092,[1]PlanCuentas!AF$2:AF$6092)</f>
        <v>0</v>
      </c>
      <c r="M1072" s="12">
        <f>LOOKUP(415011100,[1]PlanCuentas!$A$2:$A$6092,[1]PlanCuentas!AF$2:AF$6092)</f>
        <v>0</v>
      </c>
      <c r="N1072" s="12">
        <f>LOOKUP(415011200,[1]PlanCuentas!$A$2:$A$6092,[1]PlanCuentas!AF$2:AF$6092)</f>
        <v>0</v>
      </c>
      <c r="O1072" s="12">
        <f>LOOKUP(415011300,[1]PlanCuentas!$A$2:$A$6092,[1]PlanCuentas!AF$2:AF$6092)</f>
        <v>0</v>
      </c>
      <c r="P1072" s="12">
        <f>LOOKUP(415012000,[1]PlanCuentas!$A$2:$A$6092,[1]PlanCuentas!AF$2:AF$6092)</f>
        <v>0</v>
      </c>
      <c r="Q1072" s="13">
        <f t="shared" si="54"/>
        <v>0</v>
      </c>
    </row>
    <row r="1073" spans="1:27" x14ac:dyDescent="0.2">
      <c r="A1073" s="10">
        <v>31</v>
      </c>
      <c r="B1073" s="11" t="str">
        <f>[1]Aseguradoras!B32</f>
        <v>Aseguradora del Sur S.A. Seguros Generales - ASUR</v>
      </c>
      <c r="C1073" s="12">
        <f>LOOKUP(415010100,[1]PlanCuentas!$A$2:$A$6092,[1]PlanCuentas!AG$2:AG$6092)</f>
        <v>0</v>
      </c>
      <c r="D1073" s="12">
        <f>LOOKUP(415010200,[1]PlanCuentas!$A$2:$A$6092,[1]PlanCuentas!AG$2:AG$6092)</f>
        <v>0</v>
      </c>
      <c r="E1073" s="12">
        <f>LOOKUP(415010300,[1]PlanCuentas!$A$2:$A$6092,[1]PlanCuentas!AG$2:AG$6092)</f>
        <v>0</v>
      </c>
      <c r="F1073" s="12">
        <f>LOOKUP(415010400,[1]PlanCuentas!$A$2:$A$6092,[1]PlanCuentas!AG$2:AG$6092)</f>
        <v>0</v>
      </c>
      <c r="G1073" s="12">
        <f>LOOKUP(415010500,[1]PlanCuentas!$A$2:$A$6092,[1]PlanCuentas!AG$2:AG$6092)</f>
        <v>0</v>
      </c>
      <c r="H1073" s="12">
        <f>LOOKUP(415010600,[1]PlanCuentas!$A$2:$A$6092,[1]PlanCuentas!AG$2:AG$6092)</f>
        <v>0</v>
      </c>
      <c r="I1073" s="12">
        <f>LOOKUP(415010700,[1]PlanCuentas!$A$2:$A$6092,[1]PlanCuentas!AG$2:AG$6092)</f>
        <v>0</v>
      </c>
      <c r="J1073" s="12">
        <f>LOOKUP(415010800,[1]PlanCuentas!$A$2:$A$6092,[1]PlanCuentas!AG$2:AG$6092)</f>
        <v>0</v>
      </c>
      <c r="K1073" s="12">
        <f>LOOKUP(415010900,[1]PlanCuentas!$A$2:$A$6092,[1]PlanCuentas!AG$2:AG$6092)</f>
        <v>0</v>
      </c>
      <c r="L1073" s="12">
        <f>LOOKUP(415011000,[1]PlanCuentas!$A$2:$A$6092,[1]PlanCuentas!AG$2:AG$6092)</f>
        <v>0</v>
      </c>
      <c r="M1073" s="12">
        <f>LOOKUP(415011100,[1]PlanCuentas!$A$2:$A$6092,[1]PlanCuentas!AG$2:AG$6092)</f>
        <v>0</v>
      </c>
      <c r="N1073" s="12">
        <f>LOOKUP(415011200,[1]PlanCuentas!$A$2:$A$6092,[1]PlanCuentas!AG$2:AG$6092)</f>
        <v>0</v>
      </c>
      <c r="O1073" s="12">
        <f>LOOKUP(415011300,[1]PlanCuentas!$A$2:$A$6092,[1]PlanCuentas!AG$2:AG$6092)</f>
        <v>0</v>
      </c>
      <c r="P1073" s="12">
        <f>LOOKUP(415012000,[1]PlanCuentas!$A$2:$A$6092,[1]PlanCuentas!AG$2:AG$6092)</f>
        <v>0</v>
      </c>
      <c r="Q1073" s="13">
        <f t="shared" si="54"/>
        <v>0</v>
      </c>
    </row>
    <row r="1074" spans="1:27" x14ac:dyDescent="0.2">
      <c r="A1074" s="10">
        <v>32</v>
      </c>
      <c r="B1074" s="11" t="str">
        <f>[1]Aseguradoras!B33</f>
        <v>Panal Compañía De Seguros Generales S.A.</v>
      </c>
      <c r="C1074" s="12">
        <f>LOOKUP(415010100,[1]PlanCuentas!$A$2:$A$6092,[1]PlanCuentas!AH$2:AH$6092)</f>
        <v>0</v>
      </c>
      <c r="D1074" s="12">
        <f>LOOKUP(415010200,[1]PlanCuentas!$A$2:$A$6092,[1]PlanCuentas!AH$2:AH$6092)</f>
        <v>0</v>
      </c>
      <c r="E1074" s="12">
        <f>LOOKUP(415010300,[1]PlanCuentas!$A$2:$A$6092,[1]PlanCuentas!AH$2:AH$6092)</f>
        <v>0</v>
      </c>
      <c r="F1074" s="12">
        <f>LOOKUP(415010400,[1]PlanCuentas!$A$2:$A$6092,[1]PlanCuentas!AH$2:AH$6092)</f>
        <v>0</v>
      </c>
      <c r="G1074" s="12">
        <f>LOOKUP(415010500,[1]PlanCuentas!$A$2:$A$6092,[1]PlanCuentas!AH$2:AH$6092)</f>
        <v>0</v>
      </c>
      <c r="H1074" s="12">
        <f>LOOKUP(415010600,[1]PlanCuentas!$A$2:$A$6092,[1]PlanCuentas!AH$2:AH$6092)</f>
        <v>0</v>
      </c>
      <c r="I1074" s="12">
        <f>LOOKUP(415010700,[1]PlanCuentas!$A$2:$A$6092,[1]PlanCuentas!AH$2:AH$6092)</f>
        <v>0</v>
      </c>
      <c r="J1074" s="12">
        <f>LOOKUP(415010800,[1]PlanCuentas!$A$2:$A$6092,[1]PlanCuentas!AH$2:AH$6092)</f>
        <v>0</v>
      </c>
      <c r="K1074" s="12">
        <f>LOOKUP(415010900,[1]PlanCuentas!$A$2:$A$6092,[1]PlanCuentas!AH$2:AH$6092)</f>
        <v>0</v>
      </c>
      <c r="L1074" s="12">
        <f>LOOKUP(415011000,[1]PlanCuentas!$A$2:$A$6092,[1]PlanCuentas!AH$2:AH$6092)</f>
        <v>0</v>
      </c>
      <c r="M1074" s="12">
        <f>LOOKUP(415011100,[1]PlanCuentas!$A$2:$A$6092,[1]PlanCuentas!AH$2:AH$6092)</f>
        <v>0</v>
      </c>
      <c r="N1074" s="12">
        <f>LOOKUP(415011200,[1]PlanCuentas!$A$2:$A$6092,[1]PlanCuentas!AH$2:AH$6092)</f>
        <v>0</v>
      </c>
      <c r="O1074" s="12">
        <f>LOOKUP(415011300,[1]PlanCuentas!$A$2:$A$6092,[1]PlanCuentas!AH$2:AH$6092)</f>
        <v>0</v>
      </c>
      <c r="P1074" s="12">
        <f>LOOKUP(415012000,[1]PlanCuentas!$A$2:$A$6092,[1]PlanCuentas!AH$2:AH$6092)</f>
        <v>0</v>
      </c>
      <c r="Q1074" s="13">
        <f t="shared" si="54"/>
        <v>0</v>
      </c>
    </row>
    <row r="1075" spans="1:27" x14ac:dyDescent="0.2">
      <c r="A1075" s="14">
        <v>33</v>
      </c>
      <c r="B1075" s="19" t="str">
        <f>[1]Aseguradoras!B34</f>
        <v>Sancor Seguros del Paraguay S.A.</v>
      </c>
      <c r="C1075" s="12">
        <f>LOOKUP(415010100,[1]PlanCuentas!$A$2:$A$6092,[1]PlanCuentas!AI$2:AI$6092)</f>
        <v>0</v>
      </c>
      <c r="D1075" s="12">
        <f>LOOKUP(415010200,[1]PlanCuentas!$A$2:$A$6092,[1]PlanCuentas!AI$2:AI$6092)</f>
        <v>0</v>
      </c>
      <c r="E1075" s="12">
        <f>LOOKUP(415010300,[1]PlanCuentas!$A$2:$A$6092,[1]PlanCuentas!AI$2:AI$6092)</f>
        <v>0</v>
      </c>
      <c r="F1075" s="12">
        <f>LOOKUP(415010400,[1]PlanCuentas!$A$2:$A$6092,[1]PlanCuentas!AI$2:AI$6092)</f>
        <v>0</v>
      </c>
      <c r="G1075" s="12">
        <f>LOOKUP(415010500,[1]PlanCuentas!$A$2:$A$6092,[1]PlanCuentas!AI$2:AI$6092)</f>
        <v>0</v>
      </c>
      <c r="H1075" s="12">
        <f>LOOKUP(415010600,[1]PlanCuentas!$A$2:$A$6092,[1]PlanCuentas!AI$2:AI$6092)</f>
        <v>0</v>
      </c>
      <c r="I1075" s="12">
        <f>LOOKUP(415010700,[1]PlanCuentas!$A$2:$A$6092,[1]PlanCuentas!AI$2:AI$6092)</f>
        <v>0</v>
      </c>
      <c r="J1075" s="12">
        <f>LOOKUP(415010800,[1]PlanCuentas!$A$2:$A$6092,[1]PlanCuentas!AI$2:AI$6092)</f>
        <v>0</v>
      </c>
      <c r="K1075" s="12">
        <f>LOOKUP(415010900,[1]PlanCuentas!$A$2:$A$6092,[1]PlanCuentas!AI$2:AI$6092)</f>
        <v>0</v>
      </c>
      <c r="L1075" s="12">
        <f>LOOKUP(415011000,[1]PlanCuentas!$A$2:$A$6092,[1]PlanCuentas!AI$2:AI$6092)</f>
        <v>0</v>
      </c>
      <c r="M1075" s="12">
        <f>LOOKUP(415011100,[1]PlanCuentas!$A$2:$A$6092,[1]PlanCuentas!AI$2:AI$6092)</f>
        <v>0</v>
      </c>
      <c r="N1075" s="12">
        <f>LOOKUP(415011200,[1]PlanCuentas!$A$2:$A$6092,[1]PlanCuentas!AI$2:AI$6092)</f>
        <v>0</v>
      </c>
      <c r="O1075" s="12">
        <f>LOOKUP(415011300,[1]PlanCuentas!$A$2:$A$6092,[1]PlanCuentas!AI$2:AI$6092)</f>
        <v>0</v>
      </c>
      <c r="P1075" s="12">
        <f>LOOKUP(415012000,[1]PlanCuentas!$A$2:$A$6092,[1]PlanCuentas!AI$2:AI$6092)</f>
        <v>0</v>
      </c>
      <c r="Q1075" s="13">
        <f>SUM(C1075:P1075)</f>
        <v>0</v>
      </c>
    </row>
    <row r="1076" spans="1:27" x14ac:dyDescent="0.2">
      <c r="A1076" s="14"/>
      <c r="B1076" s="15" t="s">
        <v>18</v>
      </c>
      <c r="C1076" s="17">
        <f t="shared" ref="C1076:Q1076" si="55">SUBTOTAL(109,C1043:C1075)</f>
        <v>0</v>
      </c>
      <c r="D1076" s="17">
        <f t="shared" si="55"/>
        <v>0</v>
      </c>
      <c r="E1076" s="17">
        <f t="shared" si="55"/>
        <v>0</v>
      </c>
      <c r="F1076" s="17">
        <f t="shared" si="55"/>
        <v>0</v>
      </c>
      <c r="G1076" s="17">
        <f t="shared" si="55"/>
        <v>0</v>
      </c>
      <c r="H1076" s="17">
        <f t="shared" si="55"/>
        <v>0</v>
      </c>
      <c r="I1076" s="17">
        <f t="shared" si="55"/>
        <v>0</v>
      </c>
      <c r="J1076" s="17">
        <f t="shared" si="55"/>
        <v>0</v>
      </c>
      <c r="K1076" s="17">
        <f t="shared" si="55"/>
        <v>0</v>
      </c>
      <c r="L1076" s="17">
        <f t="shared" si="55"/>
        <v>0</v>
      </c>
      <c r="M1076" s="17">
        <f t="shared" si="55"/>
        <v>0</v>
      </c>
      <c r="N1076" s="17">
        <f t="shared" si="55"/>
        <v>0</v>
      </c>
      <c r="O1076" s="17">
        <f t="shared" si="55"/>
        <v>0</v>
      </c>
      <c r="P1076" s="17">
        <f t="shared" si="55"/>
        <v>0</v>
      </c>
      <c r="Q1076" s="17">
        <f t="shared" si="55"/>
        <v>0</v>
      </c>
      <c r="R1076" s="5"/>
      <c r="S1076" s="5"/>
      <c r="T1076" s="5"/>
      <c r="U1076" s="5"/>
      <c r="V1076" s="5"/>
      <c r="W1076" s="5"/>
      <c r="X1076" s="5"/>
      <c r="Y1076" s="5"/>
      <c r="Z1076" s="5"/>
      <c r="AA1076" s="5"/>
    </row>
    <row r="1077" spans="1:27" x14ac:dyDescent="0.2">
      <c r="D1077" s="5"/>
      <c r="E1077" s="5"/>
      <c r="F1077" s="5"/>
      <c r="G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</row>
    <row r="1078" spans="1:27" ht="28.35" customHeight="1" x14ac:dyDescent="0.2">
      <c r="A1078" s="1" t="s">
        <v>62</v>
      </c>
      <c r="B1078" s="47" t="s">
        <v>63</v>
      </c>
      <c r="C1078" s="47"/>
      <c r="D1078" s="2"/>
      <c r="E1078" s="3"/>
      <c r="F1078" s="4"/>
      <c r="R1078" s="5"/>
      <c r="S1078" s="5"/>
      <c r="T1078" s="5"/>
      <c r="U1078" s="5"/>
      <c r="V1078" s="5"/>
      <c r="W1078" s="5"/>
      <c r="X1078" s="5"/>
      <c r="Y1078" s="5"/>
      <c r="Z1078" s="5"/>
      <c r="AA1078" s="5"/>
    </row>
    <row r="1079" spans="1:27" ht="24" x14ac:dyDescent="0.2">
      <c r="A1079" s="7" t="s">
        <v>2</v>
      </c>
      <c r="B1079" s="8" t="s">
        <v>3</v>
      </c>
      <c r="C1079" s="9" t="s">
        <v>64</v>
      </c>
      <c r="D1079" s="9" t="s">
        <v>65</v>
      </c>
      <c r="E1079" s="9" t="s">
        <v>66</v>
      </c>
      <c r="F1079" s="9" t="s">
        <v>18</v>
      </c>
      <c r="R1079" s="5"/>
      <c r="S1079" s="5"/>
      <c r="T1079" s="5"/>
      <c r="U1079" s="5"/>
      <c r="V1079" s="5"/>
      <c r="W1079" s="5"/>
      <c r="X1079" s="5"/>
      <c r="Y1079" s="5"/>
      <c r="Z1079" s="5"/>
      <c r="AA1079" s="5"/>
    </row>
    <row r="1080" spans="1:27" x14ac:dyDescent="0.2">
      <c r="A1080" s="10">
        <v>1</v>
      </c>
      <c r="B1080" s="11" t="str">
        <f>[1]Aseguradoras!B2</f>
        <v>El Comercio Paraguayo S.A. de Seguros</v>
      </c>
      <c r="C1080" s="12">
        <f>LOOKUP(425010100,[1]PlanCuentas!$A$2:$A$6092,[1]PlanCuentas!C$2:C$6092)</f>
        <v>518793339</v>
      </c>
      <c r="D1080" s="12">
        <f>LOOKUP(425010200,[1]PlanCuentas!$A$2:$A$6092,[1]PlanCuentas!C$2:C$6092)</f>
        <v>0</v>
      </c>
      <c r="E1080" s="12">
        <f>LOOKUP(425013000,[1]PlanCuentas!$A$2:$A$6092,[1]PlanCuentas!C$2:C$6092)</f>
        <v>0</v>
      </c>
      <c r="F1080" s="13">
        <f t="shared" ref="F1080:F1111" si="56">SUM(C1080:E1080)</f>
        <v>518793339</v>
      </c>
      <c r="R1080" s="5"/>
      <c r="S1080" s="5"/>
      <c r="T1080" s="5"/>
      <c r="U1080" s="5"/>
      <c r="V1080" s="5"/>
      <c r="W1080" s="5"/>
      <c r="X1080" s="5"/>
      <c r="Y1080" s="5"/>
      <c r="Z1080" s="5"/>
      <c r="AA1080" s="5"/>
    </row>
    <row r="1081" spans="1:27" x14ac:dyDescent="0.2">
      <c r="A1081" s="10">
        <v>2</v>
      </c>
      <c r="B1081" s="11" t="str">
        <f>[1]Aseguradoras!B3</f>
        <v>La Rural S.A de Seguros</v>
      </c>
      <c r="C1081" s="12">
        <f>LOOKUP(425010100,[1]PlanCuentas!$A$2:$A$6092,[1]PlanCuentas!D$2:D$6092)</f>
        <v>1108295937</v>
      </c>
      <c r="D1081" s="12">
        <f>LOOKUP(425010200,[1]PlanCuentas!$A$2:$A$6092,[1]PlanCuentas!D$2:D$6092)</f>
        <v>0</v>
      </c>
      <c r="E1081" s="12">
        <f>LOOKUP(425013000,[1]PlanCuentas!$A$2:$A$6092,[1]PlanCuentas!D$2:D$6092)</f>
        <v>0</v>
      </c>
      <c r="F1081" s="13">
        <f t="shared" si="56"/>
        <v>1108295937</v>
      </c>
      <c r="R1081" s="5"/>
      <c r="S1081" s="5"/>
      <c r="T1081" s="5"/>
      <c r="U1081" s="5"/>
      <c r="V1081" s="5"/>
      <c r="W1081" s="5"/>
      <c r="X1081" s="5"/>
      <c r="Y1081" s="5"/>
      <c r="Z1081" s="5"/>
      <c r="AA1081" s="5"/>
    </row>
    <row r="1082" spans="1:27" x14ac:dyDescent="0.2">
      <c r="A1082" s="10">
        <v>3</v>
      </c>
      <c r="B1082" s="11" t="str">
        <f>[1]Aseguradoras!B4</f>
        <v>La Paraguaya S.A de Seguros</v>
      </c>
      <c r="C1082" s="12">
        <f>LOOKUP(425010100,[1]PlanCuentas!$A$2:$A$6092,[1]PlanCuentas!E$2:E$6092)</f>
        <v>458140788</v>
      </c>
      <c r="D1082" s="12">
        <f>LOOKUP(425010200,[1]PlanCuentas!$A$2:$A$6092,[1]PlanCuentas!E$2:E$6092)</f>
        <v>0</v>
      </c>
      <c r="E1082" s="12">
        <f>LOOKUP(425013000,[1]PlanCuentas!$A$2:$A$6092,[1]PlanCuentas!E$2:E$6092)</f>
        <v>0</v>
      </c>
      <c r="F1082" s="13">
        <f t="shared" si="56"/>
        <v>458140788</v>
      </c>
      <c r="R1082" s="5"/>
      <c r="S1082" s="5"/>
      <c r="T1082" s="5"/>
      <c r="U1082" s="5"/>
      <c r="V1082" s="5"/>
      <c r="W1082" s="5"/>
      <c r="X1082" s="5"/>
      <c r="Y1082" s="5"/>
      <c r="Z1082" s="5"/>
      <c r="AA1082" s="5"/>
    </row>
    <row r="1083" spans="1:27" x14ac:dyDescent="0.2">
      <c r="A1083" s="10">
        <v>4</v>
      </c>
      <c r="B1083" s="11" t="str">
        <f>[1]Aseguradoras!B5</f>
        <v>Seguros Generales S. A (SEGESA)</v>
      </c>
      <c r="C1083" s="12">
        <f>LOOKUP(425010100,[1]PlanCuentas!$A$2:$A$6092,[1]PlanCuentas!F$2:F$6092)</f>
        <v>62575555</v>
      </c>
      <c r="D1083" s="12">
        <f>LOOKUP(425010200,[1]PlanCuentas!$A$2:$A$6092,[1]PlanCuentas!F$2:F$6092)</f>
        <v>0</v>
      </c>
      <c r="E1083" s="12">
        <f>LOOKUP(425013000,[1]PlanCuentas!$A$2:$A$6092,[1]PlanCuentas!F$2:F$6092)</f>
        <v>0</v>
      </c>
      <c r="F1083" s="13">
        <f t="shared" si="56"/>
        <v>62575555</v>
      </c>
      <c r="R1083" s="5"/>
      <c r="S1083" s="5"/>
      <c r="T1083" s="5"/>
      <c r="U1083" s="5"/>
      <c r="V1083" s="5"/>
      <c r="W1083" s="5"/>
      <c r="X1083" s="5"/>
      <c r="Y1083" s="5"/>
      <c r="Z1083" s="5"/>
      <c r="AA1083" s="5"/>
    </row>
    <row r="1084" spans="1:27" x14ac:dyDescent="0.2">
      <c r="A1084" s="10">
        <v>5</v>
      </c>
      <c r="B1084" s="11" t="str">
        <f>[1]Aseguradoras!B6</f>
        <v>Rumbos S.A de Seguros</v>
      </c>
      <c r="C1084" s="12">
        <f>LOOKUP(425010100,[1]PlanCuentas!$A$2:$A$6092,[1]PlanCuentas!G$2:G$6092)</f>
        <v>1574224970</v>
      </c>
      <c r="D1084" s="12">
        <f>LOOKUP(425010200,[1]PlanCuentas!$A$2:$A$6092,[1]PlanCuentas!G$2:G$6092)</f>
        <v>0</v>
      </c>
      <c r="E1084" s="12">
        <f>LOOKUP(425013000,[1]PlanCuentas!$A$2:$A$6092,[1]PlanCuentas!G$2:G$6092)</f>
        <v>0</v>
      </c>
      <c r="F1084" s="13">
        <f t="shared" si="56"/>
        <v>1574224970</v>
      </c>
      <c r="G1084" s="39"/>
      <c r="H1084" s="39"/>
      <c r="I1084" s="39"/>
      <c r="J1084" s="39"/>
      <c r="K1084" s="39"/>
      <c r="L1084" s="39"/>
      <c r="M1084" s="39"/>
      <c r="N1084" s="39"/>
      <c r="O1084" s="39"/>
      <c r="P1084" s="39"/>
      <c r="Q1084" s="40"/>
      <c r="R1084" s="5"/>
      <c r="S1084" s="5"/>
      <c r="T1084" s="5"/>
      <c r="U1084" s="5"/>
      <c r="V1084" s="5"/>
      <c r="W1084" s="5"/>
      <c r="X1084" s="5"/>
      <c r="Y1084" s="5"/>
      <c r="Z1084" s="5"/>
      <c r="AA1084" s="5"/>
    </row>
    <row r="1085" spans="1:27" x14ac:dyDescent="0.2">
      <c r="A1085" s="10">
        <v>6</v>
      </c>
      <c r="B1085" s="11" t="str">
        <f>[1]Aseguradoras!B7</f>
        <v>La Consolidada S.A de Seguros</v>
      </c>
      <c r="C1085" s="12">
        <f>LOOKUP(425010100,[1]PlanCuentas!$A$2:$A$6092,[1]PlanCuentas!H$2:H$6092)</f>
        <v>1793469409</v>
      </c>
      <c r="D1085" s="12">
        <f>LOOKUP(425010200,[1]PlanCuentas!$A$2:$A$6092,[1]PlanCuentas!H$2:H$6092)</f>
        <v>0</v>
      </c>
      <c r="E1085" s="12">
        <f>LOOKUP(425013000,[1]PlanCuentas!$A$2:$A$6092,[1]PlanCuentas!H$2:H$6092)</f>
        <v>0</v>
      </c>
      <c r="F1085" s="13">
        <f t="shared" si="56"/>
        <v>1793469409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</row>
    <row r="1086" spans="1:27" x14ac:dyDescent="0.2">
      <c r="A1086" s="10">
        <v>7</v>
      </c>
      <c r="B1086" s="11" t="str">
        <f>[1]Aseguradoras!B8</f>
        <v>El Productor S.A de Seguros y Reaseguros</v>
      </c>
      <c r="C1086" s="12">
        <f>LOOKUP(425010100,[1]PlanCuentas!$A$2:$A$6092,[1]PlanCuentas!I$2:I$6092)</f>
        <v>833861670</v>
      </c>
      <c r="D1086" s="12">
        <f>LOOKUP(425010200,[1]PlanCuentas!$A$2:$A$6092,[1]PlanCuentas!I$2:I$6092)</f>
        <v>0</v>
      </c>
      <c r="E1086" s="12">
        <f>LOOKUP(425013000,[1]PlanCuentas!$A$2:$A$6092,[1]PlanCuentas!I$2:I$6092)</f>
        <v>0</v>
      </c>
      <c r="F1086" s="13">
        <f t="shared" si="56"/>
        <v>833861670</v>
      </c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</row>
    <row r="1087" spans="1:27" x14ac:dyDescent="0.2">
      <c r="A1087" s="10">
        <v>8</v>
      </c>
      <c r="B1087" s="11" t="str">
        <f>[1]Aseguradoras!B9</f>
        <v>Atalaya S.A de Seguros Generales</v>
      </c>
      <c r="C1087" s="12">
        <f>LOOKUP(425010100,[1]PlanCuentas!$A$2:$A$6092,[1]PlanCuentas!J$2:J$6092)</f>
        <v>207765333</v>
      </c>
      <c r="D1087" s="12">
        <f>LOOKUP(425010200,[1]PlanCuentas!$A$2:$A$6092,[1]PlanCuentas!J$2:J$6092)</f>
        <v>0</v>
      </c>
      <c r="E1087" s="12">
        <f>LOOKUP(425013000,[1]PlanCuentas!$A$2:$A$6092,[1]PlanCuentas!J$2:J$6092)</f>
        <v>0</v>
      </c>
      <c r="F1087" s="13">
        <f t="shared" si="56"/>
        <v>207765333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</row>
    <row r="1088" spans="1:27" x14ac:dyDescent="0.2">
      <c r="A1088" s="10">
        <v>9</v>
      </c>
      <c r="B1088" s="11" t="str">
        <f>[1]Aseguradoras!B10</f>
        <v>La Independencia de Seguros S.A.</v>
      </c>
      <c r="C1088" s="12">
        <f>LOOKUP(425010100,[1]PlanCuentas!$A$2:$A$6092,[1]PlanCuentas!K$2:K$6092)</f>
        <v>550715788</v>
      </c>
      <c r="D1088" s="12">
        <f>LOOKUP(425010200,[1]PlanCuentas!$A$2:$A$6092,[1]PlanCuentas!K$2:K$6092)</f>
        <v>0</v>
      </c>
      <c r="E1088" s="12">
        <f>LOOKUP(425013000,[1]PlanCuentas!$A$2:$A$6092,[1]PlanCuentas!K$2:K$6092)</f>
        <v>0</v>
      </c>
      <c r="F1088" s="13">
        <f t="shared" si="56"/>
        <v>550715788</v>
      </c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</row>
    <row r="1089" spans="1:17" x14ac:dyDescent="0.2">
      <c r="A1089" s="10">
        <v>10</v>
      </c>
      <c r="B1089" s="11" t="str">
        <f>[1]Aseguradoras!B11</f>
        <v>Patria S.A de Seguros y Reaseguros</v>
      </c>
      <c r="C1089" s="12">
        <f>LOOKUP(425010100,[1]PlanCuentas!$A$2:$A$6092,[1]PlanCuentas!L$2:L$6092)</f>
        <v>583012234</v>
      </c>
      <c r="D1089" s="12">
        <f>LOOKUP(425010200,[1]PlanCuentas!$A$2:$A$6092,[1]PlanCuentas!L$2:L$6092)</f>
        <v>35620033</v>
      </c>
      <c r="E1089" s="12">
        <f>LOOKUP(425013000,[1]PlanCuentas!$A$2:$A$6092,[1]PlanCuentas!L$2:L$6092)</f>
        <v>0</v>
      </c>
      <c r="F1089" s="13">
        <f t="shared" si="56"/>
        <v>618632267</v>
      </c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</row>
    <row r="1090" spans="1:17" x14ac:dyDescent="0.2">
      <c r="A1090" s="10">
        <v>11</v>
      </c>
      <c r="B1090" s="11" t="str">
        <f>[1]Aseguradoras!B12</f>
        <v>Garantía S.A de Seguros y Reaseguros</v>
      </c>
      <c r="C1090" s="12">
        <f>LOOKUP(425010100,[1]PlanCuentas!$A$2:$A$6092,[1]PlanCuentas!M$2:M$6092)</f>
        <v>242328728</v>
      </c>
      <c r="D1090" s="12">
        <f>LOOKUP(425010200,[1]PlanCuentas!$A$2:$A$6092,[1]PlanCuentas!M$2:M$6092)</f>
        <v>0</v>
      </c>
      <c r="E1090" s="12">
        <f>LOOKUP(425013000,[1]PlanCuentas!$A$2:$A$6092,[1]PlanCuentas!M$2:M$6092)</f>
        <v>0</v>
      </c>
      <c r="F1090" s="13">
        <f t="shared" si="56"/>
        <v>242328728</v>
      </c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</row>
    <row r="1091" spans="1:17" x14ac:dyDescent="0.2">
      <c r="A1091" s="10">
        <v>12</v>
      </c>
      <c r="B1091" s="11" t="str">
        <f>[1]Aseguradoras!B13</f>
        <v>Aseguradora Paraguaya S.A.</v>
      </c>
      <c r="C1091" s="12">
        <f>LOOKUP(425010100,[1]PlanCuentas!$A$2:$A$6092,[1]PlanCuentas!N$2:N$6092)</f>
        <v>137826660</v>
      </c>
      <c r="D1091" s="12">
        <f>LOOKUP(425010200,[1]PlanCuentas!$A$2:$A$6092,[1]PlanCuentas!N$2:N$6092)</f>
        <v>0</v>
      </c>
      <c r="E1091" s="12">
        <f>LOOKUP(425013000,[1]PlanCuentas!$A$2:$A$6092,[1]PlanCuentas!N$2:N$6092)</f>
        <v>0</v>
      </c>
      <c r="F1091" s="13">
        <f t="shared" si="56"/>
        <v>137826660</v>
      </c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</row>
    <row r="1092" spans="1:17" x14ac:dyDescent="0.2">
      <c r="A1092" s="10">
        <v>13</v>
      </c>
      <c r="B1092" s="11" t="str">
        <f>[1]Aseguradoras!B14</f>
        <v>Fénix S.A de Seguros y Reaseguros</v>
      </c>
      <c r="C1092" s="12">
        <f>LOOKUP(425010100,[1]PlanCuentas!$A$2:$A$6092,[1]PlanCuentas!O$2:O$6092)</f>
        <v>327987374</v>
      </c>
      <c r="D1092" s="12">
        <f>LOOKUP(425010200,[1]PlanCuentas!$A$2:$A$6092,[1]PlanCuentas!O$2:O$6092)</f>
        <v>0</v>
      </c>
      <c r="E1092" s="12">
        <f>LOOKUP(425013000,[1]PlanCuentas!$A$2:$A$6092,[1]PlanCuentas!O$2:O$6092)</f>
        <v>0</v>
      </c>
      <c r="F1092" s="13">
        <f t="shared" si="56"/>
        <v>327987374</v>
      </c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</row>
    <row r="1093" spans="1:17" x14ac:dyDescent="0.2">
      <c r="A1093" s="10">
        <v>14</v>
      </c>
      <c r="B1093" s="11" t="str">
        <f>[1]Aseguradoras!B15</f>
        <v>Central S.A de Seguros</v>
      </c>
      <c r="C1093" s="12">
        <f>LOOKUP(425010100,[1]PlanCuentas!$A$2:$A$6092,[1]PlanCuentas!P$2:P$6092)</f>
        <v>302257361</v>
      </c>
      <c r="D1093" s="12">
        <f>LOOKUP(425010200,[1]PlanCuentas!$A$2:$A$6092,[1]PlanCuentas!P$2:P$6092)</f>
        <v>0</v>
      </c>
      <c r="E1093" s="12">
        <f>LOOKUP(425013000,[1]PlanCuentas!$A$2:$A$6092,[1]PlanCuentas!P$2:P$6092)</f>
        <v>0</v>
      </c>
      <c r="F1093" s="13">
        <f t="shared" si="56"/>
        <v>302257361</v>
      </c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</row>
    <row r="1094" spans="1:17" x14ac:dyDescent="0.2">
      <c r="A1094" s="10">
        <v>15</v>
      </c>
      <c r="B1094" s="11" t="str">
        <f>[1]Aseguradoras!B16</f>
        <v>Seguros Chaco S.A de Seguros y Reaseguros</v>
      </c>
      <c r="C1094" s="12">
        <f>LOOKUP(425010100,[1]PlanCuentas!$A$2:$A$6092,[1]PlanCuentas!Q$2:Q$6092)</f>
        <v>615674785</v>
      </c>
      <c r="D1094" s="12">
        <f>LOOKUP(425010200,[1]PlanCuentas!$A$2:$A$6092,[1]PlanCuentas!Q$2:Q$6092)</f>
        <v>0</v>
      </c>
      <c r="E1094" s="12">
        <f>LOOKUP(425013000,[1]PlanCuentas!$A$2:$A$6092,[1]PlanCuentas!Q$2:Q$6092)</f>
        <v>0</v>
      </c>
      <c r="F1094" s="13">
        <f t="shared" si="56"/>
        <v>615674785</v>
      </c>
      <c r="H1094" s="5"/>
      <c r="I1094" s="5"/>
      <c r="J1094" s="5"/>
      <c r="K1094" s="5"/>
      <c r="L1094" s="5"/>
      <c r="M1094" s="5"/>
      <c r="N1094" s="5"/>
      <c r="O1094" s="5"/>
      <c r="P1094" s="5"/>
      <c r="Q1094" s="5"/>
    </row>
    <row r="1095" spans="1:17" x14ac:dyDescent="0.2">
      <c r="A1095" s="10">
        <v>16</v>
      </c>
      <c r="B1095" s="11" t="str">
        <f>[1]Aseguradoras!B17</f>
        <v>El Sol Del Paraguay Compañía de Seguros y Reaseguros S.A.</v>
      </c>
      <c r="C1095" s="12">
        <f>LOOKUP(425010100,[1]PlanCuentas!$A$2:$A$6092,[1]PlanCuentas!R$2:R$6092)</f>
        <v>556600858</v>
      </c>
      <c r="D1095" s="12">
        <f>LOOKUP(425010200,[1]PlanCuentas!$A$2:$A$6092,[1]PlanCuentas!R$2:R$6092)</f>
        <v>0</v>
      </c>
      <c r="E1095" s="12">
        <f>LOOKUP(425013000,[1]PlanCuentas!$A$2:$A$6092,[1]PlanCuentas!R$2:R$6092)</f>
        <v>8582634</v>
      </c>
      <c r="F1095" s="13">
        <f t="shared" si="56"/>
        <v>565183492</v>
      </c>
      <c r="H1095" s="41"/>
      <c r="I1095" s="41"/>
      <c r="J1095" s="41"/>
      <c r="K1095" s="41"/>
      <c r="L1095" s="41"/>
      <c r="M1095" s="41"/>
      <c r="N1095" s="41"/>
      <c r="O1095" s="41"/>
      <c r="P1095" s="42"/>
      <c r="Q1095" s="42"/>
    </row>
    <row r="1096" spans="1:17" x14ac:dyDescent="0.2">
      <c r="A1096" s="10">
        <v>17</v>
      </c>
      <c r="B1096" s="11" t="str">
        <f>[1]Aseguradoras!B18</f>
        <v>Intercontinental de Seguros y Reaseguros S.A.</v>
      </c>
      <c r="C1096" s="12">
        <f>LOOKUP(425010100,[1]PlanCuentas!$A$2:$A$6092,[1]PlanCuentas!S$2:S$6092)</f>
        <v>152170735</v>
      </c>
      <c r="D1096" s="12">
        <f>LOOKUP(425010200,[1]PlanCuentas!$A$2:$A$6092,[1]PlanCuentas!S$2:S$6092)</f>
        <v>0</v>
      </c>
      <c r="E1096" s="12">
        <f>LOOKUP(425013000,[1]PlanCuentas!$A$2:$A$6092,[1]PlanCuentas!S$2:S$6092)</f>
        <v>0</v>
      </c>
      <c r="F1096" s="13">
        <f t="shared" si="56"/>
        <v>152170735</v>
      </c>
    </row>
    <row r="1097" spans="1:17" x14ac:dyDescent="0.2">
      <c r="A1097" s="10">
        <v>18</v>
      </c>
      <c r="B1097" s="11" t="str">
        <f>[1]Aseguradoras!B19</f>
        <v>Seguridad S.A Compañía de Seguros</v>
      </c>
      <c r="C1097" s="12">
        <f>LOOKUP(425010100,[1]PlanCuentas!$A$2:$A$6092,[1]PlanCuentas!T$2:T$6092)</f>
        <v>591989927</v>
      </c>
      <c r="D1097" s="12">
        <f>LOOKUP(425010200,[1]PlanCuentas!$A$2:$A$6092,[1]PlanCuentas!T$2:T$6092)</f>
        <v>0</v>
      </c>
      <c r="E1097" s="12">
        <f>LOOKUP(425013000,[1]PlanCuentas!$A$2:$A$6092,[1]PlanCuentas!T$2:T$6092)</f>
        <v>0</v>
      </c>
      <c r="F1097" s="13">
        <f t="shared" si="56"/>
        <v>591989927</v>
      </c>
    </row>
    <row r="1098" spans="1:17" x14ac:dyDescent="0.2">
      <c r="A1098" s="10">
        <v>19</v>
      </c>
      <c r="B1098" s="11" t="str">
        <f>[1]Aseguradoras!B20</f>
        <v>Universo de Seguros y Reaseguros S.A.</v>
      </c>
      <c r="C1098" s="12">
        <f>LOOKUP(425010100,[1]PlanCuentas!$A$2:$A$6092,[1]PlanCuentas!U$2:U$6092)</f>
        <v>2555</v>
      </c>
      <c r="D1098" s="12">
        <f>LOOKUP(425010200,[1]PlanCuentas!$A$2:$A$6092,[1]PlanCuentas!U$2:U$6092)</f>
        <v>0</v>
      </c>
      <c r="E1098" s="12">
        <f>LOOKUP(425013000,[1]PlanCuentas!$A$2:$A$6092,[1]PlanCuentas!U$2:U$6092)</f>
        <v>6420806</v>
      </c>
      <c r="F1098" s="13">
        <f t="shared" si="56"/>
        <v>6423361</v>
      </c>
    </row>
    <row r="1099" spans="1:17" x14ac:dyDescent="0.2">
      <c r="A1099" s="10">
        <v>20</v>
      </c>
      <c r="B1099" s="11" t="str">
        <f>[1]Aseguradoras!B21</f>
        <v>Aseguradora Yacyreta S.A de Seguros y Reaseguros</v>
      </c>
      <c r="C1099" s="12">
        <f>LOOKUP(425010100,[1]PlanCuentas!$A$2:$A$6092,[1]PlanCuentas!V$2:V$6092)</f>
        <v>2016062735</v>
      </c>
      <c r="D1099" s="12">
        <f>LOOKUP(425010200,[1]PlanCuentas!$A$2:$A$6092,[1]PlanCuentas!V$2:V$6092)</f>
        <v>0</v>
      </c>
      <c r="E1099" s="12">
        <f>LOOKUP(425013000,[1]PlanCuentas!$A$2:$A$6092,[1]PlanCuentas!V$2:V$6092)</f>
        <v>0</v>
      </c>
      <c r="F1099" s="13">
        <f t="shared" si="56"/>
        <v>2016062735</v>
      </c>
    </row>
    <row r="1100" spans="1:17" x14ac:dyDescent="0.2">
      <c r="A1100" s="10">
        <v>21</v>
      </c>
      <c r="B1100" s="11" t="str">
        <f>[1]Aseguradoras!B22</f>
        <v>La Agricola S.A de Seguros y Reaseguros</v>
      </c>
      <c r="C1100" s="12">
        <f>LOOKUP(425010100,[1]PlanCuentas!$A$2:$A$6092,[1]PlanCuentas!W$2:W$6092)</f>
        <v>366899219</v>
      </c>
      <c r="D1100" s="12">
        <f>LOOKUP(425010200,[1]PlanCuentas!$A$2:$A$6092,[1]PlanCuentas!W$2:W$6092)</f>
        <v>0</v>
      </c>
      <c r="E1100" s="12">
        <f>LOOKUP(425013000,[1]PlanCuentas!$A$2:$A$6092,[1]PlanCuentas!W$2:W$6092)</f>
        <v>0</v>
      </c>
      <c r="F1100" s="13">
        <f t="shared" si="56"/>
        <v>366899219</v>
      </c>
    </row>
    <row r="1101" spans="1:17" x14ac:dyDescent="0.2">
      <c r="A1101" s="10">
        <v>22</v>
      </c>
      <c r="B1101" s="11" t="str">
        <f>[1]Aseguradoras!B23</f>
        <v>Grupo General de Seguros y Reaseguros S.A.</v>
      </c>
      <c r="C1101" s="12">
        <f>LOOKUP(425010100,[1]PlanCuentas!$A$2:$A$6092,[1]PlanCuentas!X$2:X$6092)</f>
        <v>504810356</v>
      </c>
      <c r="D1101" s="12">
        <f>LOOKUP(425010200,[1]PlanCuentas!$A$2:$A$6092,[1]PlanCuentas!X$2:X$6092)</f>
        <v>0</v>
      </c>
      <c r="E1101" s="12">
        <f>LOOKUP(425013000,[1]PlanCuentas!$A$2:$A$6092,[1]PlanCuentas!X$2:X$6092)</f>
        <v>0</v>
      </c>
      <c r="F1101" s="13">
        <f t="shared" si="56"/>
        <v>504810356</v>
      </c>
    </row>
    <row r="1102" spans="1:17" x14ac:dyDescent="0.2">
      <c r="A1102" s="10">
        <v>23</v>
      </c>
      <c r="B1102" s="11" t="str">
        <f>[1]Aseguradoras!B24</f>
        <v>Alfa S.A de Seguros y Reaseguros</v>
      </c>
      <c r="C1102" s="12">
        <f>LOOKUP(425010100,[1]PlanCuentas!$A$2:$A$6092,[1]PlanCuentas!Y$2:Y$6092)</f>
        <v>294575973</v>
      </c>
      <c r="D1102" s="12">
        <f>LOOKUP(425010200,[1]PlanCuentas!$A$2:$A$6092,[1]PlanCuentas!Y$2:Y$6092)</f>
        <v>0</v>
      </c>
      <c r="E1102" s="12">
        <f>LOOKUP(425013000,[1]PlanCuentas!$A$2:$A$6092,[1]PlanCuentas!Y$2:Y$6092)</f>
        <v>0</v>
      </c>
      <c r="F1102" s="13">
        <f t="shared" si="56"/>
        <v>294575973</v>
      </c>
    </row>
    <row r="1103" spans="1:17" x14ac:dyDescent="0.2">
      <c r="A1103" s="10">
        <v>24</v>
      </c>
      <c r="B1103" s="11" t="str">
        <f>[1]Aseguradoras!B25</f>
        <v>Cenit de Seguros S.A.</v>
      </c>
      <c r="C1103" s="12">
        <f>LOOKUP(425010100,[1]PlanCuentas!$A$2:$A$6092,[1]PlanCuentas!Z$2:Z$6092)</f>
        <v>506960353</v>
      </c>
      <c r="D1103" s="12">
        <f>LOOKUP(425010200,[1]PlanCuentas!$A$2:$A$6092,[1]PlanCuentas!Z$2:Z$6092)</f>
        <v>0</v>
      </c>
      <c r="E1103" s="12">
        <f>LOOKUP(425013000,[1]PlanCuentas!$A$2:$A$6092,[1]PlanCuentas!Z$2:Z$6092)</f>
        <v>0</v>
      </c>
      <c r="F1103" s="13">
        <f t="shared" si="56"/>
        <v>506960353</v>
      </c>
    </row>
    <row r="1104" spans="1:17" x14ac:dyDescent="0.2">
      <c r="A1104" s="10">
        <v>25</v>
      </c>
      <c r="B1104" s="11" t="str">
        <f>[1]Aseguradoras!B26</f>
        <v>La Meridional Paraguaya S.A de Seguros</v>
      </c>
      <c r="C1104" s="12">
        <f>LOOKUP(425010100,[1]PlanCuentas!$A$2:$A$6092,[1]PlanCuentas!AA$2:AA$6092)</f>
        <v>255174678</v>
      </c>
      <c r="D1104" s="12">
        <f>LOOKUP(425010200,[1]PlanCuentas!$A$2:$A$6092,[1]PlanCuentas!AA$2:AA$6092)</f>
        <v>0</v>
      </c>
      <c r="E1104" s="12">
        <f>LOOKUP(425013000,[1]PlanCuentas!$A$2:$A$6092,[1]PlanCuentas!AA$2:AA$6092)</f>
        <v>0</v>
      </c>
      <c r="F1104" s="23">
        <f t="shared" si="56"/>
        <v>255174678</v>
      </c>
    </row>
    <row r="1105" spans="1:30" x14ac:dyDescent="0.2">
      <c r="A1105" s="10">
        <v>26</v>
      </c>
      <c r="B1105" s="11" t="str">
        <f>[1]Aseguradoras!B27</f>
        <v>Aseguradora Del Este S.A de Seguros y Reaseguros</v>
      </c>
      <c r="C1105" s="12">
        <f>LOOKUP(425010100,[1]PlanCuentas!$A$2:$A$6092,[1]PlanCuentas!AB$2:AB$6092)</f>
        <v>974095299</v>
      </c>
      <c r="D1105" s="12">
        <f>LOOKUP(425010200,[1]PlanCuentas!$A$2:$A$6092,[1]PlanCuentas!AB$2:AB$6092)</f>
        <v>0</v>
      </c>
      <c r="E1105" s="12">
        <f>LOOKUP(425013000,[1]PlanCuentas!$A$2:$A$6092,[1]PlanCuentas!AB$2:AB$6092)</f>
        <v>0</v>
      </c>
      <c r="F1105" s="35">
        <f t="shared" si="56"/>
        <v>974095299</v>
      </c>
    </row>
    <row r="1106" spans="1:30" x14ac:dyDescent="0.2">
      <c r="A1106" s="10">
        <v>27</v>
      </c>
      <c r="B1106" s="11" t="str">
        <f>[1]Aseguradoras!B28</f>
        <v>Imperio S.A de Seguros y Reaseguros</v>
      </c>
      <c r="C1106" s="12">
        <f>LOOKUP(425010100,[1]PlanCuentas!$A$2:$A$6092,[1]PlanCuentas!AC$2:AC$6092)</f>
        <v>274147627</v>
      </c>
      <c r="D1106" s="12">
        <f>LOOKUP(425010200,[1]PlanCuentas!$A$2:$A$6092,[1]PlanCuentas!AC$2:AC$6092)</f>
        <v>0</v>
      </c>
      <c r="E1106" s="12">
        <f>LOOKUP(425013000,[1]PlanCuentas!$A$2:$A$6092,[1]PlanCuentas!AC$2:AC$6092)</f>
        <v>0</v>
      </c>
      <c r="F1106" s="35">
        <f t="shared" si="56"/>
        <v>274147627</v>
      </c>
    </row>
    <row r="1107" spans="1:30" x14ac:dyDescent="0.2">
      <c r="A1107" s="10">
        <v>28</v>
      </c>
      <c r="B1107" s="11" t="str">
        <f>[1]Aseguradoras!B29</f>
        <v>Regional S.A de Seguros y Reaseguros</v>
      </c>
      <c r="C1107" s="12">
        <f>LOOKUP(425010100,[1]PlanCuentas!$A$2:$A$6092,[1]PlanCuentas!AD$2:AD$6092)</f>
        <v>628943823</v>
      </c>
      <c r="D1107" s="12">
        <f>LOOKUP(425010200,[1]PlanCuentas!$A$2:$A$6092,[1]PlanCuentas!AD$2:AD$6092)</f>
        <v>0</v>
      </c>
      <c r="E1107" s="12">
        <f>LOOKUP(425013000,[1]PlanCuentas!$A$2:$A$6092,[1]PlanCuentas!AD$2:AD$6092)</f>
        <v>0</v>
      </c>
      <c r="F1107" s="35">
        <f t="shared" si="56"/>
        <v>628943823</v>
      </c>
    </row>
    <row r="1108" spans="1:30" s="37" customFormat="1" x14ac:dyDescent="0.2">
      <c r="A1108" s="10">
        <v>29</v>
      </c>
      <c r="B1108" s="11" t="str">
        <f>[1]Aseguradoras!B30</f>
        <v>Mapfre Paraguay Compañía de Seguros S.A.</v>
      </c>
      <c r="C1108" s="12">
        <f>LOOKUP(425010100,[1]PlanCuentas!$A$2:$A$6092,[1]PlanCuentas!AE$2:AE$6092)</f>
        <v>5512540107</v>
      </c>
      <c r="D1108" s="12">
        <f>LOOKUP(425010200,[1]PlanCuentas!$A$2:$A$6092,[1]PlanCuentas!AE$2:AE$6092)</f>
        <v>0</v>
      </c>
      <c r="E1108" s="12">
        <f>LOOKUP(425013000,[1]PlanCuentas!$A$2:$A$6092,[1]PlanCuentas!AE$2:AE$6092)</f>
        <v>0</v>
      </c>
      <c r="F1108" s="35">
        <f t="shared" si="56"/>
        <v>5512540107</v>
      </c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30" x14ac:dyDescent="0.2">
      <c r="A1109" s="10">
        <v>30</v>
      </c>
      <c r="B1109" s="11" t="str">
        <f>[1]Aseguradoras!B31</f>
        <v>Aseguradora Tajy Propiedad Cooperativa S.A. de Seguros</v>
      </c>
      <c r="C1109" s="12">
        <f>LOOKUP(425010100,[1]PlanCuentas!$A$2:$A$6092,[1]PlanCuentas!AF$2:AF$6092)</f>
        <v>652300330</v>
      </c>
      <c r="D1109" s="12">
        <f>LOOKUP(425010200,[1]PlanCuentas!$A$2:$A$6092,[1]PlanCuentas!AF$2:AF$6092)</f>
        <v>0</v>
      </c>
      <c r="E1109" s="12">
        <f>LOOKUP(425013000,[1]PlanCuentas!$A$2:$A$6092,[1]PlanCuentas!AF$2:AF$6092)</f>
        <v>0</v>
      </c>
      <c r="F1109" s="35">
        <f t="shared" si="56"/>
        <v>652300330</v>
      </c>
    </row>
    <row r="1110" spans="1:30" x14ac:dyDescent="0.2">
      <c r="A1110" s="10">
        <v>31</v>
      </c>
      <c r="B1110" s="11" t="str">
        <f>[1]Aseguradoras!B32</f>
        <v>Aseguradora del Sur S.A. Seguros Generales - ASUR</v>
      </c>
      <c r="C1110" s="12">
        <f>LOOKUP(425010100,[1]PlanCuentas!$A$2:$A$6092,[1]PlanCuentas!AG$2:AG$6092)</f>
        <v>516476886</v>
      </c>
      <c r="D1110" s="12">
        <f>LOOKUP(425010200,[1]PlanCuentas!$A$2:$A$6092,[1]PlanCuentas!AG$2:AG$6092)</f>
        <v>0</v>
      </c>
      <c r="E1110" s="12">
        <f>LOOKUP(425013000,[1]PlanCuentas!$A$2:$A$6092,[1]PlanCuentas!AG$2:AG$6092)</f>
        <v>0</v>
      </c>
      <c r="F1110" s="35">
        <f t="shared" si="56"/>
        <v>516476886</v>
      </c>
    </row>
    <row r="1111" spans="1:30" x14ac:dyDescent="0.2">
      <c r="A1111" s="10">
        <v>32</v>
      </c>
      <c r="B1111" s="11" t="str">
        <f>[1]Aseguradoras!B33</f>
        <v>Panal Compañía De Seguros Generales S.A.</v>
      </c>
      <c r="C1111" s="12">
        <f>LOOKUP(425010100,[1]PlanCuentas!$A$2:$A$6092,[1]PlanCuentas!AH$2:AH$6092)</f>
        <v>637655179</v>
      </c>
      <c r="D1111" s="12">
        <f>LOOKUP(425010200,[1]PlanCuentas!$A$2:$A$6092,[1]PlanCuentas!AH$2:AH$6092)</f>
        <v>0</v>
      </c>
      <c r="E1111" s="12">
        <f>LOOKUP(425013000,[1]PlanCuentas!$A$2:$A$6092,[1]PlanCuentas!AH$2:AH$6092)</f>
        <v>0</v>
      </c>
      <c r="F1111" s="35">
        <f t="shared" si="56"/>
        <v>637655179</v>
      </c>
    </row>
    <row r="1112" spans="1:30" x14ac:dyDescent="0.2">
      <c r="A1112" s="14">
        <v>33</v>
      </c>
      <c r="B1112" s="19" t="str">
        <f>[1]Aseguradoras!B34</f>
        <v>Sancor Seguros del Paraguay S.A.</v>
      </c>
      <c r="C1112" s="12">
        <f>LOOKUP(425010100,[1]PlanCuentas!$A$2:$A$6092,[1]PlanCuentas!AI$2:AI$6092)</f>
        <v>17570275</v>
      </c>
      <c r="D1112" s="12">
        <f>LOOKUP(425010200,[1]PlanCuentas!$A$2:$A$6092,[1]PlanCuentas!AI$2:AI$6092)</f>
        <v>0</v>
      </c>
      <c r="E1112" s="12">
        <f>LOOKUP(425013000,[1]PlanCuentas!$A$2:$A$6092,[1]PlanCuentas!AI$2:AI$6092)</f>
        <v>0</v>
      </c>
      <c r="F1112" s="35">
        <f>SUM(C1112:E1112)</f>
        <v>17570275</v>
      </c>
    </row>
    <row r="1113" spans="1:30" x14ac:dyDescent="0.2">
      <c r="A1113" s="14"/>
      <c r="B1113" s="15" t="s">
        <v>18</v>
      </c>
      <c r="C1113" s="17">
        <f>SUBTOTAL(109,C1080:C1112)</f>
        <v>23775906846</v>
      </c>
      <c r="D1113" s="17">
        <f>SUBTOTAL(109,D1080:D1112)</f>
        <v>35620033</v>
      </c>
      <c r="E1113" s="17">
        <f>SUBTOTAL(109,E1080:E1112)</f>
        <v>15003440</v>
      </c>
      <c r="F1113" s="43">
        <f>SUBTOTAL(109,F1080:F1112)</f>
        <v>23826530319</v>
      </c>
    </row>
    <row r="1114" spans="1:30" x14ac:dyDescent="0.2">
      <c r="D1114" s="5"/>
      <c r="E1114" s="5"/>
      <c r="F1114" s="5"/>
      <c r="H1114" s="39"/>
      <c r="I1114" s="39"/>
      <c r="J1114" s="39"/>
      <c r="K1114" s="39"/>
      <c r="L1114" s="39"/>
      <c r="M1114" s="39"/>
      <c r="N1114" s="39"/>
      <c r="O1114" s="39"/>
      <c r="P1114" s="39"/>
      <c r="Q1114" s="40"/>
    </row>
    <row r="1115" spans="1:30" ht="28.35" customHeight="1" x14ac:dyDescent="0.2">
      <c r="A1115" s="1" t="s">
        <v>62</v>
      </c>
      <c r="B1115" s="47" t="s">
        <v>67</v>
      </c>
      <c r="C1115" s="47"/>
      <c r="D1115" s="2"/>
      <c r="E1115" s="3"/>
      <c r="F1115" s="4"/>
      <c r="H1115" s="39"/>
      <c r="I1115" s="39"/>
      <c r="J1115" s="39"/>
      <c r="K1115" s="39"/>
      <c r="L1115" s="39"/>
      <c r="M1115" s="39"/>
      <c r="N1115" s="39"/>
      <c r="O1115" s="39"/>
      <c r="P1115" s="39"/>
      <c r="Q1115" s="40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</row>
    <row r="1116" spans="1:30" ht="24" x14ac:dyDescent="0.2">
      <c r="A1116" s="7" t="s">
        <v>2</v>
      </c>
      <c r="B1116" s="8" t="s">
        <v>3</v>
      </c>
      <c r="C1116" s="9" t="s">
        <v>68</v>
      </c>
      <c r="D1116" s="9" t="s">
        <v>65</v>
      </c>
      <c r="E1116" s="9" t="s">
        <v>66</v>
      </c>
      <c r="F1116" s="36" t="s">
        <v>18</v>
      </c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</row>
    <row r="1117" spans="1:30" x14ac:dyDescent="0.2">
      <c r="A1117" s="10">
        <v>1</v>
      </c>
      <c r="B1117" s="11" t="str">
        <f>[1]Aseguradoras!B2</f>
        <v>El Comercio Paraguayo S.A. de Seguros</v>
      </c>
      <c r="C1117" s="12">
        <f>LOOKUP(425020100,[1]PlanCuentas!$A$2:$A$6092,[1]PlanCuentas!C$2:C$6092)</f>
        <v>0</v>
      </c>
      <c r="D1117" s="12">
        <f>LOOKUP(425020200,[1]PlanCuentas!$A$2:$A$6092,[1]PlanCuentas!C$2:C$6092)</f>
        <v>0</v>
      </c>
      <c r="E1117" s="12">
        <f>LOOKUP(425023000,[1]PlanCuentas!$A$2:$A$6092,[1]PlanCuentas!C$2:C$6092)</f>
        <v>0</v>
      </c>
      <c r="F1117" s="13">
        <f t="shared" ref="F1117:F1148" si="57">SUM(C1117:E1117)</f>
        <v>0</v>
      </c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</row>
    <row r="1118" spans="1:30" x14ac:dyDescent="0.2">
      <c r="A1118" s="10">
        <v>2</v>
      </c>
      <c r="B1118" s="11" t="str">
        <f>[1]Aseguradoras!B3</f>
        <v>La Rural S.A de Seguros</v>
      </c>
      <c r="C1118" s="12">
        <f>LOOKUP(425020100,[1]PlanCuentas!$A$2:$A$6092,[1]PlanCuentas!D$2:D$6092)</f>
        <v>0</v>
      </c>
      <c r="D1118" s="12">
        <f>LOOKUP(425020200,[1]PlanCuentas!$A$2:$A$6092,[1]PlanCuentas!D$2:D$6092)</f>
        <v>0</v>
      </c>
      <c r="E1118" s="12">
        <f>LOOKUP(425023000,[1]PlanCuentas!$A$2:$A$6092,[1]PlanCuentas!D$2:D$6092)</f>
        <v>0</v>
      </c>
      <c r="F1118" s="13">
        <f t="shared" si="57"/>
        <v>0</v>
      </c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</row>
    <row r="1119" spans="1:30" x14ac:dyDescent="0.2">
      <c r="A1119" s="10">
        <v>3</v>
      </c>
      <c r="B1119" s="11" t="str">
        <f>[1]Aseguradoras!B4</f>
        <v>La Paraguaya S.A de Seguros</v>
      </c>
      <c r="C1119" s="12">
        <f>LOOKUP(425020100,[1]PlanCuentas!$A$2:$A$6092,[1]PlanCuentas!E$2:E$6092)</f>
        <v>0</v>
      </c>
      <c r="D1119" s="12">
        <f>LOOKUP(425020200,[1]PlanCuentas!$A$2:$A$6092,[1]PlanCuentas!E$2:E$6092)</f>
        <v>0</v>
      </c>
      <c r="E1119" s="12">
        <f>LOOKUP(425023000,[1]PlanCuentas!$A$2:$A$6092,[1]PlanCuentas!E$2:E$6092)</f>
        <v>0</v>
      </c>
      <c r="F1119" s="13">
        <f t="shared" si="57"/>
        <v>0</v>
      </c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</row>
    <row r="1120" spans="1:30" x14ac:dyDescent="0.2">
      <c r="A1120" s="10">
        <v>4</v>
      </c>
      <c r="B1120" s="11" t="str">
        <f>[1]Aseguradoras!B5</f>
        <v>Seguros Generales S. A (SEGESA)</v>
      </c>
      <c r="C1120" s="12">
        <f>LOOKUP(425020100,[1]PlanCuentas!$A$2:$A$6092,[1]PlanCuentas!F$2:F$6092)</f>
        <v>63430183</v>
      </c>
      <c r="D1120" s="12">
        <f>LOOKUP(425020200,[1]PlanCuentas!$A$2:$A$6092,[1]PlanCuentas!F$2:F$6092)</f>
        <v>0</v>
      </c>
      <c r="E1120" s="12">
        <f>LOOKUP(425023000,[1]PlanCuentas!$A$2:$A$6092,[1]PlanCuentas!F$2:F$6092)</f>
        <v>0</v>
      </c>
      <c r="F1120" s="13">
        <f t="shared" si="57"/>
        <v>63430183</v>
      </c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</row>
    <row r="1121" spans="1:30" x14ac:dyDescent="0.2">
      <c r="A1121" s="10">
        <v>5</v>
      </c>
      <c r="B1121" s="11" t="str">
        <f>[1]Aseguradoras!B6</f>
        <v>Rumbos S.A de Seguros</v>
      </c>
      <c r="C1121" s="12">
        <f>LOOKUP(425020100,[1]PlanCuentas!$A$2:$A$6092,[1]PlanCuentas!G$2:G$6092)</f>
        <v>63616439</v>
      </c>
      <c r="D1121" s="12">
        <f>LOOKUP(425020200,[1]PlanCuentas!$A$2:$A$6092,[1]PlanCuentas!G$2:G$6092)</f>
        <v>0</v>
      </c>
      <c r="E1121" s="12">
        <f>LOOKUP(425023000,[1]PlanCuentas!$A$2:$A$6092,[1]PlanCuentas!G$2:G$6092)</f>
        <v>0</v>
      </c>
      <c r="F1121" s="13">
        <f t="shared" si="57"/>
        <v>63616439</v>
      </c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</row>
    <row r="1122" spans="1:30" x14ac:dyDescent="0.2">
      <c r="A1122" s="10">
        <v>6</v>
      </c>
      <c r="B1122" s="11" t="str">
        <f>[1]Aseguradoras!B7</f>
        <v>La Consolidada S.A de Seguros</v>
      </c>
      <c r="C1122" s="12">
        <f>LOOKUP(425020100,[1]PlanCuentas!$A$2:$A$6092,[1]PlanCuentas!H$2:H$6092)</f>
        <v>90000000</v>
      </c>
      <c r="D1122" s="12">
        <f>LOOKUP(425020200,[1]PlanCuentas!$A$2:$A$6092,[1]PlanCuentas!H$2:H$6092)</f>
        <v>0</v>
      </c>
      <c r="E1122" s="12">
        <f>LOOKUP(425023000,[1]PlanCuentas!$A$2:$A$6092,[1]PlanCuentas!H$2:H$6092)</f>
        <v>0</v>
      </c>
      <c r="F1122" s="13">
        <f t="shared" si="57"/>
        <v>90000000</v>
      </c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</row>
    <row r="1123" spans="1:30" x14ac:dyDescent="0.2">
      <c r="A1123" s="10">
        <v>7</v>
      </c>
      <c r="B1123" s="11" t="str">
        <f>[1]Aseguradoras!B8</f>
        <v>El Productor S.A de Seguros y Reaseguros</v>
      </c>
      <c r="C1123" s="12">
        <f>LOOKUP(425020100,[1]PlanCuentas!$A$2:$A$6092,[1]PlanCuentas!I$2:I$6092)</f>
        <v>0</v>
      </c>
      <c r="D1123" s="12">
        <f>LOOKUP(425020200,[1]PlanCuentas!$A$2:$A$6092,[1]PlanCuentas!I$2:I$6092)</f>
        <v>0</v>
      </c>
      <c r="E1123" s="12">
        <f>LOOKUP(425023000,[1]PlanCuentas!$A$2:$A$6092,[1]PlanCuentas!I$2:I$6092)</f>
        <v>0</v>
      </c>
      <c r="F1123" s="13">
        <f t="shared" si="57"/>
        <v>0</v>
      </c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</row>
    <row r="1124" spans="1:30" x14ac:dyDescent="0.2">
      <c r="A1124" s="10">
        <v>8</v>
      </c>
      <c r="B1124" s="11" t="str">
        <f>[1]Aseguradoras!B9</f>
        <v>Atalaya S.A de Seguros Generales</v>
      </c>
      <c r="C1124" s="12">
        <f>LOOKUP(425020100,[1]PlanCuentas!$A$2:$A$6092,[1]PlanCuentas!J$2:J$6092)</f>
        <v>0</v>
      </c>
      <c r="D1124" s="12">
        <f>LOOKUP(425020200,[1]PlanCuentas!$A$2:$A$6092,[1]PlanCuentas!J$2:J$6092)</f>
        <v>0</v>
      </c>
      <c r="E1124" s="12">
        <f>LOOKUP(425023000,[1]PlanCuentas!$A$2:$A$6092,[1]PlanCuentas!J$2:J$6092)</f>
        <v>0</v>
      </c>
      <c r="F1124" s="13">
        <f t="shared" si="57"/>
        <v>0</v>
      </c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</row>
    <row r="1125" spans="1:30" x14ac:dyDescent="0.2">
      <c r="A1125" s="10">
        <v>9</v>
      </c>
      <c r="B1125" s="11" t="str">
        <f>[1]Aseguradoras!B10</f>
        <v>La Independencia de Seguros S.A.</v>
      </c>
      <c r="C1125" s="12">
        <f>LOOKUP(425020100,[1]PlanCuentas!$A$2:$A$6092,[1]PlanCuentas!K$2:K$6092)</f>
        <v>0</v>
      </c>
      <c r="D1125" s="12">
        <f>LOOKUP(425020200,[1]PlanCuentas!$A$2:$A$6092,[1]PlanCuentas!K$2:K$6092)</f>
        <v>0</v>
      </c>
      <c r="E1125" s="12">
        <f>LOOKUP(425023000,[1]PlanCuentas!$A$2:$A$6092,[1]PlanCuentas!K$2:K$6092)</f>
        <v>0</v>
      </c>
      <c r="F1125" s="13">
        <f t="shared" si="57"/>
        <v>0</v>
      </c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</row>
    <row r="1126" spans="1:30" x14ac:dyDescent="0.2">
      <c r="A1126" s="10">
        <v>10</v>
      </c>
      <c r="B1126" s="11" t="str">
        <f>[1]Aseguradoras!B11</f>
        <v>Patria S.A de Seguros y Reaseguros</v>
      </c>
      <c r="C1126" s="12">
        <f>LOOKUP(425020100,[1]PlanCuentas!$A$2:$A$6092,[1]PlanCuentas!L$2:L$6092)</f>
        <v>0</v>
      </c>
      <c r="D1126" s="12">
        <f>LOOKUP(425020200,[1]PlanCuentas!$A$2:$A$6092,[1]PlanCuentas!L$2:L$6092)</f>
        <v>0</v>
      </c>
      <c r="E1126" s="12">
        <f>LOOKUP(425023000,[1]PlanCuentas!$A$2:$A$6092,[1]PlanCuentas!L$2:L$6092)</f>
        <v>0</v>
      </c>
      <c r="F1126" s="13">
        <f t="shared" si="57"/>
        <v>0</v>
      </c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</row>
    <row r="1127" spans="1:30" x14ac:dyDescent="0.2">
      <c r="A1127" s="10">
        <v>11</v>
      </c>
      <c r="B1127" s="11" t="str">
        <f>[1]Aseguradoras!B12</f>
        <v>Garantía S.A de Seguros y Reaseguros</v>
      </c>
      <c r="C1127" s="12">
        <f>LOOKUP(425020100,[1]PlanCuentas!$A$2:$A$6092,[1]PlanCuentas!M$2:M$6092)</f>
        <v>0</v>
      </c>
      <c r="D1127" s="12">
        <f>LOOKUP(425020200,[1]PlanCuentas!$A$2:$A$6092,[1]PlanCuentas!M$2:M$6092)</f>
        <v>0</v>
      </c>
      <c r="E1127" s="12">
        <f>LOOKUP(425023000,[1]PlanCuentas!$A$2:$A$6092,[1]PlanCuentas!M$2:M$6092)</f>
        <v>0</v>
      </c>
      <c r="F1127" s="13">
        <f t="shared" si="57"/>
        <v>0</v>
      </c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</row>
    <row r="1128" spans="1:30" x14ac:dyDescent="0.2">
      <c r="A1128" s="10">
        <v>12</v>
      </c>
      <c r="B1128" s="11" t="str">
        <f>[1]Aseguradoras!B13</f>
        <v>Aseguradora Paraguaya S.A.</v>
      </c>
      <c r="C1128" s="12">
        <f>LOOKUP(425020100,[1]PlanCuentas!$A$2:$A$6092,[1]PlanCuentas!N$2:N$6092)</f>
        <v>0</v>
      </c>
      <c r="D1128" s="12">
        <f>LOOKUP(425020200,[1]PlanCuentas!$A$2:$A$6092,[1]PlanCuentas!N$2:N$6092)</f>
        <v>0</v>
      </c>
      <c r="E1128" s="12">
        <f>LOOKUP(425023000,[1]PlanCuentas!$A$2:$A$6092,[1]PlanCuentas!N$2:N$6092)</f>
        <v>0</v>
      </c>
      <c r="F1128" s="13">
        <f t="shared" si="57"/>
        <v>0</v>
      </c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</row>
    <row r="1129" spans="1:30" x14ac:dyDescent="0.2">
      <c r="A1129" s="10">
        <v>13</v>
      </c>
      <c r="B1129" s="11" t="str">
        <f>[1]Aseguradoras!B14</f>
        <v>Fénix S.A de Seguros y Reaseguros</v>
      </c>
      <c r="C1129" s="12">
        <f>LOOKUP(425020100,[1]PlanCuentas!$A$2:$A$6092,[1]PlanCuentas!O$2:O$6092)</f>
        <v>0</v>
      </c>
      <c r="D1129" s="12">
        <f>LOOKUP(425020200,[1]PlanCuentas!$A$2:$A$6092,[1]PlanCuentas!O$2:O$6092)</f>
        <v>0</v>
      </c>
      <c r="E1129" s="12">
        <f>LOOKUP(425023000,[1]PlanCuentas!$A$2:$A$6092,[1]PlanCuentas!O$2:O$6092)</f>
        <v>0</v>
      </c>
      <c r="F1129" s="13">
        <f t="shared" si="57"/>
        <v>0</v>
      </c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</row>
    <row r="1130" spans="1:30" x14ac:dyDescent="0.2">
      <c r="A1130" s="10">
        <v>14</v>
      </c>
      <c r="B1130" s="11" t="str">
        <f>[1]Aseguradoras!B15</f>
        <v>Central S.A de Seguros</v>
      </c>
      <c r="C1130" s="12">
        <f>LOOKUP(425020100,[1]PlanCuentas!$A$2:$A$6092,[1]PlanCuentas!P$2:P$6092)</f>
        <v>0</v>
      </c>
      <c r="D1130" s="12">
        <f>LOOKUP(425020200,[1]PlanCuentas!$A$2:$A$6092,[1]PlanCuentas!P$2:P$6092)</f>
        <v>0</v>
      </c>
      <c r="E1130" s="12">
        <f>LOOKUP(425023000,[1]PlanCuentas!$A$2:$A$6092,[1]PlanCuentas!P$2:P$6092)</f>
        <v>0</v>
      </c>
      <c r="F1130" s="13">
        <f t="shared" si="57"/>
        <v>0</v>
      </c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</row>
    <row r="1131" spans="1:30" x14ac:dyDescent="0.2">
      <c r="A1131" s="10">
        <v>15</v>
      </c>
      <c r="B1131" s="11" t="str">
        <f>[1]Aseguradoras!B16</f>
        <v>Seguros Chaco S.A de Seguros y Reaseguros</v>
      </c>
      <c r="C1131" s="12">
        <f>LOOKUP(425020100,[1]PlanCuentas!$A$2:$A$6092,[1]PlanCuentas!Q$2:Q$6092)</f>
        <v>0</v>
      </c>
      <c r="D1131" s="12">
        <f>LOOKUP(425020200,[1]PlanCuentas!$A$2:$A$6092,[1]PlanCuentas!Q$2:Q$6092)</f>
        <v>0</v>
      </c>
      <c r="E1131" s="12">
        <f>LOOKUP(425023000,[1]PlanCuentas!$A$2:$A$6092,[1]PlanCuentas!Q$2:Q$6092)</f>
        <v>0</v>
      </c>
      <c r="F1131" s="13">
        <f t="shared" si="57"/>
        <v>0</v>
      </c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</row>
    <row r="1132" spans="1:30" x14ac:dyDescent="0.2">
      <c r="A1132" s="10">
        <v>16</v>
      </c>
      <c r="B1132" s="11" t="str">
        <f>[1]Aseguradoras!B17</f>
        <v>El Sol Del Paraguay Compañía de Seguros y Reaseguros S.A.</v>
      </c>
      <c r="C1132" s="12">
        <f>LOOKUP(425020100,[1]PlanCuentas!$A$2:$A$6092,[1]PlanCuentas!R$2:R$6092)</f>
        <v>17950685</v>
      </c>
      <c r="D1132" s="12">
        <f>LOOKUP(425020200,[1]PlanCuentas!$A$2:$A$6092,[1]PlanCuentas!R$2:R$6092)</f>
        <v>0</v>
      </c>
      <c r="E1132" s="12">
        <f>LOOKUP(425023000,[1]PlanCuentas!$A$2:$A$6092,[1]PlanCuentas!R$2:R$6092)</f>
        <v>0</v>
      </c>
      <c r="F1132" s="13">
        <f t="shared" si="57"/>
        <v>17950685</v>
      </c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</row>
    <row r="1133" spans="1:30" x14ac:dyDescent="0.2">
      <c r="A1133" s="10">
        <v>17</v>
      </c>
      <c r="B1133" s="11" t="str">
        <f>[1]Aseguradoras!B18</f>
        <v>Intercontinental de Seguros y Reaseguros S.A.</v>
      </c>
      <c r="C1133" s="12">
        <f>LOOKUP(425020100,[1]PlanCuentas!$A$2:$A$6092,[1]PlanCuentas!S$2:S$6092)</f>
        <v>0</v>
      </c>
      <c r="D1133" s="12">
        <f>LOOKUP(425020200,[1]PlanCuentas!$A$2:$A$6092,[1]PlanCuentas!S$2:S$6092)</f>
        <v>0</v>
      </c>
      <c r="E1133" s="12">
        <f>LOOKUP(425023000,[1]PlanCuentas!$A$2:$A$6092,[1]PlanCuentas!S$2:S$6092)</f>
        <v>0</v>
      </c>
      <c r="F1133" s="13">
        <f t="shared" si="57"/>
        <v>0</v>
      </c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</row>
    <row r="1134" spans="1:30" x14ac:dyDescent="0.2">
      <c r="A1134" s="10">
        <v>18</v>
      </c>
      <c r="B1134" s="11" t="str">
        <f>[1]Aseguradoras!B19</f>
        <v>Seguridad S.A Compañía de Seguros</v>
      </c>
      <c r="C1134" s="12">
        <f>LOOKUP(425020100,[1]PlanCuentas!$A$2:$A$6092,[1]PlanCuentas!T$2:T$6092)</f>
        <v>0</v>
      </c>
      <c r="D1134" s="12">
        <f>LOOKUP(425020200,[1]PlanCuentas!$A$2:$A$6092,[1]PlanCuentas!T$2:T$6092)</f>
        <v>0</v>
      </c>
      <c r="E1134" s="12">
        <f>LOOKUP(425023000,[1]PlanCuentas!$A$2:$A$6092,[1]PlanCuentas!T$2:T$6092)</f>
        <v>0</v>
      </c>
      <c r="F1134" s="13">
        <f t="shared" si="57"/>
        <v>0</v>
      </c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</row>
    <row r="1135" spans="1:30" x14ac:dyDescent="0.2">
      <c r="A1135" s="10">
        <v>19</v>
      </c>
      <c r="B1135" s="11" t="str">
        <f>[1]Aseguradoras!B20</f>
        <v>Universo de Seguros y Reaseguros S.A.</v>
      </c>
      <c r="C1135" s="12">
        <f>LOOKUP(425020100,[1]PlanCuentas!$A$2:$A$6092,[1]PlanCuentas!U$2:U$6092)</f>
        <v>29883598</v>
      </c>
      <c r="D1135" s="12">
        <f>LOOKUP(425020200,[1]PlanCuentas!$A$2:$A$6092,[1]PlanCuentas!U$2:U$6092)</f>
        <v>0</v>
      </c>
      <c r="E1135" s="12">
        <f>LOOKUP(425023000,[1]PlanCuentas!$A$2:$A$6092,[1]PlanCuentas!U$2:U$6092)</f>
        <v>0</v>
      </c>
      <c r="F1135" s="13">
        <f t="shared" si="57"/>
        <v>29883598</v>
      </c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</row>
    <row r="1136" spans="1:30" x14ac:dyDescent="0.2">
      <c r="A1136" s="10">
        <v>20</v>
      </c>
      <c r="B1136" s="11" t="str">
        <f>[1]Aseguradoras!B21</f>
        <v>Aseguradora Yacyreta S.A de Seguros y Reaseguros</v>
      </c>
      <c r="C1136" s="12">
        <f>LOOKUP(425020100,[1]PlanCuentas!$A$2:$A$6092,[1]PlanCuentas!V$2:V$6092)</f>
        <v>180000000</v>
      </c>
      <c r="D1136" s="12">
        <f>LOOKUP(425020200,[1]PlanCuentas!$A$2:$A$6092,[1]PlanCuentas!V$2:V$6092)</f>
        <v>0</v>
      </c>
      <c r="E1136" s="12">
        <f>LOOKUP(425023000,[1]PlanCuentas!$A$2:$A$6092,[1]PlanCuentas!V$2:V$6092)</f>
        <v>0</v>
      </c>
      <c r="F1136" s="13">
        <f t="shared" si="57"/>
        <v>180000000</v>
      </c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</row>
    <row r="1137" spans="1:30" x14ac:dyDescent="0.2">
      <c r="A1137" s="10">
        <v>21</v>
      </c>
      <c r="B1137" s="11" t="str">
        <f>[1]Aseguradoras!B22</f>
        <v>La Agricola S.A de Seguros y Reaseguros</v>
      </c>
      <c r="C1137" s="12">
        <f>LOOKUP(425020100,[1]PlanCuentas!$A$2:$A$6092,[1]PlanCuentas!W$2:W$6092)</f>
        <v>420365774</v>
      </c>
      <c r="D1137" s="12">
        <f>LOOKUP(425020200,[1]PlanCuentas!$A$2:$A$6092,[1]PlanCuentas!W$2:W$6092)</f>
        <v>0</v>
      </c>
      <c r="E1137" s="12">
        <f>LOOKUP(425023000,[1]PlanCuentas!$A$2:$A$6092,[1]PlanCuentas!W$2:W$6092)</f>
        <v>0</v>
      </c>
      <c r="F1137" s="13">
        <f t="shared" si="57"/>
        <v>420365774</v>
      </c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</row>
    <row r="1138" spans="1:30" x14ac:dyDescent="0.2">
      <c r="A1138" s="10">
        <v>22</v>
      </c>
      <c r="B1138" s="11" t="str">
        <f>[1]Aseguradoras!B23</f>
        <v>Grupo General de Seguros y Reaseguros S.A.</v>
      </c>
      <c r="C1138" s="12">
        <f>LOOKUP(425020100,[1]PlanCuentas!$A$2:$A$6092,[1]PlanCuentas!X$2:X$6092)</f>
        <v>0</v>
      </c>
      <c r="D1138" s="12">
        <f>LOOKUP(425020200,[1]PlanCuentas!$A$2:$A$6092,[1]PlanCuentas!X$2:X$6092)</f>
        <v>0</v>
      </c>
      <c r="E1138" s="12">
        <f>LOOKUP(425023000,[1]PlanCuentas!$A$2:$A$6092,[1]PlanCuentas!X$2:X$6092)</f>
        <v>0</v>
      </c>
      <c r="F1138" s="13">
        <f t="shared" si="57"/>
        <v>0</v>
      </c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</row>
    <row r="1139" spans="1:30" x14ac:dyDescent="0.2">
      <c r="A1139" s="10">
        <v>23</v>
      </c>
      <c r="B1139" s="11" t="str">
        <f>[1]Aseguradoras!B24</f>
        <v>Alfa S.A de Seguros y Reaseguros</v>
      </c>
      <c r="C1139" s="12">
        <f>LOOKUP(425020100,[1]PlanCuentas!$A$2:$A$6092,[1]PlanCuentas!Y$2:Y$6092)</f>
        <v>0</v>
      </c>
      <c r="D1139" s="12">
        <f>LOOKUP(425020200,[1]PlanCuentas!$A$2:$A$6092,[1]PlanCuentas!Y$2:Y$6092)</f>
        <v>0</v>
      </c>
      <c r="E1139" s="12">
        <f>LOOKUP(425023000,[1]PlanCuentas!$A$2:$A$6092,[1]PlanCuentas!Y$2:Y$6092)</f>
        <v>0</v>
      </c>
      <c r="F1139" s="13">
        <f t="shared" si="57"/>
        <v>0</v>
      </c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</row>
    <row r="1140" spans="1:30" x14ac:dyDescent="0.2">
      <c r="A1140" s="10">
        <v>24</v>
      </c>
      <c r="B1140" s="11" t="str">
        <f>[1]Aseguradoras!B25</f>
        <v>Cenit de Seguros S.A.</v>
      </c>
      <c r="C1140" s="12">
        <f>LOOKUP(425020100,[1]PlanCuentas!$A$2:$A$6092,[1]PlanCuentas!Z$2:Z$6092)</f>
        <v>0</v>
      </c>
      <c r="D1140" s="12">
        <f>LOOKUP(425020200,[1]PlanCuentas!$A$2:$A$6092,[1]PlanCuentas!Z$2:Z$6092)</f>
        <v>0</v>
      </c>
      <c r="E1140" s="12">
        <f>LOOKUP(425023000,[1]PlanCuentas!$A$2:$A$6092,[1]PlanCuentas!Z$2:Z$6092)</f>
        <v>0</v>
      </c>
      <c r="F1140" s="13">
        <f t="shared" si="57"/>
        <v>0</v>
      </c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</row>
    <row r="1141" spans="1:30" x14ac:dyDescent="0.2">
      <c r="A1141" s="10">
        <v>25</v>
      </c>
      <c r="B1141" s="11" t="str">
        <f>[1]Aseguradoras!B26</f>
        <v>La Meridional Paraguaya S.A de Seguros</v>
      </c>
      <c r="C1141" s="12">
        <f>LOOKUP(425020100,[1]PlanCuentas!$A$2:$A$6092,[1]PlanCuentas!AA$2:AA$6092)</f>
        <v>0</v>
      </c>
      <c r="D1141" s="12">
        <f>LOOKUP(425020200,[1]PlanCuentas!$A$2:$A$6092,[1]PlanCuentas!AA$2:AA$6092)</f>
        <v>0</v>
      </c>
      <c r="E1141" s="12">
        <f>LOOKUP(425023000,[1]PlanCuentas!$A$2:$A$6092,[1]PlanCuentas!AA$2:AA$6092)</f>
        <v>0</v>
      </c>
      <c r="F1141" s="23">
        <f t="shared" si="57"/>
        <v>0</v>
      </c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</row>
    <row r="1142" spans="1:30" x14ac:dyDescent="0.2">
      <c r="A1142" s="10">
        <v>26</v>
      </c>
      <c r="B1142" s="11" t="str">
        <f>[1]Aseguradoras!B27</f>
        <v>Aseguradora Del Este S.A de Seguros y Reaseguros</v>
      </c>
      <c r="C1142" s="12">
        <f>LOOKUP(425020100,[1]PlanCuentas!$A$2:$A$6092,[1]PlanCuentas!AB$2:AB$6092)</f>
        <v>0</v>
      </c>
      <c r="D1142" s="12">
        <f>LOOKUP(425020200,[1]PlanCuentas!$A$2:$A$6092,[1]PlanCuentas!AB$2:AB$6092)</f>
        <v>0</v>
      </c>
      <c r="E1142" s="12">
        <f>LOOKUP(425023000,[1]PlanCuentas!$A$2:$A$6092,[1]PlanCuentas!AB$2:AB$6092)</f>
        <v>0</v>
      </c>
      <c r="F1142" s="35">
        <f t="shared" si="57"/>
        <v>0</v>
      </c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</row>
    <row r="1143" spans="1:30" x14ac:dyDescent="0.2">
      <c r="A1143" s="10">
        <v>27</v>
      </c>
      <c r="B1143" s="11" t="str">
        <f>[1]Aseguradoras!B28</f>
        <v>Imperio S.A de Seguros y Reaseguros</v>
      </c>
      <c r="C1143" s="12">
        <f>LOOKUP(425020100,[1]PlanCuentas!$A$2:$A$6092,[1]PlanCuentas!AC$2:AC$6092)</f>
        <v>0</v>
      </c>
      <c r="D1143" s="12">
        <f>LOOKUP(425020200,[1]PlanCuentas!$A$2:$A$6092,[1]PlanCuentas!AC$2:AC$6092)</f>
        <v>0</v>
      </c>
      <c r="E1143" s="12">
        <f>LOOKUP(425023000,[1]PlanCuentas!$A$2:$A$6092,[1]PlanCuentas!AC$2:AC$6092)</f>
        <v>0</v>
      </c>
      <c r="F1143" s="35">
        <f t="shared" si="57"/>
        <v>0</v>
      </c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</row>
    <row r="1144" spans="1:30" x14ac:dyDescent="0.2">
      <c r="A1144" s="10">
        <v>28</v>
      </c>
      <c r="B1144" s="11" t="str">
        <f>[1]Aseguradoras!B29</f>
        <v>Regional S.A de Seguros y Reaseguros</v>
      </c>
      <c r="C1144" s="12">
        <f>LOOKUP(425020100,[1]PlanCuentas!$A$2:$A$6092,[1]PlanCuentas!AD$2:AD$6092)</f>
        <v>0</v>
      </c>
      <c r="D1144" s="12">
        <f>LOOKUP(425020200,[1]PlanCuentas!$A$2:$A$6092,[1]PlanCuentas!AD$2:AD$6092)</f>
        <v>0</v>
      </c>
      <c r="E1144" s="12">
        <f>LOOKUP(425023000,[1]PlanCuentas!$A$2:$A$6092,[1]PlanCuentas!AD$2:AD$6092)</f>
        <v>0</v>
      </c>
      <c r="F1144" s="35">
        <f t="shared" si="57"/>
        <v>0</v>
      </c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</row>
    <row r="1145" spans="1:30" s="37" customFormat="1" x14ac:dyDescent="0.2">
      <c r="A1145" s="10">
        <v>29</v>
      </c>
      <c r="B1145" s="11" t="str">
        <f>[1]Aseguradoras!B30</f>
        <v>Mapfre Paraguay Compañía de Seguros S.A.</v>
      </c>
      <c r="C1145" s="12">
        <f>LOOKUP(425020100,[1]PlanCuentas!$A$2:$A$6092,[1]PlanCuentas!AE$2:AE$6092)</f>
        <v>0</v>
      </c>
      <c r="D1145" s="12">
        <f>LOOKUP(425020200,[1]PlanCuentas!$A$2:$A$6092,[1]PlanCuentas!AE$2:AE$6092)</f>
        <v>0</v>
      </c>
      <c r="E1145" s="12">
        <f>LOOKUP(425023000,[1]PlanCuentas!$A$2:$A$6092,[1]PlanCuentas!AE$2:AE$6092)</f>
        <v>0</v>
      </c>
      <c r="F1145" s="35">
        <f t="shared" si="57"/>
        <v>0</v>
      </c>
      <c r="G1145" s="6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44"/>
      <c r="S1145" s="44"/>
      <c r="T1145" s="44"/>
      <c r="U1145" s="44"/>
      <c r="V1145" s="44"/>
      <c r="W1145" s="44"/>
      <c r="X1145" s="44"/>
      <c r="Y1145" s="44"/>
      <c r="Z1145" s="44"/>
      <c r="AA1145" s="44"/>
      <c r="AB1145" s="44"/>
      <c r="AC1145" s="44"/>
      <c r="AD1145" s="44"/>
    </row>
    <row r="1146" spans="1:30" x14ac:dyDescent="0.2">
      <c r="A1146" s="10">
        <v>30</v>
      </c>
      <c r="B1146" s="11" t="str">
        <f>[1]Aseguradoras!B31</f>
        <v>Aseguradora Tajy Propiedad Cooperativa S.A. de Seguros</v>
      </c>
      <c r="C1146" s="12">
        <f>LOOKUP(425020100,[1]PlanCuentas!$A$2:$A$6092,[1]PlanCuentas!AF$2:AF$6092)</f>
        <v>0</v>
      </c>
      <c r="D1146" s="12">
        <f>LOOKUP(425020200,[1]PlanCuentas!$A$2:$A$6092,[1]PlanCuentas!AF$2:AF$6092)</f>
        <v>0</v>
      </c>
      <c r="E1146" s="12">
        <f>LOOKUP(425023000,[1]PlanCuentas!$A$2:$A$6092,[1]PlanCuentas!AF$2:AF$6092)</f>
        <v>0</v>
      </c>
      <c r="F1146" s="35">
        <f t="shared" si="57"/>
        <v>0</v>
      </c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</row>
    <row r="1147" spans="1:30" x14ac:dyDescent="0.2">
      <c r="A1147" s="10">
        <v>31</v>
      </c>
      <c r="B1147" s="11" t="str">
        <f>[1]Aseguradoras!B32</f>
        <v>Aseguradora del Sur S.A. Seguros Generales - ASUR</v>
      </c>
      <c r="C1147" s="12">
        <f>LOOKUP(425020100,[1]PlanCuentas!$A$2:$A$6092,[1]PlanCuentas!AG$2:AG$6092)</f>
        <v>0</v>
      </c>
      <c r="D1147" s="12">
        <f>LOOKUP(425020200,[1]PlanCuentas!$A$2:$A$6092,[1]PlanCuentas!AG$2:AG$6092)</f>
        <v>0</v>
      </c>
      <c r="E1147" s="12">
        <f>LOOKUP(425023000,[1]PlanCuentas!$A$2:$A$6092,[1]PlanCuentas!AG$2:AG$6092)</f>
        <v>0</v>
      </c>
      <c r="F1147" s="35">
        <f t="shared" si="57"/>
        <v>0</v>
      </c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</row>
    <row r="1148" spans="1:30" x14ac:dyDescent="0.2">
      <c r="A1148" s="10">
        <v>32</v>
      </c>
      <c r="B1148" s="11" t="str">
        <f>[1]Aseguradoras!B33</f>
        <v>Panal Compañía De Seguros Generales S.A.</v>
      </c>
      <c r="C1148" s="12">
        <f>LOOKUP(425020100,[1]PlanCuentas!$A$2:$A$6092,[1]PlanCuentas!AH$2:AH$6092)</f>
        <v>0</v>
      </c>
      <c r="D1148" s="12">
        <f>LOOKUP(425020200,[1]PlanCuentas!$A$2:$A$6092,[1]PlanCuentas!AH$2:AH$6092)</f>
        <v>0</v>
      </c>
      <c r="E1148" s="12">
        <f>LOOKUP(425023000,[1]PlanCuentas!$A$2:$A$6092,[1]PlanCuentas!AH$2:AH$6092)</f>
        <v>0</v>
      </c>
      <c r="F1148" s="35">
        <f t="shared" si="57"/>
        <v>0</v>
      </c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</row>
    <row r="1149" spans="1:30" x14ac:dyDescent="0.2">
      <c r="A1149" s="14">
        <v>33</v>
      </c>
      <c r="B1149" s="19" t="str">
        <f>[1]Aseguradoras!B34</f>
        <v>Sancor Seguros del Paraguay S.A.</v>
      </c>
      <c r="C1149" s="12">
        <f>LOOKUP(425020100,[1]PlanCuentas!$A$2:$A$6092,[1]PlanCuentas!AI$2:AI$6092)</f>
        <v>0</v>
      </c>
      <c r="D1149" s="12">
        <f>LOOKUP(425020200,[1]PlanCuentas!$A$2:$A$6092,[1]PlanCuentas!AI$2:AI$6092)</f>
        <v>0</v>
      </c>
      <c r="E1149" s="12">
        <f>LOOKUP(425023000,[1]PlanCuentas!$A$2:$A$6092,[1]PlanCuentas!AI$2:AI$6092)</f>
        <v>0</v>
      </c>
      <c r="F1149" s="35">
        <f>SUM(C1149:E1149)</f>
        <v>0</v>
      </c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</row>
    <row r="1150" spans="1:30" x14ac:dyDescent="0.2">
      <c r="A1150" s="14"/>
      <c r="B1150" s="15" t="s">
        <v>18</v>
      </c>
      <c r="C1150" s="17">
        <f>SUBTOTAL(109,C1117:C1149)</f>
        <v>865246679</v>
      </c>
      <c r="D1150" s="17">
        <f>SUBTOTAL(109,D1117:D1149)</f>
        <v>0</v>
      </c>
      <c r="E1150" s="17">
        <f>SUBTOTAL(109,E1117:E1149)</f>
        <v>0</v>
      </c>
      <c r="F1150" s="43">
        <f>SUBTOTAL(109,F1117:F1149)</f>
        <v>865246679</v>
      </c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</row>
    <row r="1151" spans="1:30" x14ac:dyDescent="0.2"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</row>
    <row r="1152" spans="1:30" ht="28.35" customHeight="1" x14ac:dyDescent="0.2">
      <c r="A1152" s="1" t="s">
        <v>62</v>
      </c>
      <c r="B1152" s="49" t="s">
        <v>69</v>
      </c>
      <c r="C1152" s="50"/>
      <c r="D1152" s="2"/>
      <c r="E1152" s="3"/>
      <c r="F1152" s="4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</row>
    <row r="1153" spans="1:30" ht="36" x14ac:dyDescent="0.2">
      <c r="A1153" s="7" t="s">
        <v>2</v>
      </c>
      <c r="B1153" s="8" t="s">
        <v>3</v>
      </c>
      <c r="C1153" s="9" t="s">
        <v>70</v>
      </c>
      <c r="D1153" s="9" t="s">
        <v>65</v>
      </c>
      <c r="E1153" s="9" t="s">
        <v>71</v>
      </c>
      <c r="F1153" s="36" t="s">
        <v>66</v>
      </c>
      <c r="G1153" s="36" t="s">
        <v>18</v>
      </c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</row>
    <row r="1154" spans="1:30" x14ac:dyDescent="0.2">
      <c r="A1154" s="10">
        <v>1</v>
      </c>
      <c r="B1154" s="11" t="str">
        <f>[1]Aseguradoras!B2</f>
        <v>El Comercio Paraguayo S.A. de Seguros</v>
      </c>
      <c r="C1154" s="12">
        <f>LOOKUP(425030100,[1]PlanCuentas!$A$2:$A$6092,[1]PlanCuentas!C$2:C$6092)</f>
        <v>22857142</v>
      </c>
      <c r="D1154" s="12">
        <f>LOOKUP(425030200,[1]PlanCuentas!$A$2:$A$6092,[1]PlanCuentas!C$2:C$6092)</f>
        <v>0</v>
      </c>
      <c r="E1154" s="12">
        <f>LOOKUP(425030300,[1]PlanCuentas!$A$2:$A$6092,[1]PlanCuentas!C$2:C$6092)</f>
        <v>0</v>
      </c>
      <c r="F1154" s="12">
        <f>LOOKUP(425033000,[1]PlanCuentas!$A$2:$A$6092,[1]PlanCuentas!C$2:C$6092)</f>
        <v>0</v>
      </c>
      <c r="G1154" s="13">
        <f t="shared" ref="G1154:G1185" si="58">SUM(C1154:F1154)</f>
        <v>22857142</v>
      </c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</row>
    <row r="1155" spans="1:30" x14ac:dyDescent="0.2">
      <c r="A1155" s="10">
        <v>2</v>
      </c>
      <c r="B1155" s="11" t="str">
        <f>[1]Aseguradoras!B3</f>
        <v>La Rural S.A de Seguros</v>
      </c>
      <c r="C1155" s="12">
        <f>LOOKUP(425030100,[1]PlanCuentas!$A$2:$A$6092,[1]PlanCuentas!D$2:D$6092)</f>
        <v>0</v>
      </c>
      <c r="D1155" s="12">
        <f>LOOKUP(425030200,[1]PlanCuentas!$A$2:$A$6092,[1]PlanCuentas!D$2:D$6092)</f>
        <v>0</v>
      </c>
      <c r="E1155" s="12">
        <f>LOOKUP(425030300,[1]PlanCuentas!$A$2:$A$6092,[1]PlanCuentas!D$2:D$6092)</f>
        <v>0</v>
      </c>
      <c r="F1155" s="12">
        <f>LOOKUP(425033000,[1]PlanCuentas!$A$2:$A$6092,[1]PlanCuentas!D$2:D$6092)</f>
        <v>0</v>
      </c>
      <c r="G1155" s="13">
        <f t="shared" si="58"/>
        <v>0</v>
      </c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</row>
    <row r="1156" spans="1:30" x14ac:dyDescent="0.2">
      <c r="A1156" s="10">
        <v>3</v>
      </c>
      <c r="B1156" s="11" t="str">
        <f>[1]Aseguradoras!B4</f>
        <v>La Paraguaya S.A de Seguros</v>
      </c>
      <c r="C1156" s="12">
        <f>LOOKUP(425030100,[1]PlanCuentas!$A$2:$A$6092,[1]PlanCuentas!E$2:E$6092)</f>
        <v>420716061</v>
      </c>
      <c r="D1156" s="12">
        <f>LOOKUP(425030200,[1]PlanCuentas!$A$2:$A$6092,[1]PlanCuentas!E$2:E$6092)</f>
        <v>135697967</v>
      </c>
      <c r="E1156" s="12">
        <f>LOOKUP(425030300,[1]PlanCuentas!$A$2:$A$6092,[1]PlanCuentas!E$2:E$6092)</f>
        <v>83608522</v>
      </c>
      <c r="F1156" s="12">
        <f>LOOKUP(425033000,[1]PlanCuentas!$A$2:$A$6092,[1]PlanCuentas!E$2:E$6092)</f>
        <v>0</v>
      </c>
      <c r="G1156" s="13">
        <f t="shared" si="58"/>
        <v>640022550</v>
      </c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</row>
    <row r="1157" spans="1:30" x14ac:dyDescent="0.2">
      <c r="A1157" s="10">
        <v>4</v>
      </c>
      <c r="B1157" s="11" t="str">
        <f>[1]Aseguradoras!B5</f>
        <v>Seguros Generales S. A (SEGESA)</v>
      </c>
      <c r="C1157" s="12">
        <f>LOOKUP(425030100,[1]PlanCuentas!$A$2:$A$6092,[1]PlanCuentas!F$2:F$6092)</f>
        <v>68650000</v>
      </c>
      <c r="D1157" s="12">
        <f>LOOKUP(425030200,[1]PlanCuentas!$A$2:$A$6092,[1]PlanCuentas!F$2:F$6092)</f>
        <v>0</v>
      </c>
      <c r="E1157" s="12">
        <f>LOOKUP(425030300,[1]PlanCuentas!$A$2:$A$6092,[1]PlanCuentas!F$2:F$6092)</f>
        <v>0</v>
      </c>
      <c r="F1157" s="12">
        <f>LOOKUP(425033000,[1]PlanCuentas!$A$2:$A$6092,[1]PlanCuentas!F$2:F$6092)</f>
        <v>0</v>
      </c>
      <c r="G1157" s="13">
        <f t="shared" si="58"/>
        <v>68650000</v>
      </c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</row>
    <row r="1158" spans="1:30" x14ac:dyDescent="0.2">
      <c r="A1158" s="10">
        <v>5</v>
      </c>
      <c r="B1158" s="11" t="str">
        <f>[1]Aseguradoras!B6</f>
        <v>Rumbos S.A de Seguros</v>
      </c>
      <c r="C1158" s="12">
        <f>LOOKUP(425030100,[1]PlanCuentas!$A$2:$A$6092,[1]PlanCuentas!G$2:G$6092)</f>
        <v>33600000</v>
      </c>
      <c r="D1158" s="12">
        <f>LOOKUP(425030200,[1]PlanCuentas!$A$2:$A$6092,[1]PlanCuentas!G$2:G$6092)</f>
        <v>0</v>
      </c>
      <c r="E1158" s="12">
        <f>LOOKUP(425030300,[1]PlanCuentas!$A$2:$A$6092,[1]PlanCuentas!G$2:G$6092)</f>
        <v>0</v>
      </c>
      <c r="F1158" s="12">
        <f>LOOKUP(425033000,[1]PlanCuentas!$A$2:$A$6092,[1]PlanCuentas!G$2:G$6092)</f>
        <v>3862162</v>
      </c>
      <c r="G1158" s="13">
        <f t="shared" si="58"/>
        <v>37462162</v>
      </c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</row>
    <row r="1159" spans="1:30" x14ac:dyDescent="0.2">
      <c r="A1159" s="10">
        <v>6</v>
      </c>
      <c r="B1159" s="11" t="str">
        <f>[1]Aseguradoras!B7</f>
        <v>La Consolidada S.A de Seguros</v>
      </c>
      <c r="C1159" s="12">
        <f>LOOKUP(425030100,[1]PlanCuentas!$A$2:$A$6092,[1]PlanCuentas!H$2:H$6092)</f>
        <v>63714284</v>
      </c>
      <c r="D1159" s="12">
        <f>LOOKUP(425030200,[1]PlanCuentas!$A$2:$A$6092,[1]PlanCuentas!H$2:H$6092)</f>
        <v>0</v>
      </c>
      <c r="E1159" s="12">
        <f>LOOKUP(425030300,[1]PlanCuentas!$A$2:$A$6092,[1]PlanCuentas!H$2:H$6092)</f>
        <v>0</v>
      </c>
      <c r="F1159" s="12">
        <f>LOOKUP(425033000,[1]PlanCuentas!$A$2:$A$6092,[1]PlanCuentas!H$2:H$6092)</f>
        <v>739988065</v>
      </c>
      <c r="G1159" s="13">
        <f t="shared" si="58"/>
        <v>803702349</v>
      </c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</row>
    <row r="1160" spans="1:30" x14ac:dyDescent="0.2">
      <c r="A1160" s="10">
        <v>7</v>
      </c>
      <c r="B1160" s="11" t="str">
        <f>[1]Aseguradoras!B8</f>
        <v>El Productor S.A de Seguros y Reaseguros</v>
      </c>
      <c r="C1160" s="12">
        <f>LOOKUP(425030100,[1]PlanCuentas!$A$2:$A$6092,[1]PlanCuentas!I$2:I$6092)</f>
        <v>188221628</v>
      </c>
      <c r="D1160" s="12">
        <f>LOOKUP(425030200,[1]PlanCuentas!$A$2:$A$6092,[1]PlanCuentas!I$2:I$6092)</f>
        <v>0</v>
      </c>
      <c r="E1160" s="12">
        <f>LOOKUP(425030300,[1]PlanCuentas!$A$2:$A$6092,[1]PlanCuentas!I$2:I$6092)</f>
        <v>0</v>
      </c>
      <c r="F1160" s="12">
        <f>LOOKUP(425033000,[1]PlanCuentas!$A$2:$A$6092,[1]PlanCuentas!I$2:I$6092)</f>
        <v>0</v>
      </c>
      <c r="G1160" s="13">
        <f t="shared" si="58"/>
        <v>188221628</v>
      </c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</row>
    <row r="1161" spans="1:30" x14ac:dyDescent="0.2">
      <c r="A1161" s="10">
        <v>8</v>
      </c>
      <c r="B1161" s="11" t="str">
        <f>[1]Aseguradoras!B9</f>
        <v>Atalaya S.A de Seguros Generales</v>
      </c>
      <c r="C1161" s="12">
        <f>LOOKUP(425030100,[1]PlanCuentas!$A$2:$A$6092,[1]PlanCuentas!J$2:J$6092)</f>
        <v>15500000</v>
      </c>
      <c r="D1161" s="12">
        <f>LOOKUP(425030200,[1]PlanCuentas!$A$2:$A$6092,[1]PlanCuentas!J$2:J$6092)</f>
        <v>0</v>
      </c>
      <c r="E1161" s="12">
        <f>LOOKUP(425030300,[1]PlanCuentas!$A$2:$A$6092,[1]PlanCuentas!J$2:J$6092)</f>
        <v>0</v>
      </c>
      <c r="F1161" s="12">
        <f>LOOKUP(425033000,[1]PlanCuentas!$A$2:$A$6092,[1]PlanCuentas!J$2:J$6092)</f>
        <v>0</v>
      </c>
      <c r="G1161" s="13">
        <f t="shared" si="58"/>
        <v>15500000</v>
      </c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</row>
    <row r="1162" spans="1:30" x14ac:dyDescent="0.2">
      <c r="A1162" s="10">
        <v>9</v>
      </c>
      <c r="B1162" s="11" t="str">
        <f>[1]Aseguradoras!B10</f>
        <v>La Independencia de Seguros S.A.</v>
      </c>
      <c r="C1162" s="12">
        <f>LOOKUP(425030100,[1]PlanCuentas!$A$2:$A$6092,[1]PlanCuentas!K$2:K$6092)</f>
        <v>0</v>
      </c>
      <c r="D1162" s="12">
        <f>LOOKUP(425030200,[1]PlanCuentas!$A$2:$A$6092,[1]PlanCuentas!K$2:K$6092)</f>
        <v>0</v>
      </c>
      <c r="E1162" s="12">
        <f>LOOKUP(425030300,[1]PlanCuentas!$A$2:$A$6092,[1]PlanCuentas!K$2:K$6092)</f>
        <v>0</v>
      </c>
      <c r="F1162" s="12">
        <f>LOOKUP(425033000,[1]PlanCuentas!$A$2:$A$6092,[1]PlanCuentas!K$2:K$6092)</f>
        <v>0</v>
      </c>
      <c r="G1162" s="13">
        <f t="shared" si="58"/>
        <v>0</v>
      </c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</row>
    <row r="1163" spans="1:30" x14ac:dyDescent="0.2">
      <c r="A1163" s="10">
        <v>10</v>
      </c>
      <c r="B1163" s="11" t="str">
        <f>[1]Aseguradoras!B11</f>
        <v>Patria S.A de Seguros y Reaseguros</v>
      </c>
      <c r="C1163" s="12">
        <f>LOOKUP(425030100,[1]PlanCuentas!$A$2:$A$6092,[1]PlanCuentas!L$2:L$6092)</f>
        <v>96165926</v>
      </c>
      <c r="D1163" s="12">
        <f>LOOKUP(425030200,[1]PlanCuentas!$A$2:$A$6092,[1]PlanCuentas!L$2:L$6092)</f>
        <v>0</v>
      </c>
      <c r="E1163" s="12">
        <f>LOOKUP(425030300,[1]PlanCuentas!$A$2:$A$6092,[1]PlanCuentas!L$2:L$6092)</f>
        <v>0</v>
      </c>
      <c r="F1163" s="12">
        <f>LOOKUP(425033000,[1]PlanCuentas!$A$2:$A$6092,[1]PlanCuentas!L$2:L$6092)</f>
        <v>0</v>
      </c>
      <c r="G1163" s="13">
        <f t="shared" si="58"/>
        <v>96165926</v>
      </c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</row>
    <row r="1164" spans="1:30" x14ac:dyDescent="0.2">
      <c r="A1164" s="10">
        <v>11</v>
      </c>
      <c r="B1164" s="11" t="str">
        <f>[1]Aseguradoras!B12</f>
        <v>Garantía S.A de Seguros y Reaseguros</v>
      </c>
      <c r="C1164" s="12">
        <f>LOOKUP(425030100,[1]PlanCuentas!$A$2:$A$6092,[1]PlanCuentas!M$2:M$6092)</f>
        <v>0</v>
      </c>
      <c r="D1164" s="12">
        <f>LOOKUP(425030200,[1]PlanCuentas!$A$2:$A$6092,[1]PlanCuentas!M$2:M$6092)</f>
        <v>0</v>
      </c>
      <c r="E1164" s="12">
        <f>LOOKUP(425030300,[1]PlanCuentas!$A$2:$A$6092,[1]PlanCuentas!M$2:M$6092)</f>
        <v>0</v>
      </c>
      <c r="F1164" s="12">
        <f>LOOKUP(425033000,[1]PlanCuentas!$A$2:$A$6092,[1]PlanCuentas!M$2:M$6092)</f>
        <v>0</v>
      </c>
      <c r="G1164" s="13">
        <f t="shared" si="58"/>
        <v>0</v>
      </c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</row>
    <row r="1165" spans="1:30" x14ac:dyDescent="0.2">
      <c r="A1165" s="10">
        <v>12</v>
      </c>
      <c r="B1165" s="11" t="str">
        <f>[1]Aseguradoras!B13</f>
        <v>Aseguradora Paraguaya S.A.</v>
      </c>
      <c r="C1165" s="12">
        <f>LOOKUP(425030100,[1]PlanCuentas!$A$2:$A$6092,[1]PlanCuentas!N$2:N$6092)</f>
        <v>0</v>
      </c>
      <c r="D1165" s="12">
        <f>LOOKUP(425030200,[1]PlanCuentas!$A$2:$A$6092,[1]PlanCuentas!N$2:N$6092)</f>
        <v>0</v>
      </c>
      <c r="E1165" s="12">
        <f>LOOKUP(425030300,[1]PlanCuentas!$A$2:$A$6092,[1]PlanCuentas!N$2:N$6092)</f>
        <v>0</v>
      </c>
      <c r="F1165" s="12">
        <f>LOOKUP(425033000,[1]PlanCuentas!$A$2:$A$6092,[1]PlanCuentas!N$2:N$6092)</f>
        <v>0</v>
      </c>
      <c r="G1165" s="13">
        <f t="shared" si="58"/>
        <v>0</v>
      </c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</row>
    <row r="1166" spans="1:30" x14ac:dyDescent="0.2">
      <c r="A1166" s="10">
        <v>13</v>
      </c>
      <c r="B1166" s="11" t="str">
        <f>[1]Aseguradoras!B14</f>
        <v>Fénix S.A de Seguros y Reaseguros</v>
      </c>
      <c r="C1166" s="12">
        <f>LOOKUP(425030100,[1]PlanCuentas!$A$2:$A$6092,[1]PlanCuentas!O$2:O$6092)</f>
        <v>0</v>
      </c>
      <c r="D1166" s="12">
        <f>LOOKUP(425030200,[1]PlanCuentas!$A$2:$A$6092,[1]PlanCuentas!O$2:O$6092)</f>
        <v>0</v>
      </c>
      <c r="E1166" s="12">
        <f>LOOKUP(425030300,[1]PlanCuentas!$A$2:$A$6092,[1]PlanCuentas!O$2:O$6092)</f>
        <v>0</v>
      </c>
      <c r="F1166" s="12">
        <f>LOOKUP(425033000,[1]PlanCuentas!$A$2:$A$6092,[1]PlanCuentas!O$2:O$6092)</f>
        <v>1890000</v>
      </c>
      <c r="G1166" s="13">
        <f t="shared" si="58"/>
        <v>1890000</v>
      </c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</row>
    <row r="1167" spans="1:30" x14ac:dyDescent="0.2">
      <c r="A1167" s="10">
        <v>14</v>
      </c>
      <c r="B1167" s="11" t="str">
        <f>[1]Aseguradoras!B15</f>
        <v>Central S.A de Seguros</v>
      </c>
      <c r="C1167" s="12">
        <f>LOOKUP(425030100,[1]PlanCuentas!$A$2:$A$6092,[1]PlanCuentas!P$2:P$6092)</f>
        <v>34999992</v>
      </c>
      <c r="D1167" s="12">
        <f>LOOKUP(425030200,[1]PlanCuentas!$A$2:$A$6092,[1]PlanCuentas!P$2:P$6092)</f>
        <v>0</v>
      </c>
      <c r="E1167" s="12">
        <f>LOOKUP(425030300,[1]PlanCuentas!$A$2:$A$6092,[1]PlanCuentas!P$2:P$6092)</f>
        <v>0</v>
      </c>
      <c r="F1167" s="12">
        <f>LOOKUP(425033000,[1]PlanCuentas!$A$2:$A$6092,[1]PlanCuentas!P$2:P$6092)</f>
        <v>0</v>
      </c>
      <c r="G1167" s="13">
        <f t="shared" si="58"/>
        <v>34999992</v>
      </c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</row>
    <row r="1168" spans="1:30" x14ac:dyDescent="0.2">
      <c r="A1168" s="10">
        <v>15</v>
      </c>
      <c r="B1168" s="11" t="str">
        <f>[1]Aseguradoras!B16</f>
        <v>Seguros Chaco S.A de Seguros y Reaseguros</v>
      </c>
      <c r="C1168" s="12">
        <f>LOOKUP(425030100,[1]PlanCuentas!$A$2:$A$6092,[1]PlanCuentas!Q$2:Q$6092)</f>
        <v>0</v>
      </c>
      <c r="D1168" s="12">
        <f>LOOKUP(425030200,[1]PlanCuentas!$A$2:$A$6092,[1]PlanCuentas!Q$2:Q$6092)</f>
        <v>0</v>
      </c>
      <c r="E1168" s="12">
        <f>LOOKUP(425030300,[1]PlanCuentas!$A$2:$A$6092,[1]PlanCuentas!Q$2:Q$6092)</f>
        <v>0</v>
      </c>
      <c r="F1168" s="12">
        <f>LOOKUP(425033000,[1]PlanCuentas!$A$2:$A$6092,[1]PlanCuentas!Q$2:Q$6092)</f>
        <v>0</v>
      </c>
      <c r="G1168" s="13">
        <f t="shared" si="58"/>
        <v>0</v>
      </c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</row>
    <row r="1169" spans="1:30" x14ac:dyDescent="0.2">
      <c r="A1169" s="10">
        <v>16</v>
      </c>
      <c r="B1169" s="11" t="str">
        <f>[1]Aseguradoras!B17</f>
        <v>El Sol Del Paraguay Compañía de Seguros y Reaseguros S.A.</v>
      </c>
      <c r="C1169" s="12">
        <f>LOOKUP(425030100,[1]PlanCuentas!$A$2:$A$6092,[1]PlanCuentas!R$2:R$6092)</f>
        <v>241833923</v>
      </c>
      <c r="D1169" s="12">
        <f>LOOKUP(425030200,[1]PlanCuentas!$A$2:$A$6092,[1]PlanCuentas!R$2:R$6092)</f>
        <v>0</v>
      </c>
      <c r="E1169" s="12">
        <f>LOOKUP(425030300,[1]PlanCuentas!$A$2:$A$6092,[1]PlanCuentas!R$2:R$6092)</f>
        <v>0</v>
      </c>
      <c r="F1169" s="12">
        <f>LOOKUP(425033000,[1]PlanCuentas!$A$2:$A$6092,[1]PlanCuentas!R$2:R$6092)</f>
        <v>0</v>
      </c>
      <c r="G1169" s="13">
        <f t="shared" si="58"/>
        <v>241833923</v>
      </c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</row>
    <row r="1170" spans="1:30" x14ac:dyDescent="0.2">
      <c r="A1170" s="10">
        <v>17</v>
      </c>
      <c r="B1170" s="11" t="str">
        <f>[1]Aseguradoras!B18</f>
        <v>Intercontinental de Seguros y Reaseguros S.A.</v>
      </c>
      <c r="C1170" s="12">
        <f>LOOKUP(425030100,[1]PlanCuentas!$A$2:$A$6092,[1]PlanCuentas!S$2:S$6092)</f>
        <v>0</v>
      </c>
      <c r="D1170" s="12">
        <f>LOOKUP(425030200,[1]PlanCuentas!$A$2:$A$6092,[1]PlanCuentas!S$2:S$6092)</f>
        <v>0</v>
      </c>
      <c r="E1170" s="12">
        <f>LOOKUP(425030300,[1]PlanCuentas!$A$2:$A$6092,[1]PlanCuentas!S$2:S$6092)</f>
        <v>0</v>
      </c>
      <c r="F1170" s="12">
        <f>LOOKUP(425033000,[1]PlanCuentas!$A$2:$A$6092,[1]PlanCuentas!S$2:S$6092)</f>
        <v>0</v>
      </c>
      <c r="G1170" s="13">
        <f t="shared" si="58"/>
        <v>0</v>
      </c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</row>
    <row r="1171" spans="1:30" x14ac:dyDescent="0.2">
      <c r="A1171" s="10">
        <v>18</v>
      </c>
      <c r="B1171" s="11" t="str">
        <f>[1]Aseguradoras!B19</f>
        <v>Seguridad S.A Compañía de Seguros</v>
      </c>
      <c r="C1171" s="12">
        <f>LOOKUP(425030100,[1]PlanCuentas!$A$2:$A$6092,[1]PlanCuentas!T$2:T$6092)</f>
        <v>82139148</v>
      </c>
      <c r="D1171" s="12">
        <f>LOOKUP(425030200,[1]PlanCuentas!$A$2:$A$6092,[1]PlanCuentas!T$2:T$6092)</f>
        <v>0</v>
      </c>
      <c r="E1171" s="12">
        <f>LOOKUP(425030300,[1]PlanCuentas!$A$2:$A$6092,[1]PlanCuentas!T$2:T$6092)</f>
        <v>0</v>
      </c>
      <c r="F1171" s="12">
        <f>LOOKUP(425033000,[1]PlanCuentas!$A$2:$A$6092,[1]PlanCuentas!T$2:T$6092)</f>
        <v>0</v>
      </c>
      <c r="G1171" s="13">
        <f t="shared" si="58"/>
        <v>82139148</v>
      </c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</row>
    <row r="1172" spans="1:30" x14ac:dyDescent="0.2">
      <c r="A1172" s="10">
        <v>19</v>
      </c>
      <c r="B1172" s="11" t="str">
        <f>[1]Aseguradoras!B20</f>
        <v>Universo de Seguros y Reaseguros S.A.</v>
      </c>
      <c r="C1172" s="12">
        <f>LOOKUP(425030100,[1]PlanCuentas!$A$2:$A$6092,[1]PlanCuentas!U$2:U$6092)</f>
        <v>422835811</v>
      </c>
      <c r="D1172" s="12">
        <f>LOOKUP(425030200,[1]PlanCuentas!$A$2:$A$6092,[1]PlanCuentas!U$2:U$6092)</f>
        <v>0</v>
      </c>
      <c r="E1172" s="12">
        <f>LOOKUP(425030300,[1]PlanCuentas!$A$2:$A$6092,[1]PlanCuentas!U$2:U$6092)</f>
        <v>0</v>
      </c>
      <c r="F1172" s="12">
        <f>LOOKUP(425033000,[1]PlanCuentas!$A$2:$A$6092,[1]PlanCuentas!U$2:U$6092)</f>
        <v>0</v>
      </c>
      <c r="G1172" s="13">
        <f t="shared" si="58"/>
        <v>422835811</v>
      </c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</row>
    <row r="1173" spans="1:30" x14ac:dyDescent="0.2">
      <c r="A1173" s="10">
        <v>20</v>
      </c>
      <c r="B1173" s="11" t="str">
        <f>[1]Aseguradoras!B21</f>
        <v>Aseguradora Yacyreta S.A de Seguros y Reaseguros</v>
      </c>
      <c r="C1173" s="12">
        <f>LOOKUP(425030100,[1]PlanCuentas!$A$2:$A$6092,[1]PlanCuentas!V$2:V$6092)</f>
        <v>35568630</v>
      </c>
      <c r="D1173" s="12">
        <f>LOOKUP(425030200,[1]PlanCuentas!$A$2:$A$6092,[1]PlanCuentas!V$2:V$6092)</f>
        <v>0</v>
      </c>
      <c r="E1173" s="12">
        <f>LOOKUP(425030300,[1]PlanCuentas!$A$2:$A$6092,[1]PlanCuentas!V$2:V$6092)</f>
        <v>0</v>
      </c>
      <c r="F1173" s="12">
        <f>LOOKUP(425033000,[1]PlanCuentas!$A$2:$A$6092,[1]PlanCuentas!V$2:V$6092)</f>
        <v>0</v>
      </c>
      <c r="G1173" s="13">
        <f t="shared" si="58"/>
        <v>35568630</v>
      </c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</row>
    <row r="1174" spans="1:30" x14ac:dyDescent="0.2">
      <c r="A1174" s="10">
        <v>21</v>
      </c>
      <c r="B1174" s="11" t="str">
        <f>[1]Aseguradoras!B22</f>
        <v>La Agricola S.A de Seguros y Reaseguros</v>
      </c>
      <c r="C1174" s="12">
        <f>LOOKUP(425030100,[1]PlanCuentas!$A$2:$A$6092,[1]PlanCuentas!W$2:W$6092)</f>
        <v>76757144</v>
      </c>
      <c r="D1174" s="12">
        <f>LOOKUP(425030200,[1]PlanCuentas!$A$2:$A$6092,[1]PlanCuentas!W$2:W$6092)</f>
        <v>0</v>
      </c>
      <c r="E1174" s="12">
        <f>LOOKUP(425030300,[1]PlanCuentas!$A$2:$A$6092,[1]PlanCuentas!W$2:W$6092)</f>
        <v>0</v>
      </c>
      <c r="F1174" s="12">
        <f>LOOKUP(425033000,[1]PlanCuentas!$A$2:$A$6092,[1]PlanCuentas!W$2:W$6092)</f>
        <v>0</v>
      </c>
      <c r="G1174" s="13">
        <f t="shared" si="58"/>
        <v>76757144</v>
      </c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</row>
    <row r="1175" spans="1:30" x14ac:dyDescent="0.2">
      <c r="A1175" s="10">
        <v>22</v>
      </c>
      <c r="B1175" s="11" t="str">
        <f>[1]Aseguradoras!B23</f>
        <v>Grupo General de Seguros y Reaseguros S.A.</v>
      </c>
      <c r="C1175" s="12">
        <f>LOOKUP(425030100,[1]PlanCuentas!$A$2:$A$6092,[1]PlanCuentas!X$2:X$6092)</f>
        <v>470514263</v>
      </c>
      <c r="D1175" s="12">
        <f>LOOKUP(425030200,[1]PlanCuentas!$A$2:$A$6092,[1]PlanCuentas!X$2:X$6092)</f>
        <v>0</v>
      </c>
      <c r="E1175" s="12">
        <f>LOOKUP(425030300,[1]PlanCuentas!$A$2:$A$6092,[1]PlanCuentas!X$2:X$6092)</f>
        <v>0</v>
      </c>
      <c r="F1175" s="12">
        <f>LOOKUP(425033000,[1]PlanCuentas!$A$2:$A$6092,[1]PlanCuentas!X$2:X$6092)</f>
        <v>0</v>
      </c>
      <c r="G1175" s="13">
        <f t="shared" si="58"/>
        <v>470514263</v>
      </c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</row>
    <row r="1176" spans="1:30" x14ac:dyDescent="0.2">
      <c r="A1176" s="10">
        <v>23</v>
      </c>
      <c r="B1176" s="11" t="str">
        <f>[1]Aseguradoras!B24</f>
        <v>Alfa S.A de Seguros y Reaseguros</v>
      </c>
      <c r="C1176" s="12">
        <f>LOOKUP(425030100,[1]PlanCuentas!$A$2:$A$6092,[1]PlanCuentas!Y$2:Y$6092)</f>
        <v>12000000</v>
      </c>
      <c r="D1176" s="12">
        <f>LOOKUP(425030200,[1]PlanCuentas!$A$2:$A$6092,[1]PlanCuentas!Y$2:Y$6092)</f>
        <v>0</v>
      </c>
      <c r="E1176" s="12">
        <f>LOOKUP(425030300,[1]PlanCuentas!$A$2:$A$6092,[1]PlanCuentas!Y$2:Y$6092)</f>
        <v>0</v>
      </c>
      <c r="F1176" s="12">
        <f>LOOKUP(425033000,[1]PlanCuentas!$A$2:$A$6092,[1]PlanCuentas!Y$2:Y$6092)</f>
        <v>0</v>
      </c>
      <c r="G1176" s="13">
        <f t="shared" si="58"/>
        <v>12000000</v>
      </c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</row>
    <row r="1177" spans="1:30" x14ac:dyDescent="0.2">
      <c r="A1177" s="10">
        <v>24</v>
      </c>
      <c r="B1177" s="11" t="str">
        <f>[1]Aseguradoras!B25</f>
        <v>Cenit de Seguros S.A.</v>
      </c>
      <c r="C1177" s="12">
        <f>LOOKUP(425030100,[1]PlanCuentas!$A$2:$A$6092,[1]PlanCuentas!Z$2:Z$6092)</f>
        <v>41242000</v>
      </c>
      <c r="D1177" s="12">
        <f>LOOKUP(425030200,[1]PlanCuentas!$A$2:$A$6092,[1]PlanCuentas!Z$2:Z$6092)</f>
        <v>0</v>
      </c>
      <c r="E1177" s="12">
        <f>LOOKUP(425030300,[1]PlanCuentas!$A$2:$A$6092,[1]PlanCuentas!Z$2:Z$6092)</f>
        <v>0</v>
      </c>
      <c r="F1177" s="12">
        <f>LOOKUP(425033000,[1]PlanCuentas!$A$2:$A$6092,[1]PlanCuentas!Z$2:Z$6092)</f>
        <v>0</v>
      </c>
      <c r="G1177" s="13">
        <f t="shared" si="58"/>
        <v>41242000</v>
      </c>
      <c r="H1177" s="5"/>
      <c r="I1177" s="5"/>
      <c r="J1177" s="5"/>
      <c r="K1177" s="5"/>
      <c r="L1177" s="5"/>
      <c r="M1177" s="5"/>
      <c r="N1177" s="5"/>
      <c r="O1177" s="5"/>
      <c r="P1177" s="5"/>
      <c r="Q1177" s="5"/>
    </row>
    <row r="1178" spans="1:30" x14ac:dyDescent="0.2">
      <c r="A1178" s="10">
        <v>25</v>
      </c>
      <c r="B1178" s="11" t="str">
        <f>[1]Aseguradoras!B26</f>
        <v>La Meridional Paraguaya S.A de Seguros</v>
      </c>
      <c r="C1178" s="12">
        <f>LOOKUP(425030100,[1]PlanCuentas!$A$2:$A$6092,[1]PlanCuentas!AA$2:AA$6092)</f>
        <v>0</v>
      </c>
      <c r="D1178" s="12">
        <f>LOOKUP(425030200,[1]PlanCuentas!$A$2:$A$6092,[1]PlanCuentas!AA$2:AA$6092)</f>
        <v>0</v>
      </c>
      <c r="E1178" s="12">
        <f>LOOKUP(425030300,[1]PlanCuentas!$A$2:$A$6092,[1]PlanCuentas!AA$2:AA$6092)</f>
        <v>0</v>
      </c>
      <c r="F1178" s="12">
        <f>LOOKUP(425033000,[1]PlanCuentas!$A$2:$A$6092,[1]PlanCuentas!AA$2:AA$6092)</f>
        <v>0</v>
      </c>
      <c r="G1178" s="23">
        <f t="shared" si="58"/>
        <v>0</v>
      </c>
      <c r="H1178" s="5"/>
      <c r="I1178" s="5"/>
      <c r="J1178" s="5"/>
      <c r="K1178" s="5"/>
      <c r="L1178" s="5"/>
      <c r="M1178" s="5"/>
      <c r="N1178" s="5"/>
      <c r="O1178" s="5"/>
      <c r="P1178" s="5"/>
      <c r="Q1178" s="5"/>
    </row>
    <row r="1179" spans="1:30" x14ac:dyDescent="0.2">
      <c r="A1179" s="10">
        <v>26</v>
      </c>
      <c r="B1179" s="11" t="str">
        <f>[1]Aseguradoras!B27</f>
        <v>Aseguradora Del Este S.A de Seguros y Reaseguros</v>
      </c>
      <c r="C1179" s="12">
        <f>LOOKUP(425030100,[1]PlanCuentas!$A$2:$A$6092,[1]PlanCuentas!AB$2:AB$6092)</f>
        <v>12666668</v>
      </c>
      <c r="D1179" s="12">
        <f>LOOKUP(425030200,[1]PlanCuentas!$A$2:$A$6092,[1]PlanCuentas!AB$2:AB$6092)</f>
        <v>113645160</v>
      </c>
      <c r="E1179" s="12">
        <f>LOOKUP(425030300,[1]PlanCuentas!$A$2:$A$6092,[1]PlanCuentas!AB$2:AB$6092)</f>
        <v>0</v>
      </c>
      <c r="F1179" s="12">
        <f>LOOKUP(425033000,[1]PlanCuentas!$A$2:$A$6092,[1]PlanCuentas!AB$2:AB$6092)</f>
        <v>0</v>
      </c>
      <c r="G1179" s="23">
        <f t="shared" si="58"/>
        <v>126311828</v>
      </c>
      <c r="H1179" s="5"/>
      <c r="I1179" s="5"/>
      <c r="J1179" s="5"/>
      <c r="K1179" s="5"/>
      <c r="L1179" s="5"/>
      <c r="M1179" s="5"/>
      <c r="N1179" s="5"/>
      <c r="O1179" s="5"/>
      <c r="P1179" s="5"/>
      <c r="Q1179" s="5"/>
    </row>
    <row r="1180" spans="1:30" x14ac:dyDescent="0.2">
      <c r="A1180" s="10">
        <v>27</v>
      </c>
      <c r="B1180" s="11" t="str">
        <f>[1]Aseguradoras!B28</f>
        <v>Imperio S.A de Seguros y Reaseguros</v>
      </c>
      <c r="C1180" s="12">
        <f>LOOKUP(425030100,[1]PlanCuentas!$A$2:$A$6092,[1]PlanCuentas!AC$2:AC$6092)</f>
        <v>0</v>
      </c>
      <c r="D1180" s="12">
        <f>LOOKUP(425030200,[1]PlanCuentas!$A$2:$A$6092,[1]PlanCuentas!AC$2:AC$6092)</f>
        <v>0</v>
      </c>
      <c r="E1180" s="12">
        <f>LOOKUP(425030300,[1]PlanCuentas!$A$2:$A$6092,[1]PlanCuentas!AC$2:AC$6092)</f>
        <v>0</v>
      </c>
      <c r="F1180" s="12">
        <f>LOOKUP(425033000,[1]PlanCuentas!$A$2:$A$6092,[1]PlanCuentas!AC$2:AC$6092)</f>
        <v>0</v>
      </c>
      <c r="G1180" s="13">
        <f t="shared" si="58"/>
        <v>0</v>
      </c>
      <c r="H1180" s="5"/>
      <c r="I1180" s="5"/>
      <c r="J1180" s="5"/>
      <c r="K1180" s="5"/>
      <c r="L1180" s="5"/>
      <c r="M1180" s="5"/>
      <c r="N1180" s="5"/>
      <c r="O1180" s="5"/>
      <c r="P1180" s="5"/>
      <c r="Q1180" s="5"/>
    </row>
    <row r="1181" spans="1:30" x14ac:dyDescent="0.2">
      <c r="A1181" s="10">
        <v>28</v>
      </c>
      <c r="B1181" s="11" t="str">
        <f>[1]Aseguradoras!B29</f>
        <v>Regional S.A de Seguros y Reaseguros</v>
      </c>
      <c r="C1181" s="12">
        <f>LOOKUP(425030100,[1]PlanCuentas!$A$2:$A$6092,[1]PlanCuentas!AD$2:AD$6092)</f>
        <v>0</v>
      </c>
      <c r="D1181" s="12">
        <f>LOOKUP(425030200,[1]PlanCuentas!$A$2:$A$6092,[1]PlanCuentas!AD$2:AD$6092)</f>
        <v>0</v>
      </c>
      <c r="E1181" s="12">
        <f>LOOKUP(425030300,[1]PlanCuentas!$A$2:$A$6092,[1]PlanCuentas!AD$2:AD$6092)</f>
        <v>0</v>
      </c>
      <c r="F1181" s="12">
        <f>LOOKUP(425033000,[1]PlanCuentas!$A$2:$A$6092,[1]PlanCuentas!AD$2:AD$6092)</f>
        <v>0</v>
      </c>
      <c r="G1181" s="13">
        <f t="shared" si="58"/>
        <v>0</v>
      </c>
      <c r="H1181" s="5"/>
      <c r="I1181" s="5"/>
      <c r="J1181" s="5"/>
      <c r="K1181" s="5"/>
      <c r="L1181" s="5"/>
      <c r="M1181" s="5"/>
      <c r="N1181" s="5"/>
      <c r="O1181" s="5"/>
      <c r="P1181" s="5"/>
      <c r="Q1181" s="5"/>
    </row>
    <row r="1182" spans="1:30" s="37" customFormat="1" x14ac:dyDescent="0.2">
      <c r="A1182" s="10">
        <v>29</v>
      </c>
      <c r="B1182" s="11" t="str">
        <f>[1]Aseguradoras!B30</f>
        <v>Mapfre Paraguay Compañía de Seguros S.A.</v>
      </c>
      <c r="C1182" s="12">
        <f>LOOKUP(425030100,[1]PlanCuentas!$A$2:$A$6092,[1]PlanCuentas!AE$2:AE$6092)</f>
        <v>0</v>
      </c>
      <c r="D1182" s="12">
        <f>LOOKUP(425030200,[1]PlanCuentas!$A$2:$A$6092,[1]PlanCuentas!AE$2:AE$6092)</f>
        <v>0</v>
      </c>
      <c r="E1182" s="12">
        <f>LOOKUP(425030300,[1]PlanCuentas!$A$2:$A$6092,[1]PlanCuentas!AE$2:AE$6092)</f>
        <v>0</v>
      </c>
      <c r="F1182" s="12">
        <f>LOOKUP(425033000,[1]PlanCuentas!$A$2:$A$6092,[1]PlanCuentas!AE$2:AE$6092)</f>
        <v>0</v>
      </c>
      <c r="G1182" s="13">
        <f t="shared" si="58"/>
        <v>0</v>
      </c>
      <c r="H1182" s="5"/>
      <c r="I1182" s="5"/>
      <c r="J1182" s="5"/>
      <c r="K1182" s="5"/>
      <c r="L1182" s="5"/>
      <c r="M1182" s="5"/>
      <c r="N1182" s="5"/>
      <c r="O1182" s="5"/>
      <c r="P1182" s="5"/>
      <c r="Q1182" s="5"/>
    </row>
    <row r="1183" spans="1:30" x14ac:dyDescent="0.2">
      <c r="A1183" s="10">
        <v>30</v>
      </c>
      <c r="B1183" s="11" t="str">
        <f>[1]Aseguradoras!B31</f>
        <v>Aseguradora Tajy Propiedad Cooperativa S.A. de Seguros</v>
      </c>
      <c r="C1183" s="12">
        <f>LOOKUP(425030100,[1]PlanCuentas!$A$2:$A$6092,[1]PlanCuentas!AF$2:AF$6092)</f>
        <v>27999988</v>
      </c>
      <c r="D1183" s="12">
        <f>LOOKUP(425030200,[1]PlanCuentas!$A$2:$A$6092,[1]PlanCuentas!AF$2:AF$6092)</f>
        <v>0</v>
      </c>
      <c r="E1183" s="12">
        <f>LOOKUP(425030300,[1]PlanCuentas!$A$2:$A$6092,[1]PlanCuentas!AF$2:AF$6092)</f>
        <v>0</v>
      </c>
      <c r="F1183" s="12">
        <f>LOOKUP(425033000,[1]PlanCuentas!$A$2:$A$6092,[1]PlanCuentas!AF$2:AF$6092)</f>
        <v>0</v>
      </c>
      <c r="G1183" s="13">
        <f t="shared" si="58"/>
        <v>27999988</v>
      </c>
      <c r="H1183" s="5"/>
      <c r="I1183" s="5"/>
      <c r="J1183" s="5"/>
      <c r="K1183" s="5"/>
      <c r="L1183" s="5"/>
      <c r="M1183" s="5"/>
      <c r="N1183" s="5"/>
      <c r="O1183" s="5"/>
      <c r="P1183" s="5"/>
      <c r="Q1183" s="5"/>
    </row>
    <row r="1184" spans="1:30" x14ac:dyDescent="0.2">
      <c r="A1184" s="10">
        <v>31</v>
      </c>
      <c r="B1184" s="11" t="str">
        <f>[1]Aseguradoras!B32</f>
        <v>Aseguradora del Sur S.A. Seguros Generales - ASUR</v>
      </c>
      <c r="C1184" s="12">
        <f>LOOKUP(425030100,[1]PlanCuentas!$A$2:$A$6092,[1]PlanCuentas!AG$2:AG$6092)</f>
        <v>24666670</v>
      </c>
      <c r="D1184" s="12">
        <f>LOOKUP(425030200,[1]PlanCuentas!$A$2:$A$6092,[1]PlanCuentas!AG$2:AG$6092)</f>
        <v>0</v>
      </c>
      <c r="E1184" s="12">
        <f>LOOKUP(425030300,[1]PlanCuentas!$A$2:$A$6092,[1]PlanCuentas!AG$2:AG$6092)</f>
        <v>0</v>
      </c>
      <c r="F1184" s="12">
        <f>LOOKUP(425033000,[1]PlanCuentas!$A$2:$A$6092,[1]PlanCuentas!AG$2:AG$6092)</f>
        <v>3530312</v>
      </c>
      <c r="G1184" s="13">
        <f t="shared" si="58"/>
        <v>28196982</v>
      </c>
      <c r="H1184" s="5"/>
      <c r="I1184" s="5"/>
      <c r="J1184" s="5"/>
      <c r="K1184" s="5"/>
      <c r="L1184" s="5"/>
      <c r="M1184" s="5"/>
      <c r="N1184" s="5"/>
      <c r="O1184" s="5"/>
      <c r="P1184" s="5"/>
      <c r="Q1184" s="5"/>
    </row>
    <row r="1185" spans="1:17" x14ac:dyDescent="0.2">
      <c r="A1185" s="10">
        <v>32</v>
      </c>
      <c r="B1185" s="11" t="str">
        <f>[1]Aseguradoras!B33</f>
        <v>Panal Compañía De Seguros Generales S.A.</v>
      </c>
      <c r="C1185" s="12">
        <f>LOOKUP(425030100,[1]PlanCuentas!$A$2:$A$6092,[1]PlanCuentas!AH$2:AH$6092)</f>
        <v>0</v>
      </c>
      <c r="D1185" s="12">
        <f>LOOKUP(425030200,[1]PlanCuentas!$A$2:$A$6092,[1]PlanCuentas!AH$2:AH$6092)</f>
        <v>0</v>
      </c>
      <c r="E1185" s="12">
        <f>LOOKUP(425030300,[1]PlanCuentas!$A$2:$A$6092,[1]PlanCuentas!AH$2:AH$6092)</f>
        <v>0</v>
      </c>
      <c r="F1185" s="12">
        <f>LOOKUP(425033000,[1]PlanCuentas!$A$2:$A$6092,[1]PlanCuentas!AH$2:AH$6092)</f>
        <v>0</v>
      </c>
      <c r="G1185" s="13">
        <f t="shared" si="58"/>
        <v>0</v>
      </c>
      <c r="H1185" s="5"/>
    </row>
    <row r="1186" spans="1:17" x14ac:dyDescent="0.2">
      <c r="A1186" s="14">
        <v>33</v>
      </c>
      <c r="B1186" s="19" t="str">
        <f>[1]Aseguradoras!B34</f>
        <v>Sancor Seguros del Paraguay S.A.</v>
      </c>
      <c r="C1186" s="12">
        <f>LOOKUP(425030100,[1]PlanCuentas!$A$2:$A$6092,[1]PlanCuentas!AI$2:AI$6092)</f>
        <v>0</v>
      </c>
      <c r="D1186" s="12">
        <f>LOOKUP(425030200,[1]PlanCuentas!$A$2:$A$6092,[1]PlanCuentas!AI$2:AI$6092)</f>
        <v>0</v>
      </c>
      <c r="E1186" s="12">
        <f>LOOKUP(425030300,[1]PlanCuentas!$A$2:$A$6092,[1]PlanCuentas!AI$2:AI$6092)</f>
        <v>0</v>
      </c>
      <c r="F1186" s="12">
        <f>LOOKUP(425033000,[1]PlanCuentas!$A$2:$A$6092,[1]PlanCuentas!AI$2:AI$6092)</f>
        <v>0</v>
      </c>
      <c r="G1186" s="13">
        <f>SUM(C1186:F1186)</f>
        <v>0</v>
      </c>
      <c r="H1186" s="5"/>
    </row>
    <row r="1187" spans="1:17" x14ac:dyDescent="0.2">
      <c r="A1187" s="14"/>
      <c r="B1187" s="15" t="s">
        <v>18</v>
      </c>
      <c r="C1187" s="17">
        <f>SUBTOTAL(109,C1154:C1186)</f>
        <v>2392649278</v>
      </c>
      <c r="D1187" s="17">
        <f>SUBTOTAL(109,D1154:D1186)</f>
        <v>249343127</v>
      </c>
      <c r="E1187" s="17">
        <f>SUBTOTAL(109,E1154:E1186)</f>
        <v>83608522</v>
      </c>
      <c r="F1187" s="17"/>
      <c r="G1187" s="17">
        <f>SUBTOTAL(109,G1154:G1186)</f>
        <v>3474871466</v>
      </c>
      <c r="H1187" s="5"/>
    </row>
    <row r="1188" spans="1:17" ht="28.35" customHeight="1" x14ac:dyDescent="0.2"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</row>
    <row r="1189" spans="1:17" ht="28.35" customHeight="1" x14ac:dyDescent="0.2">
      <c r="A1189" s="1" t="s">
        <v>62</v>
      </c>
      <c r="B1189" s="47" t="s">
        <v>72</v>
      </c>
      <c r="C1189" s="47"/>
      <c r="D1189" s="48"/>
      <c r="E1189" s="46"/>
      <c r="F1189" s="4"/>
      <c r="G1189" s="5"/>
      <c r="H1189" s="5"/>
    </row>
    <row r="1190" spans="1:17" ht="48" x14ac:dyDescent="0.2">
      <c r="A1190" s="7" t="s">
        <v>2</v>
      </c>
      <c r="B1190" s="8" t="s">
        <v>3</v>
      </c>
      <c r="C1190" s="8" t="s">
        <v>73</v>
      </c>
      <c r="D1190" s="8" t="s">
        <v>74</v>
      </c>
      <c r="E1190" s="8" t="s">
        <v>75</v>
      </c>
      <c r="F1190" s="8" t="s">
        <v>66</v>
      </c>
      <c r="G1190" s="21" t="s">
        <v>18</v>
      </c>
      <c r="H1190" s="5"/>
    </row>
    <row r="1191" spans="1:17" x14ac:dyDescent="0.2">
      <c r="A1191" s="10">
        <v>1</v>
      </c>
      <c r="B1191" s="11" t="str">
        <f>[1]Aseguradoras!B2</f>
        <v>El Comercio Paraguayo S.A. de Seguros</v>
      </c>
      <c r="C1191" s="12">
        <f>LOOKUP(425040100,[1]PlanCuentas!$A$2:$A$6092,[1]PlanCuentas!C$2:C$6092)</f>
        <v>16716802</v>
      </c>
      <c r="D1191" s="12">
        <f>LOOKUP(425040200,[1]PlanCuentas!$A$2:$A$6092,[1]PlanCuentas!C$2:C$6092)</f>
        <v>0</v>
      </c>
      <c r="E1191" s="12">
        <f>LOOKUP(425040300,[1]PlanCuentas!$A$2:$A$6092,[1]PlanCuentas!C$2:C$6092)</f>
        <v>0</v>
      </c>
      <c r="F1191" s="12">
        <f>LOOKUP(425043000,[1]PlanCuentas!$A$2:$A$6092,[1]PlanCuentas!C$2:C$6092)</f>
        <v>0</v>
      </c>
      <c r="G1191" s="35">
        <f t="shared" ref="G1191:G1222" si="59">SUM(C1191:F1191)</f>
        <v>16716802</v>
      </c>
      <c r="H1191" s="5"/>
    </row>
    <row r="1192" spans="1:17" x14ac:dyDescent="0.2">
      <c r="A1192" s="10">
        <v>2</v>
      </c>
      <c r="B1192" s="11" t="str">
        <f>[1]Aseguradoras!B3</f>
        <v>La Rural S.A de Seguros</v>
      </c>
      <c r="C1192" s="12">
        <f>LOOKUP(425040100,[1]PlanCuentas!$A$2:$A$6092,[1]PlanCuentas!D$2:D$6092)</f>
        <v>0</v>
      </c>
      <c r="D1192" s="12">
        <f>LOOKUP(425040200,[1]PlanCuentas!$A$2:$A$6092,[1]PlanCuentas!D$2:D$6092)</f>
        <v>0</v>
      </c>
      <c r="E1192" s="12">
        <f>LOOKUP(425040300,[1]PlanCuentas!$A$2:$A$6092,[1]PlanCuentas!D$2:D$6092)</f>
        <v>0</v>
      </c>
      <c r="F1192" s="12">
        <f>LOOKUP(425043000,[1]PlanCuentas!$A$2:$A$6092,[1]PlanCuentas!D$2:D$6092)</f>
        <v>0</v>
      </c>
      <c r="G1192" s="35">
        <f t="shared" si="59"/>
        <v>0</v>
      </c>
      <c r="H1192" s="5"/>
    </row>
    <row r="1193" spans="1:17" x14ac:dyDescent="0.2">
      <c r="A1193" s="10">
        <v>3</v>
      </c>
      <c r="B1193" s="11" t="str">
        <f>[1]Aseguradoras!B4</f>
        <v>La Paraguaya S.A de Seguros</v>
      </c>
      <c r="C1193" s="12">
        <f>LOOKUP(425040100,[1]PlanCuentas!$A$2:$A$6092,[1]PlanCuentas!E$2:E$6092)</f>
        <v>0</v>
      </c>
      <c r="D1193" s="12">
        <f>LOOKUP(425040200,[1]PlanCuentas!$A$2:$A$6092,[1]PlanCuentas!E$2:E$6092)</f>
        <v>0</v>
      </c>
      <c r="E1193" s="12">
        <f>LOOKUP(425040300,[1]PlanCuentas!$A$2:$A$6092,[1]PlanCuentas!E$2:E$6092)</f>
        <v>0</v>
      </c>
      <c r="F1193" s="12">
        <f>LOOKUP(425043000,[1]PlanCuentas!$A$2:$A$6092,[1]PlanCuentas!E$2:E$6092)</f>
        <v>0</v>
      </c>
      <c r="G1193" s="35">
        <f t="shared" si="59"/>
        <v>0</v>
      </c>
      <c r="H1193" s="5"/>
    </row>
    <row r="1194" spans="1:17" x14ac:dyDescent="0.2">
      <c r="A1194" s="10">
        <v>4</v>
      </c>
      <c r="B1194" s="11" t="str">
        <f>[1]Aseguradoras!B5</f>
        <v>Seguros Generales S. A (SEGESA)</v>
      </c>
      <c r="C1194" s="12">
        <f>LOOKUP(425040100,[1]PlanCuentas!$A$2:$A$6092,[1]PlanCuentas!F$2:F$6092)</f>
        <v>20494154</v>
      </c>
      <c r="D1194" s="12">
        <f>LOOKUP(425040200,[1]PlanCuentas!$A$2:$A$6092,[1]PlanCuentas!F$2:F$6092)</f>
        <v>0</v>
      </c>
      <c r="E1194" s="12">
        <f>LOOKUP(425040300,[1]PlanCuentas!$A$2:$A$6092,[1]PlanCuentas!F$2:F$6092)</f>
        <v>0</v>
      </c>
      <c r="F1194" s="12">
        <f>LOOKUP(425043000,[1]PlanCuentas!$A$2:$A$6092,[1]PlanCuentas!F$2:F$6092)</f>
        <v>0</v>
      </c>
      <c r="G1194" s="35">
        <f t="shared" si="59"/>
        <v>20494154</v>
      </c>
      <c r="H1194" s="5"/>
    </row>
    <row r="1195" spans="1:17" x14ac:dyDescent="0.2">
      <c r="A1195" s="10">
        <v>5</v>
      </c>
      <c r="B1195" s="11" t="str">
        <f>[1]Aseguradoras!B6</f>
        <v>Rumbos S.A de Seguros</v>
      </c>
      <c r="C1195" s="12">
        <f>LOOKUP(425040100,[1]PlanCuentas!$A$2:$A$6092,[1]PlanCuentas!G$2:G$6092)</f>
        <v>95236924</v>
      </c>
      <c r="D1195" s="12">
        <f>LOOKUP(425040200,[1]PlanCuentas!$A$2:$A$6092,[1]PlanCuentas!G$2:G$6092)</f>
        <v>0</v>
      </c>
      <c r="E1195" s="12">
        <f>LOOKUP(425040300,[1]PlanCuentas!$A$2:$A$6092,[1]PlanCuentas!G$2:G$6092)</f>
        <v>0</v>
      </c>
      <c r="F1195" s="12">
        <f>LOOKUP(425043000,[1]PlanCuentas!$A$2:$A$6092,[1]PlanCuentas!G$2:G$6092)</f>
        <v>0</v>
      </c>
      <c r="G1195" s="35">
        <f t="shared" si="59"/>
        <v>95236924</v>
      </c>
    </row>
    <row r="1196" spans="1:17" x14ac:dyDescent="0.2">
      <c r="A1196" s="10">
        <v>6</v>
      </c>
      <c r="B1196" s="11" t="str">
        <f>[1]Aseguradoras!B7</f>
        <v>La Consolidada S.A de Seguros</v>
      </c>
      <c r="C1196" s="12">
        <f>LOOKUP(425040100,[1]PlanCuentas!$A$2:$A$6092,[1]PlanCuentas!H$2:H$6092)</f>
        <v>11178083</v>
      </c>
      <c r="D1196" s="12">
        <f>LOOKUP(425040200,[1]PlanCuentas!$A$2:$A$6092,[1]PlanCuentas!H$2:H$6092)</f>
        <v>0</v>
      </c>
      <c r="E1196" s="12">
        <f>LOOKUP(425040300,[1]PlanCuentas!$A$2:$A$6092,[1]PlanCuentas!H$2:H$6092)</f>
        <v>0</v>
      </c>
      <c r="F1196" s="12">
        <f>LOOKUP(425043000,[1]PlanCuentas!$A$2:$A$6092,[1]PlanCuentas!H$2:H$6092)</f>
        <v>0</v>
      </c>
      <c r="G1196" s="35">
        <f t="shared" si="59"/>
        <v>11178083</v>
      </c>
    </row>
    <row r="1197" spans="1:17" x14ac:dyDescent="0.2">
      <c r="A1197" s="10">
        <v>7</v>
      </c>
      <c r="B1197" s="11" t="str">
        <f>[1]Aseguradoras!B8</f>
        <v>El Productor S.A de Seguros y Reaseguros</v>
      </c>
      <c r="C1197" s="12">
        <f>LOOKUP(425040100,[1]PlanCuentas!$A$2:$A$6092,[1]PlanCuentas!I$2:I$6092)</f>
        <v>0</v>
      </c>
      <c r="D1197" s="12">
        <f>LOOKUP(425040200,[1]PlanCuentas!$A$2:$A$6092,[1]PlanCuentas!I$2:I$6092)</f>
        <v>0</v>
      </c>
      <c r="E1197" s="12">
        <f>LOOKUP(425040300,[1]PlanCuentas!$A$2:$A$6092,[1]PlanCuentas!I$2:I$6092)</f>
        <v>0</v>
      </c>
      <c r="F1197" s="12">
        <f>LOOKUP(425043000,[1]PlanCuentas!$A$2:$A$6092,[1]PlanCuentas!I$2:I$6092)</f>
        <v>0</v>
      </c>
      <c r="G1197" s="35">
        <f t="shared" si="59"/>
        <v>0</v>
      </c>
    </row>
    <row r="1198" spans="1:17" x14ac:dyDescent="0.2">
      <c r="A1198" s="10">
        <v>8</v>
      </c>
      <c r="B1198" s="11" t="str">
        <f>[1]Aseguradoras!B9</f>
        <v>Atalaya S.A de Seguros Generales</v>
      </c>
      <c r="C1198" s="12">
        <f>LOOKUP(425040100,[1]PlanCuentas!$A$2:$A$6092,[1]PlanCuentas!J$2:J$6092)</f>
        <v>1848373</v>
      </c>
      <c r="D1198" s="12">
        <f>LOOKUP(425040200,[1]PlanCuentas!$A$2:$A$6092,[1]PlanCuentas!J$2:J$6092)</f>
        <v>0</v>
      </c>
      <c r="E1198" s="12">
        <f>LOOKUP(425040300,[1]PlanCuentas!$A$2:$A$6092,[1]PlanCuentas!J$2:J$6092)</f>
        <v>0</v>
      </c>
      <c r="F1198" s="12">
        <f>LOOKUP(425043000,[1]PlanCuentas!$A$2:$A$6092,[1]PlanCuentas!J$2:J$6092)</f>
        <v>0</v>
      </c>
      <c r="G1198" s="35">
        <f t="shared" si="59"/>
        <v>1848373</v>
      </c>
    </row>
    <row r="1199" spans="1:17" x14ac:dyDescent="0.2">
      <c r="A1199" s="10">
        <v>9</v>
      </c>
      <c r="B1199" s="11" t="str">
        <f>[1]Aseguradoras!B10</f>
        <v>La Independencia de Seguros S.A.</v>
      </c>
      <c r="C1199" s="12">
        <f>LOOKUP(425040100,[1]PlanCuentas!$A$2:$A$6092,[1]PlanCuentas!K$2:K$6092)</f>
        <v>19668763</v>
      </c>
      <c r="D1199" s="12">
        <f>LOOKUP(425040200,[1]PlanCuentas!$A$2:$A$6092,[1]PlanCuentas!K$2:K$6092)</f>
        <v>0</v>
      </c>
      <c r="E1199" s="12">
        <f>LOOKUP(425040300,[1]PlanCuentas!$A$2:$A$6092,[1]PlanCuentas!K$2:K$6092)</f>
        <v>0</v>
      </c>
      <c r="F1199" s="12">
        <f>LOOKUP(425043000,[1]PlanCuentas!$A$2:$A$6092,[1]PlanCuentas!K$2:K$6092)</f>
        <v>0</v>
      </c>
      <c r="G1199" s="35">
        <f t="shared" si="59"/>
        <v>19668763</v>
      </c>
    </row>
    <row r="1200" spans="1:17" x14ac:dyDescent="0.2">
      <c r="A1200" s="10">
        <v>10</v>
      </c>
      <c r="B1200" s="11" t="str">
        <f>[1]Aseguradoras!B11</f>
        <v>Patria S.A de Seguros y Reaseguros</v>
      </c>
      <c r="C1200" s="12">
        <f>LOOKUP(425040100,[1]PlanCuentas!$A$2:$A$6092,[1]PlanCuentas!L$2:L$6092)</f>
        <v>0</v>
      </c>
      <c r="D1200" s="12">
        <f>LOOKUP(425040200,[1]PlanCuentas!$A$2:$A$6092,[1]PlanCuentas!L$2:L$6092)</f>
        <v>0</v>
      </c>
      <c r="E1200" s="12">
        <f>LOOKUP(425040300,[1]PlanCuentas!$A$2:$A$6092,[1]PlanCuentas!L$2:L$6092)</f>
        <v>0</v>
      </c>
      <c r="F1200" s="12">
        <f>LOOKUP(425043000,[1]PlanCuentas!$A$2:$A$6092,[1]PlanCuentas!L$2:L$6092)</f>
        <v>0</v>
      </c>
      <c r="G1200" s="35">
        <f t="shared" si="59"/>
        <v>0</v>
      </c>
    </row>
    <row r="1201" spans="1:19" x14ac:dyDescent="0.2">
      <c r="A1201" s="10">
        <v>11</v>
      </c>
      <c r="B1201" s="11" t="str">
        <f>[1]Aseguradoras!B12</f>
        <v>Garantía S.A de Seguros y Reaseguros</v>
      </c>
      <c r="C1201" s="12">
        <f>LOOKUP(425040100,[1]PlanCuentas!$A$2:$A$6092,[1]PlanCuentas!M$2:M$6092)</f>
        <v>0</v>
      </c>
      <c r="D1201" s="12">
        <f>LOOKUP(425040200,[1]PlanCuentas!$A$2:$A$6092,[1]PlanCuentas!M$2:M$6092)</f>
        <v>0</v>
      </c>
      <c r="E1201" s="12">
        <f>LOOKUP(425040300,[1]PlanCuentas!$A$2:$A$6092,[1]PlanCuentas!M$2:M$6092)</f>
        <v>0</v>
      </c>
      <c r="F1201" s="12">
        <f>LOOKUP(425043000,[1]PlanCuentas!$A$2:$A$6092,[1]PlanCuentas!M$2:M$6092)</f>
        <v>0</v>
      </c>
      <c r="G1201" s="35">
        <f t="shared" si="59"/>
        <v>0</v>
      </c>
    </row>
    <row r="1202" spans="1:19" x14ac:dyDescent="0.2">
      <c r="A1202" s="10">
        <v>12</v>
      </c>
      <c r="B1202" s="11" t="str">
        <f>[1]Aseguradoras!B13</f>
        <v>Aseguradora Paraguaya S.A.</v>
      </c>
      <c r="C1202" s="12">
        <f>LOOKUP(425040100,[1]PlanCuentas!$A$2:$A$6092,[1]PlanCuentas!N$2:N$6092)</f>
        <v>45063703</v>
      </c>
      <c r="D1202" s="12">
        <f>LOOKUP(425040200,[1]PlanCuentas!$A$2:$A$6092,[1]PlanCuentas!N$2:N$6092)</f>
        <v>0</v>
      </c>
      <c r="E1202" s="12">
        <f>LOOKUP(425040300,[1]PlanCuentas!$A$2:$A$6092,[1]PlanCuentas!N$2:N$6092)</f>
        <v>0</v>
      </c>
      <c r="F1202" s="12">
        <f>LOOKUP(425043000,[1]PlanCuentas!$A$2:$A$6092,[1]PlanCuentas!N$2:N$6092)</f>
        <v>0</v>
      </c>
      <c r="G1202" s="35">
        <f t="shared" si="59"/>
        <v>45063703</v>
      </c>
    </row>
    <row r="1203" spans="1:19" x14ac:dyDescent="0.2">
      <c r="A1203" s="10">
        <v>13</v>
      </c>
      <c r="B1203" s="11" t="str">
        <f>[1]Aseguradoras!B14</f>
        <v>Fénix S.A de Seguros y Reaseguros</v>
      </c>
      <c r="C1203" s="12">
        <f>LOOKUP(425040100,[1]PlanCuentas!$A$2:$A$6092,[1]PlanCuentas!O$2:O$6092)</f>
        <v>0</v>
      </c>
      <c r="D1203" s="12">
        <f>LOOKUP(425040200,[1]PlanCuentas!$A$2:$A$6092,[1]PlanCuentas!O$2:O$6092)</f>
        <v>0</v>
      </c>
      <c r="E1203" s="12">
        <f>LOOKUP(425040300,[1]PlanCuentas!$A$2:$A$6092,[1]PlanCuentas!O$2:O$6092)</f>
        <v>0</v>
      </c>
      <c r="F1203" s="12">
        <f>LOOKUP(425043000,[1]PlanCuentas!$A$2:$A$6092,[1]PlanCuentas!O$2:O$6092)</f>
        <v>0</v>
      </c>
      <c r="G1203" s="35">
        <f t="shared" si="59"/>
        <v>0</v>
      </c>
    </row>
    <row r="1204" spans="1:19" x14ac:dyDescent="0.2">
      <c r="A1204" s="10">
        <v>14</v>
      </c>
      <c r="B1204" s="11" t="str">
        <f>[1]Aseguradoras!B15</f>
        <v>Central S.A de Seguros</v>
      </c>
      <c r="C1204" s="12">
        <f>LOOKUP(425040100,[1]PlanCuentas!$A$2:$A$6092,[1]PlanCuentas!P$2:P$6092)</f>
        <v>0</v>
      </c>
      <c r="D1204" s="12">
        <f>LOOKUP(425040200,[1]PlanCuentas!$A$2:$A$6092,[1]PlanCuentas!P$2:P$6092)</f>
        <v>0</v>
      </c>
      <c r="E1204" s="12">
        <f>LOOKUP(425040300,[1]PlanCuentas!$A$2:$A$6092,[1]PlanCuentas!P$2:P$6092)</f>
        <v>0</v>
      </c>
      <c r="F1204" s="12">
        <f>LOOKUP(425043000,[1]PlanCuentas!$A$2:$A$6092,[1]PlanCuentas!P$2:P$6092)</f>
        <v>0</v>
      </c>
      <c r="G1204" s="35">
        <f t="shared" si="59"/>
        <v>0</v>
      </c>
    </row>
    <row r="1205" spans="1:19" x14ac:dyDescent="0.2">
      <c r="A1205" s="10">
        <v>15</v>
      </c>
      <c r="B1205" s="11" t="str">
        <f>[1]Aseguradoras!B16</f>
        <v>Seguros Chaco S.A de Seguros y Reaseguros</v>
      </c>
      <c r="C1205" s="12">
        <f>LOOKUP(425040100,[1]PlanCuentas!$A$2:$A$6092,[1]PlanCuentas!Q$2:Q$6092)</f>
        <v>2780379</v>
      </c>
      <c r="D1205" s="12">
        <f>LOOKUP(425040200,[1]PlanCuentas!$A$2:$A$6092,[1]PlanCuentas!Q$2:Q$6092)</f>
        <v>0</v>
      </c>
      <c r="E1205" s="12">
        <f>LOOKUP(425040300,[1]PlanCuentas!$A$2:$A$6092,[1]PlanCuentas!Q$2:Q$6092)</f>
        <v>0</v>
      </c>
      <c r="F1205" s="12">
        <f>LOOKUP(425043000,[1]PlanCuentas!$A$2:$A$6092,[1]PlanCuentas!Q$2:Q$6092)</f>
        <v>0</v>
      </c>
      <c r="G1205" s="35">
        <f t="shared" si="59"/>
        <v>2780379</v>
      </c>
    </row>
    <row r="1206" spans="1:19" x14ac:dyDescent="0.2">
      <c r="A1206" s="10">
        <v>16</v>
      </c>
      <c r="B1206" s="11" t="str">
        <f>[1]Aseguradoras!B17</f>
        <v>El Sol Del Paraguay Compañía de Seguros y Reaseguros S.A.</v>
      </c>
      <c r="C1206" s="12">
        <f>LOOKUP(425040100,[1]PlanCuentas!$A$2:$A$6092,[1]PlanCuentas!R$2:R$6092)</f>
        <v>10621703</v>
      </c>
      <c r="D1206" s="12">
        <f>LOOKUP(425040200,[1]PlanCuentas!$A$2:$A$6092,[1]PlanCuentas!R$2:R$6092)</f>
        <v>0</v>
      </c>
      <c r="E1206" s="12">
        <f>LOOKUP(425040300,[1]PlanCuentas!$A$2:$A$6092,[1]PlanCuentas!R$2:R$6092)</f>
        <v>0</v>
      </c>
      <c r="F1206" s="12">
        <f>LOOKUP(425043000,[1]PlanCuentas!$A$2:$A$6092,[1]PlanCuentas!R$2:R$6092)</f>
        <v>0</v>
      </c>
      <c r="G1206" s="35">
        <f t="shared" si="59"/>
        <v>10621703</v>
      </c>
      <c r="R1206" s="5"/>
    </row>
    <row r="1207" spans="1:19" x14ac:dyDescent="0.2">
      <c r="A1207" s="10">
        <v>17</v>
      </c>
      <c r="B1207" s="11" t="str">
        <f>[1]Aseguradoras!B18</f>
        <v>Intercontinental de Seguros y Reaseguros S.A.</v>
      </c>
      <c r="C1207" s="12">
        <f>LOOKUP(425040100,[1]PlanCuentas!$A$2:$A$6092,[1]PlanCuentas!S$2:S$6092)</f>
        <v>0</v>
      </c>
      <c r="D1207" s="12">
        <f>LOOKUP(425040200,[1]PlanCuentas!$A$2:$A$6092,[1]PlanCuentas!S$2:S$6092)</f>
        <v>0</v>
      </c>
      <c r="E1207" s="12">
        <f>LOOKUP(425040300,[1]PlanCuentas!$A$2:$A$6092,[1]PlanCuentas!S$2:S$6092)</f>
        <v>0</v>
      </c>
      <c r="F1207" s="12">
        <f>LOOKUP(425043000,[1]PlanCuentas!$A$2:$A$6092,[1]PlanCuentas!S$2:S$6092)</f>
        <v>0</v>
      </c>
      <c r="G1207" s="35">
        <f t="shared" si="59"/>
        <v>0</v>
      </c>
    </row>
    <row r="1208" spans="1:19" x14ac:dyDescent="0.2">
      <c r="A1208" s="10">
        <v>18</v>
      </c>
      <c r="B1208" s="11" t="str">
        <f>[1]Aseguradoras!B19</f>
        <v>Seguridad S.A Compañía de Seguros</v>
      </c>
      <c r="C1208" s="12">
        <f>LOOKUP(425040100,[1]PlanCuentas!$A$2:$A$6092,[1]PlanCuentas!T$2:T$6092)</f>
        <v>0</v>
      </c>
      <c r="D1208" s="12">
        <f>LOOKUP(425040200,[1]PlanCuentas!$A$2:$A$6092,[1]PlanCuentas!T$2:T$6092)</f>
        <v>0</v>
      </c>
      <c r="E1208" s="12">
        <f>LOOKUP(425040300,[1]PlanCuentas!$A$2:$A$6092,[1]PlanCuentas!T$2:T$6092)</f>
        <v>0</v>
      </c>
      <c r="F1208" s="12">
        <f>LOOKUP(425043000,[1]PlanCuentas!$A$2:$A$6092,[1]PlanCuentas!T$2:T$6092)</f>
        <v>0</v>
      </c>
      <c r="G1208" s="35">
        <f t="shared" si="59"/>
        <v>0</v>
      </c>
    </row>
    <row r="1209" spans="1:19" x14ac:dyDescent="0.2">
      <c r="A1209" s="10">
        <v>19</v>
      </c>
      <c r="B1209" s="11" t="str">
        <f>[1]Aseguradoras!B20</f>
        <v>Universo de Seguros y Reaseguros S.A.</v>
      </c>
      <c r="C1209" s="12">
        <f>LOOKUP(425040100,[1]PlanCuentas!$A$2:$A$6092,[1]PlanCuentas!U$2:U$6092)</f>
        <v>0</v>
      </c>
      <c r="D1209" s="12">
        <f>LOOKUP(425040200,[1]PlanCuentas!$A$2:$A$6092,[1]PlanCuentas!U$2:U$6092)</f>
        <v>0</v>
      </c>
      <c r="E1209" s="12">
        <f>LOOKUP(425040300,[1]PlanCuentas!$A$2:$A$6092,[1]PlanCuentas!U$2:U$6092)</f>
        <v>0</v>
      </c>
      <c r="F1209" s="12">
        <f>LOOKUP(425043000,[1]PlanCuentas!$A$2:$A$6092,[1]PlanCuentas!U$2:U$6092)</f>
        <v>0</v>
      </c>
      <c r="G1209" s="35">
        <f t="shared" si="59"/>
        <v>0</v>
      </c>
    </row>
    <row r="1210" spans="1:19" x14ac:dyDescent="0.2">
      <c r="A1210" s="10">
        <v>20</v>
      </c>
      <c r="B1210" s="11" t="str">
        <f>[1]Aseguradoras!B21</f>
        <v>Aseguradora Yacyreta S.A de Seguros y Reaseguros</v>
      </c>
      <c r="C1210" s="12">
        <f>LOOKUP(425040100,[1]PlanCuentas!$A$2:$A$6092,[1]PlanCuentas!V$2:V$6092)</f>
        <v>0</v>
      </c>
      <c r="D1210" s="12">
        <f>LOOKUP(425040200,[1]PlanCuentas!$A$2:$A$6092,[1]PlanCuentas!V$2:V$6092)</f>
        <v>0</v>
      </c>
      <c r="E1210" s="12">
        <f>LOOKUP(425040300,[1]PlanCuentas!$A$2:$A$6092,[1]PlanCuentas!V$2:V$6092)</f>
        <v>0</v>
      </c>
      <c r="F1210" s="12">
        <f>LOOKUP(425043000,[1]PlanCuentas!$A$2:$A$6092,[1]PlanCuentas!V$2:V$6092)</f>
        <v>0</v>
      </c>
      <c r="G1210" s="35">
        <f t="shared" si="59"/>
        <v>0</v>
      </c>
    </row>
    <row r="1211" spans="1:19" x14ac:dyDescent="0.2">
      <c r="A1211" s="10">
        <v>21</v>
      </c>
      <c r="B1211" s="11" t="str">
        <f>[1]Aseguradoras!B22</f>
        <v>La Agricola S.A de Seguros y Reaseguros</v>
      </c>
      <c r="C1211" s="12">
        <f>LOOKUP(425040100,[1]PlanCuentas!$A$2:$A$6092,[1]PlanCuentas!W$2:W$6092)</f>
        <v>9310189</v>
      </c>
      <c r="D1211" s="12">
        <f>LOOKUP(425040200,[1]PlanCuentas!$A$2:$A$6092,[1]PlanCuentas!W$2:W$6092)</f>
        <v>0</v>
      </c>
      <c r="E1211" s="12">
        <f>LOOKUP(425040300,[1]PlanCuentas!$A$2:$A$6092,[1]PlanCuentas!W$2:W$6092)</f>
        <v>0</v>
      </c>
      <c r="F1211" s="12">
        <f>LOOKUP(425043000,[1]PlanCuentas!$A$2:$A$6092,[1]PlanCuentas!W$2:W$6092)</f>
        <v>0</v>
      </c>
      <c r="G1211" s="35">
        <f t="shared" si="59"/>
        <v>9310189</v>
      </c>
    </row>
    <row r="1212" spans="1:19" x14ac:dyDescent="0.2">
      <c r="A1212" s="10">
        <v>22</v>
      </c>
      <c r="B1212" s="11" t="str">
        <f>[1]Aseguradoras!B23</f>
        <v>Grupo General de Seguros y Reaseguros S.A.</v>
      </c>
      <c r="C1212" s="12">
        <f>LOOKUP(425040100,[1]PlanCuentas!$A$2:$A$6092,[1]PlanCuentas!X$2:X$6092)</f>
        <v>0</v>
      </c>
      <c r="D1212" s="12">
        <f>LOOKUP(425040200,[1]PlanCuentas!$A$2:$A$6092,[1]PlanCuentas!X$2:X$6092)</f>
        <v>0</v>
      </c>
      <c r="E1212" s="12">
        <f>LOOKUP(425040300,[1]PlanCuentas!$A$2:$A$6092,[1]PlanCuentas!X$2:X$6092)</f>
        <v>0</v>
      </c>
      <c r="F1212" s="12">
        <f>LOOKUP(425043000,[1]PlanCuentas!$A$2:$A$6092,[1]PlanCuentas!X$2:X$6092)</f>
        <v>0</v>
      </c>
      <c r="G1212" s="35">
        <f t="shared" si="59"/>
        <v>0</v>
      </c>
    </row>
    <row r="1213" spans="1:19" x14ac:dyDescent="0.2">
      <c r="A1213" s="10">
        <v>23</v>
      </c>
      <c r="B1213" s="11" t="str">
        <f>[1]Aseguradoras!B24</f>
        <v>Alfa S.A de Seguros y Reaseguros</v>
      </c>
      <c r="C1213" s="12">
        <f>LOOKUP(425040100,[1]PlanCuentas!$A$2:$A$6092,[1]PlanCuentas!Y$2:Y$6092)</f>
        <v>4683982</v>
      </c>
      <c r="D1213" s="12">
        <f>LOOKUP(425040200,[1]PlanCuentas!$A$2:$A$6092,[1]PlanCuentas!Y$2:Y$6092)</f>
        <v>0</v>
      </c>
      <c r="E1213" s="12">
        <f>LOOKUP(425040300,[1]PlanCuentas!$A$2:$A$6092,[1]PlanCuentas!Y$2:Y$6092)</f>
        <v>0</v>
      </c>
      <c r="F1213" s="12">
        <f>LOOKUP(425043000,[1]PlanCuentas!$A$2:$A$6092,[1]PlanCuentas!Y$2:Y$6092)</f>
        <v>0</v>
      </c>
      <c r="G1213" s="35">
        <f t="shared" si="59"/>
        <v>4683982</v>
      </c>
    </row>
    <row r="1214" spans="1:19" x14ac:dyDescent="0.2">
      <c r="A1214" s="10">
        <v>24</v>
      </c>
      <c r="B1214" s="11" t="str">
        <f>[1]Aseguradoras!B25</f>
        <v>Cenit de Seguros S.A.</v>
      </c>
      <c r="C1214" s="12">
        <f>LOOKUP(425040100,[1]PlanCuentas!$A$2:$A$6092,[1]PlanCuentas!Z$2:Z$6092)</f>
        <v>4269889</v>
      </c>
      <c r="D1214" s="12">
        <f>LOOKUP(425040200,[1]PlanCuentas!$A$2:$A$6092,[1]PlanCuentas!Z$2:Z$6092)</f>
        <v>0</v>
      </c>
      <c r="E1214" s="12">
        <f>LOOKUP(425040300,[1]PlanCuentas!$A$2:$A$6092,[1]PlanCuentas!Z$2:Z$6092)</f>
        <v>0</v>
      </c>
      <c r="F1214" s="12">
        <f>LOOKUP(425043000,[1]PlanCuentas!$A$2:$A$6092,[1]PlanCuentas!Z$2:Z$6092)</f>
        <v>0</v>
      </c>
      <c r="G1214" s="35">
        <f t="shared" si="59"/>
        <v>4269889</v>
      </c>
      <c r="H1214" s="39"/>
      <c r="I1214" s="39"/>
      <c r="J1214" s="39"/>
      <c r="K1214" s="39"/>
      <c r="L1214" s="39"/>
      <c r="M1214" s="39"/>
      <c r="N1214" s="39"/>
      <c r="O1214" s="39"/>
      <c r="P1214" s="39"/>
      <c r="Q1214" s="40"/>
    </row>
    <row r="1215" spans="1:19" x14ac:dyDescent="0.2">
      <c r="A1215" s="10">
        <v>25</v>
      </c>
      <c r="B1215" s="11" t="str">
        <f>[1]Aseguradoras!B26</f>
        <v>La Meridional Paraguaya S.A de Seguros</v>
      </c>
      <c r="C1215" s="12">
        <f>LOOKUP(425040100,[1]PlanCuentas!$A$2:$A$6092,[1]PlanCuentas!AA$2:AA$6092)</f>
        <v>5852331</v>
      </c>
      <c r="D1215" s="12">
        <f>LOOKUP(425040200,[1]PlanCuentas!$A$2:$A$6092,[1]PlanCuentas!AA$2:AA$6092)</f>
        <v>0</v>
      </c>
      <c r="E1215" s="12">
        <f>LOOKUP(425040300,[1]PlanCuentas!$A$2:$A$6092,[1]PlanCuentas!AA$2:AA$6092)</f>
        <v>0</v>
      </c>
      <c r="F1215" s="12">
        <f>LOOKUP(425043000,[1]PlanCuentas!$A$2:$A$6092,[1]PlanCuentas!AA$2:AA$6092)</f>
        <v>0</v>
      </c>
      <c r="G1215" s="23">
        <f t="shared" si="59"/>
        <v>5852331</v>
      </c>
    </row>
    <row r="1216" spans="1:19" x14ac:dyDescent="0.2">
      <c r="A1216" s="10">
        <v>26</v>
      </c>
      <c r="B1216" s="11" t="str">
        <f>[1]Aseguradoras!B27</f>
        <v>Aseguradora Del Este S.A de Seguros y Reaseguros</v>
      </c>
      <c r="C1216" s="12">
        <f>LOOKUP(425040100,[1]PlanCuentas!$A$2:$A$6092,[1]PlanCuentas!AB$2:AB$6092)</f>
        <v>10920896</v>
      </c>
      <c r="D1216" s="12">
        <f>LOOKUP(425040200,[1]PlanCuentas!$A$2:$A$6092,[1]PlanCuentas!AB$2:AB$6092)</f>
        <v>0</v>
      </c>
      <c r="E1216" s="12">
        <f>LOOKUP(425040300,[1]PlanCuentas!$A$2:$A$6092,[1]PlanCuentas!AB$2:AB$6092)</f>
        <v>0</v>
      </c>
      <c r="F1216" s="12">
        <f>LOOKUP(425043000,[1]PlanCuentas!$A$2:$A$6092,[1]PlanCuentas!AB$2:AB$6092)</f>
        <v>0</v>
      </c>
      <c r="G1216" s="23">
        <f t="shared" si="59"/>
        <v>10920896</v>
      </c>
      <c r="R1216" s="5"/>
      <c r="S1216" s="5"/>
    </row>
    <row r="1217" spans="1:19" x14ac:dyDescent="0.2">
      <c r="A1217" s="10">
        <v>27</v>
      </c>
      <c r="B1217" s="11" t="str">
        <f>[1]Aseguradoras!B28</f>
        <v>Imperio S.A de Seguros y Reaseguros</v>
      </c>
      <c r="C1217" s="12">
        <f>LOOKUP(425040100,[1]PlanCuentas!$A$2:$A$6092,[1]PlanCuentas!AC$2:AC$6092)</f>
        <v>47646497</v>
      </c>
      <c r="D1217" s="12">
        <f>LOOKUP(425040200,[1]PlanCuentas!$A$2:$A$6092,[1]PlanCuentas!AC$2:AC$6092)</f>
        <v>0</v>
      </c>
      <c r="E1217" s="12">
        <f>LOOKUP(425040300,[1]PlanCuentas!$A$2:$A$6092,[1]PlanCuentas!AC$2:AC$6092)</f>
        <v>0</v>
      </c>
      <c r="F1217" s="12">
        <f>LOOKUP(425043000,[1]PlanCuentas!$A$2:$A$6092,[1]PlanCuentas!AC$2:AC$6092)</f>
        <v>50597292</v>
      </c>
      <c r="G1217" s="35">
        <f t="shared" si="59"/>
        <v>98243789</v>
      </c>
      <c r="R1217" s="5"/>
      <c r="S1217" s="5"/>
    </row>
    <row r="1218" spans="1:19" x14ac:dyDescent="0.2">
      <c r="A1218" s="10">
        <v>28</v>
      </c>
      <c r="B1218" s="11" t="str">
        <f>[1]Aseguradoras!B29</f>
        <v>Regional S.A de Seguros y Reaseguros</v>
      </c>
      <c r="C1218" s="12">
        <f>LOOKUP(425040100,[1]PlanCuentas!$A$2:$A$6092,[1]PlanCuentas!AD$2:AD$6092)</f>
        <v>29996581</v>
      </c>
      <c r="D1218" s="12">
        <f>LOOKUP(425040200,[1]PlanCuentas!$A$2:$A$6092,[1]PlanCuentas!AD$2:AD$6092)</f>
        <v>0</v>
      </c>
      <c r="E1218" s="12">
        <f>LOOKUP(425040300,[1]PlanCuentas!$A$2:$A$6092,[1]PlanCuentas!AD$2:AD$6092)</f>
        <v>0</v>
      </c>
      <c r="F1218" s="12">
        <f>LOOKUP(425043000,[1]PlanCuentas!$A$2:$A$6092,[1]PlanCuentas!AD$2:AD$6092)</f>
        <v>0</v>
      </c>
      <c r="G1218" s="35">
        <f t="shared" si="59"/>
        <v>29996581</v>
      </c>
      <c r="R1218" s="5"/>
      <c r="S1218" s="5"/>
    </row>
    <row r="1219" spans="1:19" s="37" customFormat="1" x14ac:dyDescent="0.2">
      <c r="A1219" s="10">
        <v>29</v>
      </c>
      <c r="B1219" s="11" t="str">
        <f>[1]Aseguradoras!B30</f>
        <v>Mapfre Paraguay Compañía de Seguros S.A.</v>
      </c>
      <c r="C1219" s="12">
        <f>LOOKUP(425040100,[1]PlanCuentas!$A$2:$A$6092,[1]PlanCuentas!AE$2:AE$6092)</f>
        <v>73098113</v>
      </c>
      <c r="D1219" s="12">
        <f>LOOKUP(425040200,[1]PlanCuentas!$A$2:$A$6092,[1]PlanCuentas!AE$2:AE$6092)</f>
        <v>0</v>
      </c>
      <c r="E1219" s="12">
        <f>LOOKUP(425040300,[1]PlanCuentas!$A$2:$A$6092,[1]PlanCuentas!AE$2:AE$6092)</f>
        <v>0</v>
      </c>
      <c r="F1219" s="12">
        <f>LOOKUP(425043000,[1]PlanCuentas!$A$2:$A$6092,[1]PlanCuentas!AE$2:AE$6092)</f>
        <v>0</v>
      </c>
      <c r="G1219" s="35">
        <f t="shared" si="59"/>
        <v>73098113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44"/>
      <c r="S1219" s="44"/>
    </row>
    <row r="1220" spans="1:19" x14ac:dyDescent="0.2">
      <c r="A1220" s="10">
        <v>30</v>
      </c>
      <c r="B1220" s="11" t="str">
        <f>[1]Aseguradoras!B31</f>
        <v>Aseguradora Tajy Propiedad Cooperativa S.A. de Seguros</v>
      </c>
      <c r="C1220" s="12">
        <f>LOOKUP(425040100,[1]PlanCuentas!$A$2:$A$6092,[1]PlanCuentas!AF$2:AF$6092)</f>
        <v>26146832</v>
      </c>
      <c r="D1220" s="12">
        <f>LOOKUP(425040200,[1]PlanCuentas!$A$2:$A$6092,[1]PlanCuentas!AF$2:AF$6092)</f>
        <v>0</v>
      </c>
      <c r="E1220" s="12">
        <f>LOOKUP(425040300,[1]PlanCuentas!$A$2:$A$6092,[1]PlanCuentas!AF$2:AF$6092)</f>
        <v>0</v>
      </c>
      <c r="F1220" s="12">
        <f>LOOKUP(425043000,[1]PlanCuentas!$A$2:$A$6092,[1]PlanCuentas!AF$2:AF$6092)</f>
        <v>0</v>
      </c>
      <c r="G1220" s="35">
        <f t="shared" si="59"/>
        <v>26146832</v>
      </c>
    </row>
    <row r="1221" spans="1:19" x14ac:dyDescent="0.2">
      <c r="A1221" s="10">
        <v>31</v>
      </c>
      <c r="B1221" s="11" t="str">
        <f>[1]Aseguradoras!B32</f>
        <v>Aseguradora del Sur S.A. Seguros Generales - ASUR</v>
      </c>
      <c r="C1221" s="12">
        <f>LOOKUP(425040100,[1]PlanCuentas!$A$2:$A$6092,[1]PlanCuentas!AG$2:AG$6092)</f>
        <v>0</v>
      </c>
      <c r="D1221" s="12">
        <f>LOOKUP(425040200,[1]PlanCuentas!$A$2:$A$6092,[1]PlanCuentas!AG$2:AG$6092)</f>
        <v>0</v>
      </c>
      <c r="E1221" s="12">
        <f>LOOKUP(425040300,[1]PlanCuentas!$A$2:$A$6092,[1]PlanCuentas!AG$2:AG$6092)</f>
        <v>0</v>
      </c>
      <c r="F1221" s="12">
        <f>LOOKUP(425043000,[1]PlanCuentas!$A$2:$A$6092,[1]PlanCuentas!AG$2:AG$6092)</f>
        <v>0</v>
      </c>
      <c r="G1221" s="35">
        <f t="shared" si="59"/>
        <v>0</v>
      </c>
    </row>
    <row r="1222" spans="1:19" x14ac:dyDescent="0.2">
      <c r="A1222" s="10">
        <v>32</v>
      </c>
      <c r="B1222" s="11" t="str">
        <f>[1]Aseguradoras!B33</f>
        <v>Panal Compañía De Seguros Generales S.A.</v>
      </c>
      <c r="C1222" s="12">
        <f>LOOKUP(425040100,[1]PlanCuentas!$A$2:$A$6092,[1]PlanCuentas!AH$2:AH$6092)</f>
        <v>8711475</v>
      </c>
      <c r="D1222" s="12">
        <f>LOOKUP(425040200,[1]PlanCuentas!$A$2:$A$6092,[1]PlanCuentas!AH$2:AH$6092)</f>
        <v>0</v>
      </c>
      <c r="E1222" s="12">
        <f>LOOKUP(425040300,[1]PlanCuentas!$A$2:$A$6092,[1]PlanCuentas!AH$2:AH$6092)</f>
        <v>0</v>
      </c>
      <c r="F1222" s="12">
        <f>LOOKUP(425043000,[1]PlanCuentas!$A$2:$A$6092,[1]PlanCuentas!AH$2:AH$6092)</f>
        <v>0</v>
      </c>
      <c r="G1222" s="35">
        <f t="shared" si="59"/>
        <v>8711475</v>
      </c>
    </row>
    <row r="1223" spans="1:19" x14ac:dyDescent="0.2">
      <c r="A1223" s="14">
        <v>33</v>
      </c>
      <c r="B1223" s="19" t="str">
        <f>[1]Aseguradoras!B34</f>
        <v>Sancor Seguros del Paraguay S.A.</v>
      </c>
      <c r="C1223" s="12">
        <f>LOOKUP(425040100,[1]PlanCuentas!$A$2:$A$6092,[1]PlanCuentas!AI$2:AI$6092)</f>
        <v>0</v>
      </c>
      <c r="D1223" s="12">
        <f>LOOKUP(425040200,[1]PlanCuentas!$A$2:$A$6092,[1]PlanCuentas!AI$2:AI$6092)</f>
        <v>0</v>
      </c>
      <c r="E1223" s="12">
        <f>LOOKUP(425040300,[1]PlanCuentas!$A$2:$A$6092,[1]PlanCuentas!AI$2:AI$6092)</f>
        <v>0</v>
      </c>
      <c r="F1223" s="12">
        <f>LOOKUP(425043000,[1]PlanCuentas!$A$2:$A$6092,[1]PlanCuentas!AI$2:AI$6092)</f>
        <v>0</v>
      </c>
      <c r="G1223" s="35">
        <f>SUM(C1223:F1223)</f>
        <v>0</v>
      </c>
    </row>
    <row r="1224" spans="1:19" x14ac:dyDescent="0.2">
      <c r="A1224" s="14"/>
      <c r="B1224" s="15" t="s">
        <v>18</v>
      </c>
      <c r="C1224" s="17">
        <f>SUBTOTAL(109,C1191:C1223)</f>
        <v>444245669</v>
      </c>
      <c r="D1224" s="17">
        <f>SUBTOTAL(109,D1191:D1223)</f>
        <v>0</v>
      </c>
      <c r="E1224" s="16">
        <f>SUBTOTAL(109,E1191:E1223)</f>
        <v>0</v>
      </c>
      <c r="F1224" s="16"/>
      <c r="G1224" s="29">
        <f>SUBTOTAL(109,G1191:G1223)</f>
        <v>494842961</v>
      </c>
    </row>
    <row r="1226" spans="1:19" ht="28.35" customHeight="1" x14ac:dyDescent="0.2">
      <c r="A1226" s="1" t="s">
        <v>62</v>
      </c>
      <c r="B1226" s="45" t="s">
        <v>76</v>
      </c>
      <c r="C1226" s="45"/>
      <c r="D1226" s="3"/>
    </row>
    <row r="1227" spans="1:19" ht="24" x14ac:dyDescent="0.2">
      <c r="A1227" s="7" t="s">
        <v>2</v>
      </c>
      <c r="B1227" s="8" t="s">
        <v>3</v>
      </c>
      <c r="C1227" s="8" t="s">
        <v>77</v>
      </c>
      <c r="D1227" s="21" t="s">
        <v>18</v>
      </c>
    </row>
    <row r="1228" spans="1:19" x14ac:dyDescent="0.2">
      <c r="A1228" s="10">
        <v>1</v>
      </c>
      <c r="B1228" s="11" t="str">
        <f>[1]Aseguradoras!B2</f>
        <v>El Comercio Paraguayo S.A. de Seguros</v>
      </c>
      <c r="C1228" s="12">
        <f>LOOKUP(425050100,[1]PlanCuentas!$A$2:$A$6092,[1]PlanCuentas!C$2:C$6092)</f>
        <v>1556779072</v>
      </c>
      <c r="D1228" s="13">
        <f t="shared" ref="D1228:D1259" si="60">SUM(C1228:C1228)</f>
        <v>1556779072</v>
      </c>
    </row>
    <row r="1229" spans="1:19" x14ac:dyDescent="0.2">
      <c r="A1229" s="10">
        <v>2</v>
      </c>
      <c r="B1229" s="11" t="str">
        <f>[1]Aseguradoras!B3</f>
        <v>La Rural S.A de Seguros</v>
      </c>
      <c r="C1229" s="12">
        <f>LOOKUP(425050100,[1]PlanCuentas!$A$2:$A$6092,[1]PlanCuentas!D$2:D$6092)</f>
        <v>1725247937</v>
      </c>
      <c r="D1229" s="13">
        <f t="shared" si="60"/>
        <v>1725247937</v>
      </c>
    </row>
    <row r="1230" spans="1:19" x14ac:dyDescent="0.2">
      <c r="A1230" s="10">
        <v>3</v>
      </c>
      <c r="B1230" s="11" t="str">
        <f>[1]Aseguradoras!B4</f>
        <v>La Paraguaya S.A de Seguros</v>
      </c>
      <c r="C1230" s="12">
        <f>LOOKUP(425050100,[1]PlanCuentas!$A$2:$A$6092,[1]PlanCuentas!E$2:E$6092)</f>
        <v>738438640</v>
      </c>
      <c r="D1230" s="13">
        <f t="shared" si="60"/>
        <v>738438640</v>
      </c>
    </row>
    <row r="1231" spans="1:19" x14ac:dyDescent="0.2">
      <c r="A1231" s="10">
        <v>4</v>
      </c>
      <c r="B1231" s="11" t="str">
        <f>[1]Aseguradoras!B5</f>
        <v>Seguros Generales S. A (SEGESA)</v>
      </c>
      <c r="C1231" s="12">
        <f>LOOKUP(425050100,[1]PlanCuentas!$A$2:$A$6092,[1]PlanCuentas!F$2:F$6092)</f>
        <v>283070555</v>
      </c>
      <c r="D1231" s="13">
        <f t="shared" si="60"/>
        <v>283070555</v>
      </c>
    </row>
    <row r="1232" spans="1:19" x14ac:dyDescent="0.2">
      <c r="A1232" s="10">
        <v>5</v>
      </c>
      <c r="B1232" s="11" t="str">
        <f>[1]Aseguradoras!B6</f>
        <v>Rumbos S.A de Seguros</v>
      </c>
      <c r="C1232" s="12">
        <f>LOOKUP(425050100,[1]PlanCuentas!$A$2:$A$6092,[1]PlanCuentas!G$2:G$6092)</f>
        <v>1216585571</v>
      </c>
      <c r="D1232" s="13">
        <f t="shared" si="60"/>
        <v>1216585571</v>
      </c>
    </row>
    <row r="1233" spans="1:4" x14ac:dyDescent="0.2">
      <c r="A1233" s="10">
        <v>6</v>
      </c>
      <c r="B1233" s="11" t="str">
        <f>[1]Aseguradoras!B7</f>
        <v>La Consolidada S.A de Seguros</v>
      </c>
      <c r="C1233" s="12">
        <f>LOOKUP(425050100,[1]PlanCuentas!$A$2:$A$6092,[1]PlanCuentas!H$2:H$6092)</f>
        <v>1762511016</v>
      </c>
      <c r="D1233" s="13">
        <f t="shared" si="60"/>
        <v>1762511016</v>
      </c>
    </row>
    <row r="1234" spans="1:4" x14ac:dyDescent="0.2">
      <c r="A1234" s="10">
        <v>7</v>
      </c>
      <c r="B1234" s="11" t="str">
        <f>[1]Aseguradoras!B8</f>
        <v>El Productor S.A de Seguros y Reaseguros</v>
      </c>
      <c r="C1234" s="12">
        <f>LOOKUP(425050100,[1]PlanCuentas!$A$2:$A$6092,[1]PlanCuentas!I$2:I$6092)</f>
        <v>359086370</v>
      </c>
      <c r="D1234" s="13">
        <f t="shared" si="60"/>
        <v>359086370</v>
      </c>
    </row>
    <row r="1235" spans="1:4" x14ac:dyDescent="0.2">
      <c r="A1235" s="10">
        <v>8</v>
      </c>
      <c r="B1235" s="11" t="str">
        <f>[1]Aseguradoras!B9</f>
        <v>Atalaya S.A de Seguros Generales</v>
      </c>
      <c r="C1235" s="12">
        <f>LOOKUP(425050100,[1]PlanCuentas!$A$2:$A$6092,[1]PlanCuentas!J$2:J$6092)</f>
        <v>153453835</v>
      </c>
      <c r="D1235" s="13">
        <f t="shared" si="60"/>
        <v>153453835</v>
      </c>
    </row>
    <row r="1236" spans="1:4" x14ac:dyDescent="0.2">
      <c r="A1236" s="10">
        <v>9</v>
      </c>
      <c r="B1236" s="11" t="str">
        <f>[1]Aseguradoras!B10</f>
        <v>La Independencia de Seguros S.A.</v>
      </c>
      <c r="C1236" s="12">
        <f>LOOKUP(425050100,[1]PlanCuentas!$A$2:$A$6092,[1]PlanCuentas!K$2:K$6092)</f>
        <v>37074201</v>
      </c>
      <c r="D1236" s="13">
        <f t="shared" si="60"/>
        <v>37074201</v>
      </c>
    </row>
    <row r="1237" spans="1:4" x14ac:dyDescent="0.2">
      <c r="A1237" s="10">
        <v>10</v>
      </c>
      <c r="B1237" s="11" t="str">
        <f>[1]Aseguradoras!B11</f>
        <v>Patria S.A de Seguros y Reaseguros</v>
      </c>
      <c r="C1237" s="12">
        <f>LOOKUP(425050100,[1]PlanCuentas!$A$2:$A$6092,[1]PlanCuentas!L$2:L$6092)</f>
        <v>69821046</v>
      </c>
      <c r="D1237" s="13">
        <f t="shared" si="60"/>
        <v>69821046</v>
      </c>
    </row>
    <row r="1238" spans="1:4" x14ac:dyDescent="0.2">
      <c r="A1238" s="10">
        <v>11</v>
      </c>
      <c r="B1238" s="11" t="str">
        <f>[1]Aseguradoras!B12</f>
        <v>Garantía S.A de Seguros y Reaseguros</v>
      </c>
      <c r="C1238" s="12">
        <f>LOOKUP(425050100,[1]PlanCuentas!$A$2:$A$6092,[1]PlanCuentas!M$2:M$6092)</f>
        <v>423562918</v>
      </c>
      <c r="D1238" s="13">
        <f t="shared" si="60"/>
        <v>423562918</v>
      </c>
    </row>
    <row r="1239" spans="1:4" x14ac:dyDescent="0.2">
      <c r="A1239" s="10">
        <v>12</v>
      </c>
      <c r="B1239" s="11" t="str">
        <f>[1]Aseguradoras!B13</f>
        <v>Aseguradora Paraguaya S.A.</v>
      </c>
      <c r="C1239" s="12">
        <f>LOOKUP(425050100,[1]PlanCuentas!$A$2:$A$6092,[1]PlanCuentas!N$2:N$6092)</f>
        <v>1612404395</v>
      </c>
      <c r="D1239" s="13">
        <f t="shared" si="60"/>
        <v>1612404395</v>
      </c>
    </row>
    <row r="1240" spans="1:4" x14ac:dyDescent="0.2">
      <c r="A1240" s="10">
        <v>13</v>
      </c>
      <c r="B1240" s="11" t="str">
        <f>[1]Aseguradoras!B14</f>
        <v>Fénix S.A de Seguros y Reaseguros</v>
      </c>
      <c r="C1240" s="12">
        <f>LOOKUP(425050100,[1]PlanCuentas!$A$2:$A$6092,[1]PlanCuentas!O$2:O$6092)</f>
        <v>1065921412</v>
      </c>
      <c r="D1240" s="13">
        <f t="shared" si="60"/>
        <v>1065921412</v>
      </c>
    </row>
    <row r="1241" spans="1:4" x14ac:dyDescent="0.2">
      <c r="A1241" s="10">
        <v>14</v>
      </c>
      <c r="B1241" s="11" t="str">
        <f>[1]Aseguradoras!B15</f>
        <v>Central S.A de Seguros</v>
      </c>
      <c r="C1241" s="12">
        <f>LOOKUP(425050100,[1]PlanCuentas!$A$2:$A$6092,[1]PlanCuentas!P$2:P$6092)</f>
        <v>266879513</v>
      </c>
      <c r="D1241" s="13">
        <f t="shared" si="60"/>
        <v>266879513</v>
      </c>
    </row>
    <row r="1242" spans="1:4" x14ac:dyDescent="0.2">
      <c r="A1242" s="10">
        <v>15</v>
      </c>
      <c r="B1242" s="11" t="str">
        <f>[1]Aseguradoras!B16</f>
        <v>Seguros Chaco S.A de Seguros y Reaseguros</v>
      </c>
      <c r="C1242" s="12">
        <f>LOOKUP(425050100,[1]PlanCuentas!$A$2:$A$6092,[1]PlanCuentas!Q$2:Q$6092)</f>
        <v>174967405</v>
      </c>
      <c r="D1242" s="13">
        <f t="shared" si="60"/>
        <v>174967405</v>
      </c>
    </row>
    <row r="1243" spans="1:4" x14ac:dyDescent="0.2">
      <c r="A1243" s="10">
        <v>16</v>
      </c>
      <c r="B1243" s="11" t="str">
        <f>[1]Aseguradoras!B17</f>
        <v>El Sol Del Paraguay Compañía de Seguros y Reaseguros S.A.</v>
      </c>
      <c r="C1243" s="12">
        <f>LOOKUP(425050100,[1]PlanCuentas!$A$2:$A$6092,[1]PlanCuentas!R$2:R$6092)</f>
        <v>227689565</v>
      </c>
      <c r="D1243" s="13">
        <f t="shared" si="60"/>
        <v>227689565</v>
      </c>
    </row>
    <row r="1244" spans="1:4" x14ac:dyDescent="0.2">
      <c r="A1244" s="10">
        <v>17</v>
      </c>
      <c r="B1244" s="11" t="str">
        <f>[1]Aseguradoras!B18</f>
        <v>Intercontinental de Seguros y Reaseguros S.A.</v>
      </c>
      <c r="C1244" s="12">
        <f>LOOKUP(425050100,[1]PlanCuentas!$A$2:$A$6092,[1]PlanCuentas!S$2:S$6092)</f>
        <v>132907989</v>
      </c>
      <c r="D1244" s="13">
        <f t="shared" si="60"/>
        <v>132907989</v>
      </c>
    </row>
    <row r="1245" spans="1:4" x14ac:dyDescent="0.2">
      <c r="A1245" s="10">
        <v>18</v>
      </c>
      <c r="B1245" s="11" t="str">
        <f>[1]Aseguradoras!B19</f>
        <v>Seguridad S.A Compañía de Seguros</v>
      </c>
      <c r="C1245" s="12">
        <f>LOOKUP(425050100,[1]PlanCuentas!$A$2:$A$6092,[1]PlanCuentas!T$2:T$6092)</f>
        <v>1112502023</v>
      </c>
      <c r="D1245" s="13">
        <f t="shared" si="60"/>
        <v>1112502023</v>
      </c>
    </row>
    <row r="1246" spans="1:4" x14ac:dyDescent="0.2">
      <c r="A1246" s="10">
        <v>19</v>
      </c>
      <c r="B1246" s="11" t="str">
        <f>[1]Aseguradoras!B20</f>
        <v>Universo de Seguros y Reaseguros S.A.</v>
      </c>
      <c r="C1246" s="12">
        <f>LOOKUP(425050100,[1]PlanCuentas!$A$2:$A$6092,[1]PlanCuentas!U$2:U$6092)</f>
        <v>0</v>
      </c>
      <c r="D1246" s="13">
        <f t="shared" si="60"/>
        <v>0</v>
      </c>
    </row>
    <row r="1247" spans="1:4" x14ac:dyDescent="0.2">
      <c r="A1247" s="10">
        <v>20</v>
      </c>
      <c r="B1247" s="11" t="str">
        <f>[1]Aseguradoras!B21</f>
        <v>Aseguradora Yacyreta S.A de Seguros y Reaseguros</v>
      </c>
      <c r="C1247" s="12">
        <f>LOOKUP(425050100,[1]PlanCuentas!$A$2:$A$6092,[1]PlanCuentas!V$2:V$6092)</f>
        <v>3672280</v>
      </c>
      <c r="D1247" s="13">
        <f t="shared" si="60"/>
        <v>3672280</v>
      </c>
    </row>
    <row r="1248" spans="1:4" x14ac:dyDescent="0.2">
      <c r="A1248" s="10">
        <v>21</v>
      </c>
      <c r="B1248" s="11" t="str">
        <f>[1]Aseguradoras!B22</f>
        <v>La Agricola S.A de Seguros y Reaseguros</v>
      </c>
      <c r="C1248" s="12">
        <f>LOOKUP(425050100,[1]PlanCuentas!$A$2:$A$6092,[1]PlanCuentas!W$2:W$6092)</f>
        <v>384301251</v>
      </c>
      <c r="D1248" s="13">
        <f t="shared" si="60"/>
        <v>384301251</v>
      </c>
    </row>
    <row r="1249" spans="1:17" x14ac:dyDescent="0.2">
      <c r="A1249" s="10">
        <v>22</v>
      </c>
      <c r="B1249" s="11" t="str">
        <f>[1]Aseguradoras!B23</f>
        <v>Grupo General de Seguros y Reaseguros S.A.</v>
      </c>
      <c r="C1249" s="12">
        <f>LOOKUP(425050100,[1]PlanCuentas!$A$2:$A$6092,[1]PlanCuentas!X$2:X$6092)</f>
        <v>667625201</v>
      </c>
      <c r="D1249" s="13">
        <f t="shared" si="60"/>
        <v>667625201</v>
      </c>
    </row>
    <row r="1250" spans="1:17" x14ac:dyDescent="0.2">
      <c r="A1250" s="10">
        <v>23</v>
      </c>
      <c r="B1250" s="11" t="str">
        <f>[1]Aseguradoras!B24</f>
        <v>Alfa S.A de Seguros y Reaseguros</v>
      </c>
      <c r="C1250" s="12">
        <f>LOOKUP(425050100,[1]PlanCuentas!$A$2:$A$6092,[1]PlanCuentas!Y$2:Y$6092)</f>
        <v>155723586</v>
      </c>
      <c r="D1250" s="13">
        <f t="shared" si="60"/>
        <v>155723586</v>
      </c>
    </row>
    <row r="1251" spans="1:17" x14ac:dyDescent="0.2">
      <c r="A1251" s="10">
        <v>24</v>
      </c>
      <c r="B1251" s="11" t="str">
        <f>[1]Aseguradoras!B25</f>
        <v>Cenit de Seguros S.A.</v>
      </c>
      <c r="C1251" s="12">
        <f>LOOKUP(425050100,[1]PlanCuentas!$A$2:$A$6092,[1]PlanCuentas!Z$2:Z$6092)</f>
        <v>173194838</v>
      </c>
      <c r="D1251" s="13">
        <f t="shared" si="60"/>
        <v>173194838</v>
      </c>
    </row>
    <row r="1252" spans="1:17" x14ac:dyDescent="0.2">
      <c r="A1252" s="10">
        <v>25</v>
      </c>
      <c r="B1252" s="11" t="str">
        <f>[1]Aseguradoras!B26</f>
        <v>La Meridional Paraguaya S.A de Seguros</v>
      </c>
      <c r="C1252" s="12">
        <f>LOOKUP(425050100,[1]PlanCuentas!$A$2:$A$6092,[1]PlanCuentas!AA$2:AA$6092)</f>
        <v>119477648</v>
      </c>
      <c r="D1252" s="23">
        <f t="shared" si="60"/>
        <v>119477648</v>
      </c>
    </row>
    <row r="1253" spans="1:17" x14ac:dyDescent="0.2">
      <c r="A1253" s="10">
        <v>26</v>
      </c>
      <c r="B1253" s="11" t="str">
        <f>[1]Aseguradoras!B27</f>
        <v>Aseguradora Del Este S.A de Seguros y Reaseguros</v>
      </c>
      <c r="C1253" s="12">
        <f>LOOKUP(425050100,[1]PlanCuentas!$A$2:$A$6092,[1]PlanCuentas!AB$2:AB$6092)</f>
        <v>627432578</v>
      </c>
      <c r="D1253" s="13">
        <f t="shared" si="60"/>
        <v>627432578</v>
      </c>
    </row>
    <row r="1254" spans="1:17" x14ac:dyDescent="0.2">
      <c r="A1254" s="10">
        <v>27</v>
      </c>
      <c r="B1254" s="11" t="str">
        <f>[1]Aseguradoras!B28</f>
        <v>Imperio S.A de Seguros y Reaseguros</v>
      </c>
      <c r="C1254" s="12">
        <f>LOOKUP(425050100,[1]PlanCuentas!$A$2:$A$6092,[1]PlanCuentas!AC$2:AC$6092)</f>
        <v>70358488</v>
      </c>
      <c r="D1254" s="13">
        <f t="shared" si="60"/>
        <v>70358488</v>
      </c>
    </row>
    <row r="1255" spans="1:17" x14ac:dyDescent="0.2">
      <c r="A1255" s="10">
        <v>28</v>
      </c>
      <c r="B1255" s="11" t="str">
        <f>[1]Aseguradoras!B29</f>
        <v>Regional S.A de Seguros y Reaseguros</v>
      </c>
      <c r="C1255" s="12">
        <f>LOOKUP(425050100,[1]PlanCuentas!$A$2:$A$6092,[1]PlanCuentas!AD$2:AD$6092)</f>
        <v>1028213942</v>
      </c>
      <c r="D1255" s="13">
        <f t="shared" si="60"/>
        <v>1028213942</v>
      </c>
    </row>
    <row r="1256" spans="1:17" s="37" customFormat="1" x14ac:dyDescent="0.2">
      <c r="A1256" s="10">
        <v>29</v>
      </c>
      <c r="B1256" s="11" t="str">
        <f>[1]Aseguradoras!B30</f>
        <v>Mapfre Paraguay Compañía de Seguros S.A.</v>
      </c>
      <c r="C1256" s="12">
        <f>LOOKUP(425050100,[1]PlanCuentas!$A$2:$A$6092,[1]PlanCuentas!AE$2:AE$6092)</f>
        <v>3337999613</v>
      </c>
      <c r="D1256" s="13">
        <f t="shared" si="60"/>
        <v>3337999613</v>
      </c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10">
        <v>30</v>
      </c>
      <c r="B1257" s="11" t="str">
        <f>[1]Aseguradoras!B31</f>
        <v>Aseguradora Tajy Propiedad Cooperativa S.A. de Seguros</v>
      </c>
      <c r="C1257" s="12">
        <f>LOOKUP(425050100,[1]PlanCuentas!$A$2:$A$6092,[1]PlanCuentas!AF$2:AF$6092)</f>
        <v>544827435</v>
      </c>
      <c r="D1257" s="13">
        <f t="shared" si="60"/>
        <v>544827435</v>
      </c>
    </row>
    <row r="1258" spans="1:17" x14ac:dyDescent="0.2">
      <c r="A1258" s="10">
        <v>31</v>
      </c>
      <c r="B1258" s="11" t="str">
        <f>[1]Aseguradoras!B32</f>
        <v>Aseguradora del Sur S.A. Seguros Generales - ASUR</v>
      </c>
      <c r="C1258" s="12">
        <f>LOOKUP(425050100,[1]PlanCuentas!$A$2:$A$6092,[1]PlanCuentas!AG$2:AG$6092)</f>
        <v>0</v>
      </c>
      <c r="D1258" s="13">
        <f t="shared" si="60"/>
        <v>0</v>
      </c>
    </row>
    <row r="1259" spans="1:17" x14ac:dyDescent="0.2">
      <c r="A1259" s="10">
        <v>32</v>
      </c>
      <c r="B1259" s="11" t="str">
        <f>[1]Aseguradoras!B33</f>
        <v>Panal Compañía De Seguros Generales S.A.</v>
      </c>
      <c r="C1259" s="12">
        <f>LOOKUP(425050100,[1]PlanCuentas!$A$2:$A$6092,[1]PlanCuentas!AH$2:AH$6092)</f>
        <v>122060265</v>
      </c>
      <c r="D1259" s="13">
        <f t="shared" si="60"/>
        <v>122060265</v>
      </c>
    </row>
    <row r="1260" spans="1:17" x14ac:dyDescent="0.2">
      <c r="A1260" s="14">
        <v>33</v>
      </c>
      <c r="B1260" s="19" t="str">
        <f>[1]Aseguradoras!B34</f>
        <v>Sancor Seguros del Paraguay S.A.</v>
      </c>
      <c r="C1260" s="12">
        <f>LOOKUP(425050100,[1]PlanCuentas!$A$2:$A$6092,[1]PlanCuentas!AI$2:AI$6092)</f>
        <v>3963454195</v>
      </c>
      <c r="D1260" s="13">
        <f>SUM(C1260:C1260)</f>
        <v>3963454195</v>
      </c>
    </row>
    <row r="1261" spans="1:17" x14ac:dyDescent="0.2">
      <c r="A1261" s="14"/>
      <c r="B1261" s="15" t="s">
        <v>18</v>
      </c>
      <c r="C1261" s="17">
        <f>SUBTOTAL(109,C1228:C1260)</f>
        <v>24117244783</v>
      </c>
      <c r="D1261" s="16">
        <f>SUBTOTAL(109,D1228:D1260)</f>
        <v>24117244783</v>
      </c>
    </row>
    <row r="1263" spans="1:17" ht="28.35" customHeight="1" x14ac:dyDescent="0.2">
      <c r="A1263" s="1" t="s">
        <v>78</v>
      </c>
      <c r="B1263" s="45" t="s">
        <v>79</v>
      </c>
      <c r="C1263" s="45"/>
      <c r="D1263" s="46"/>
      <c r="E1263" s="46"/>
      <c r="F1263" s="4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</row>
    <row r="1264" spans="1:17" ht="24" x14ac:dyDescent="0.2">
      <c r="A1264" s="7" t="s">
        <v>2</v>
      </c>
      <c r="B1264" s="8" t="s">
        <v>3</v>
      </c>
      <c r="C1264" s="9" t="s">
        <v>4</v>
      </c>
      <c r="D1264" s="9" t="s">
        <v>5</v>
      </c>
      <c r="E1264" s="9" t="s">
        <v>6</v>
      </c>
      <c r="F1264" s="9" t="s">
        <v>7</v>
      </c>
      <c r="G1264" s="9" t="s">
        <v>8</v>
      </c>
      <c r="H1264" s="9" t="s">
        <v>9</v>
      </c>
      <c r="I1264" s="9" t="s">
        <v>10</v>
      </c>
      <c r="J1264" s="9" t="s">
        <v>11</v>
      </c>
      <c r="K1264" s="9" t="s">
        <v>12</v>
      </c>
      <c r="L1264" s="9" t="s">
        <v>13</v>
      </c>
      <c r="M1264" s="9" t="s">
        <v>14</v>
      </c>
      <c r="N1264" s="9" t="s">
        <v>15</v>
      </c>
      <c r="O1264" s="9" t="s">
        <v>16</v>
      </c>
      <c r="P1264" s="8" t="s">
        <v>17</v>
      </c>
      <c r="Q1264" s="8" t="s">
        <v>18</v>
      </c>
    </row>
    <row r="1265" spans="1:28" x14ac:dyDescent="0.2">
      <c r="A1265" s="10">
        <v>1</v>
      </c>
      <c r="B1265" s="11" t="str">
        <f>[1]Aseguradoras!B2</f>
        <v>El Comercio Paraguayo S.A. de Seguros</v>
      </c>
      <c r="C1265" s="12">
        <f>LOOKUP(426010100,[1]PlanCuentas!$A$2:$A$6092,[1]PlanCuentas!C$2:C$6092)</f>
        <v>49662275</v>
      </c>
      <c r="D1265" s="12">
        <f>LOOKUP(426010200,[1]PlanCuentas!$A$2:$A$6092,[1]PlanCuentas!C$2:C$6092)</f>
        <v>107880257</v>
      </c>
      <c r="E1265" s="12">
        <f>LOOKUP(426010300,[1]PlanCuentas!$A$2:$A$6092,[1]PlanCuentas!C$2:C$6092)</f>
        <v>27602727</v>
      </c>
      <c r="F1265" s="12">
        <f>LOOKUP(426010400,[1]PlanCuentas!$A$2:$A$6092,[1]PlanCuentas!C$2:C$6092)</f>
        <v>370785288</v>
      </c>
      <c r="G1265" s="12">
        <f>LOOKUP(426010500,[1]PlanCuentas!$A$2:$A$6092,[1]PlanCuentas!C$2:C$6092)</f>
        <v>171924</v>
      </c>
      <c r="H1265" s="12">
        <f>LOOKUP(426010600,[1]PlanCuentas!$A$2:$A$6092,[1]PlanCuentas!C$2:C$6092)</f>
        <v>20899240</v>
      </c>
      <c r="I1265" s="12">
        <f>LOOKUP(426010700,[1]PlanCuentas!$A$2:$A$6092,[1]PlanCuentas!C$2:C$6092)</f>
        <v>1034967</v>
      </c>
      <c r="J1265" s="12">
        <f>LOOKUP(426010800,[1]PlanCuentas!$A$2:$A$6092,[1]PlanCuentas!C$2:C$6092)</f>
        <v>0</v>
      </c>
      <c r="K1265" s="12">
        <f>LOOKUP(426010900,[1]PlanCuentas!$A$2:$A$6092,[1]PlanCuentas!C$2:C$6092)</f>
        <v>3100902</v>
      </c>
      <c r="L1265" s="12">
        <f>LOOKUP(426011000,[1]PlanCuentas!$A$2:$A$6092,[1]PlanCuentas!C$2:C$6092)</f>
        <v>261835523</v>
      </c>
      <c r="M1265" s="12">
        <f>LOOKUP(426011100,[1]PlanCuentas!$A$2:$A$6092,[1]PlanCuentas!C$2:C$6092)</f>
        <v>205476</v>
      </c>
      <c r="N1265" s="12">
        <f>LOOKUP(426011200,[1]PlanCuentas!$A$2:$A$6092,[1]PlanCuentas!C$2:C$6092)</f>
        <v>40290159</v>
      </c>
      <c r="O1265" s="12">
        <f>LOOKUP(426011300,[1]PlanCuentas!$A$2:$A$6092,[1]PlanCuentas!C$2:C$6092)</f>
        <v>64398920</v>
      </c>
      <c r="P1265" s="12">
        <f>LOOKUP(426012000,[1]PlanCuentas!$A$2:$A$6092,[1]PlanCuentas!C$2:C$6092)</f>
        <v>39667072</v>
      </c>
      <c r="Q1265" s="13">
        <f t="shared" ref="Q1265:Q1296" si="61">SUM(C1265:P1265)</f>
        <v>987534730</v>
      </c>
    </row>
    <row r="1266" spans="1:28" x14ac:dyDescent="0.2">
      <c r="A1266" s="10">
        <v>2</v>
      </c>
      <c r="B1266" s="11" t="str">
        <f>[1]Aseguradoras!B3</f>
        <v>La Rural S.A de Seguros</v>
      </c>
      <c r="C1266" s="12">
        <f>LOOKUP(426010100,[1]PlanCuentas!$A$2:$A$6092,[1]PlanCuentas!D$2:D$6092)</f>
        <v>42963990</v>
      </c>
      <c r="D1266" s="12">
        <f>LOOKUP(426010200,[1]PlanCuentas!$A$2:$A$6092,[1]PlanCuentas!D$2:D$6092)</f>
        <v>207622858</v>
      </c>
      <c r="E1266" s="12">
        <f>LOOKUP(426010300,[1]PlanCuentas!$A$2:$A$6092,[1]PlanCuentas!D$2:D$6092)</f>
        <v>8377179</v>
      </c>
      <c r="F1266" s="12">
        <f>LOOKUP(426010400,[1]PlanCuentas!$A$2:$A$6092,[1]PlanCuentas!D$2:D$6092)</f>
        <v>11188641</v>
      </c>
      <c r="G1266" s="12">
        <f>LOOKUP(426010500,[1]PlanCuentas!$A$2:$A$6092,[1]PlanCuentas!D$2:D$6092)</f>
        <v>0</v>
      </c>
      <c r="H1266" s="12">
        <f>LOOKUP(426010600,[1]PlanCuentas!$A$2:$A$6092,[1]PlanCuentas!D$2:D$6092)</f>
        <v>13505336</v>
      </c>
      <c r="I1266" s="12">
        <f>LOOKUP(426010700,[1]PlanCuentas!$A$2:$A$6092,[1]PlanCuentas!D$2:D$6092)</f>
        <v>318502</v>
      </c>
      <c r="J1266" s="12">
        <f>LOOKUP(426010800,[1]PlanCuentas!$A$2:$A$6092,[1]PlanCuentas!D$2:D$6092)</f>
        <v>0</v>
      </c>
      <c r="K1266" s="12">
        <f>LOOKUP(426010900,[1]PlanCuentas!$A$2:$A$6092,[1]PlanCuentas!D$2:D$6092)</f>
        <v>18351616</v>
      </c>
      <c r="L1266" s="12">
        <f>LOOKUP(426011000,[1]PlanCuentas!$A$2:$A$6092,[1]PlanCuentas!D$2:D$6092)</f>
        <v>12846689</v>
      </c>
      <c r="M1266" s="12">
        <f>LOOKUP(426011100,[1]PlanCuentas!$A$2:$A$6092,[1]PlanCuentas!D$2:D$6092)</f>
        <v>1318056</v>
      </c>
      <c r="N1266" s="12">
        <f>LOOKUP(426011200,[1]PlanCuentas!$A$2:$A$6092,[1]PlanCuentas!D$2:D$6092)</f>
        <v>1805596</v>
      </c>
      <c r="O1266" s="12">
        <f>LOOKUP(426011300,[1]PlanCuentas!$A$2:$A$6092,[1]PlanCuentas!D$2:D$6092)</f>
        <v>34424215</v>
      </c>
      <c r="P1266" s="12">
        <f>LOOKUP(426012000,[1]PlanCuentas!$A$2:$A$6092,[1]PlanCuentas!D$2:D$6092)</f>
        <v>37338077</v>
      </c>
      <c r="Q1266" s="13">
        <f t="shared" si="61"/>
        <v>390060755</v>
      </c>
    </row>
    <row r="1267" spans="1:28" x14ac:dyDescent="0.2">
      <c r="A1267" s="10">
        <v>3</v>
      </c>
      <c r="B1267" s="11" t="str">
        <f>[1]Aseguradoras!B4</f>
        <v>La Paraguaya S.A de Seguros</v>
      </c>
      <c r="C1267" s="12">
        <f>LOOKUP(426010100,[1]PlanCuentas!$A$2:$A$6092,[1]PlanCuentas!E$2:E$6092)</f>
        <v>253488053</v>
      </c>
      <c r="D1267" s="12">
        <f>LOOKUP(426010200,[1]PlanCuentas!$A$2:$A$6092,[1]PlanCuentas!E$2:E$6092)</f>
        <v>18217388</v>
      </c>
      <c r="E1267" s="12">
        <f>LOOKUP(426010300,[1]PlanCuentas!$A$2:$A$6092,[1]PlanCuentas!E$2:E$6092)</f>
        <v>2962848</v>
      </c>
      <c r="F1267" s="12">
        <f>LOOKUP(426010400,[1]PlanCuentas!$A$2:$A$6092,[1]PlanCuentas!E$2:E$6092)</f>
        <v>71016301</v>
      </c>
      <c r="G1267" s="12">
        <f>LOOKUP(426010500,[1]PlanCuentas!$A$2:$A$6092,[1]PlanCuentas!E$2:E$6092)</f>
        <v>0</v>
      </c>
      <c r="H1267" s="12">
        <f>LOOKUP(426010600,[1]PlanCuentas!$A$2:$A$6092,[1]PlanCuentas!E$2:E$6092)</f>
        <v>1776957</v>
      </c>
      <c r="I1267" s="12">
        <f>LOOKUP(426010700,[1]PlanCuentas!$A$2:$A$6092,[1]PlanCuentas!E$2:E$6092)</f>
        <v>0</v>
      </c>
      <c r="J1267" s="12">
        <f>LOOKUP(426010800,[1]PlanCuentas!$A$2:$A$6092,[1]PlanCuentas!E$2:E$6092)</f>
        <v>0</v>
      </c>
      <c r="K1267" s="12">
        <f>LOOKUP(426010900,[1]PlanCuentas!$A$2:$A$6092,[1]PlanCuentas!E$2:E$6092)</f>
        <v>1162350</v>
      </c>
      <c r="L1267" s="12">
        <f>LOOKUP(426011000,[1]PlanCuentas!$A$2:$A$6092,[1]PlanCuentas!E$2:E$6092)</f>
        <v>6753692</v>
      </c>
      <c r="M1267" s="12">
        <f>LOOKUP(426011100,[1]PlanCuentas!$A$2:$A$6092,[1]PlanCuentas!E$2:E$6092)</f>
        <v>1993471</v>
      </c>
      <c r="N1267" s="12">
        <f>LOOKUP(426011200,[1]PlanCuentas!$A$2:$A$6092,[1]PlanCuentas!E$2:E$6092)</f>
        <v>2507089</v>
      </c>
      <c r="O1267" s="12">
        <f>LOOKUP(426011300,[1]PlanCuentas!$A$2:$A$6092,[1]PlanCuentas!E$2:E$6092)</f>
        <v>6041023</v>
      </c>
      <c r="P1267" s="12">
        <f>LOOKUP(426012000,[1]PlanCuentas!$A$2:$A$6092,[1]PlanCuentas!E$2:E$6092)</f>
        <v>106167</v>
      </c>
      <c r="Q1267" s="13">
        <f t="shared" si="61"/>
        <v>366025339</v>
      </c>
    </row>
    <row r="1268" spans="1:28" x14ac:dyDescent="0.2">
      <c r="A1268" s="10">
        <v>4</v>
      </c>
      <c r="B1268" s="11" t="str">
        <f>[1]Aseguradoras!B5</f>
        <v>Seguros Generales S. A (SEGESA)</v>
      </c>
      <c r="C1268" s="12">
        <f>LOOKUP(426010100,[1]PlanCuentas!$A$2:$A$6092,[1]PlanCuentas!F$2:F$6092)</f>
        <v>34780702</v>
      </c>
      <c r="D1268" s="12">
        <f>LOOKUP(426010200,[1]PlanCuentas!$A$2:$A$6092,[1]PlanCuentas!F$2:F$6092)</f>
        <v>14027139</v>
      </c>
      <c r="E1268" s="12">
        <f>LOOKUP(426010300,[1]PlanCuentas!$A$2:$A$6092,[1]PlanCuentas!F$2:F$6092)</f>
        <v>1183366</v>
      </c>
      <c r="F1268" s="12">
        <f>LOOKUP(426010400,[1]PlanCuentas!$A$2:$A$6092,[1]PlanCuentas!F$2:F$6092)</f>
        <v>10460159</v>
      </c>
      <c r="G1268" s="12">
        <f>LOOKUP(426010500,[1]PlanCuentas!$A$2:$A$6092,[1]PlanCuentas!F$2:F$6092)</f>
        <v>171924</v>
      </c>
      <c r="H1268" s="12">
        <f>LOOKUP(426010600,[1]PlanCuentas!$A$2:$A$6092,[1]PlanCuentas!F$2:F$6092)</f>
        <v>1737231</v>
      </c>
      <c r="I1268" s="12">
        <f>LOOKUP(426010700,[1]PlanCuentas!$A$2:$A$6092,[1]PlanCuentas!F$2:F$6092)</f>
        <v>66627</v>
      </c>
      <c r="J1268" s="12">
        <f>LOOKUP(426010800,[1]PlanCuentas!$A$2:$A$6092,[1]PlanCuentas!F$2:F$6092)</f>
        <v>0</v>
      </c>
      <c r="K1268" s="12">
        <f>LOOKUP(426010900,[1]PlanCuentas!$A$2:$A$6092,[1]PlanCuentas!F$2:F$6092)</f>
        <v>0</v>
      </c>
      <c r="L1268" s="12">
        <f>LOOKUP(426011000,[1]PlanCuentas!$A$2:$A$6092,[1]PlanCuentas!F$2:F$6092)</f>
        <v>9074161</v>
      </c>
      <c r="M1268" s="12">
        <f>LOOKUP(426011100,[1]PlanCuentas!$A$2:$A$6092,[1]PlanCuentas!F$2:F$6092)</f>
        <v>0</v>
      </c>
      <c r="N1268" s="12">
        <f>LOOKUP(426011200,[1]PlanCuentas!$A$2:$A$6092,[1]PlanCuentas!F$2:F$6092)</f>
        <v>253757</v>
      </c>
      <c r="O1268" s="12">
        <f>LOOKUP(426011300,[1]PlanCuentas!$A$2:$A$6092,[1]PlanCuentas!F$2:F$6092)</f>
        <v>676093</v>
      </c>
      <c r="P1268" s="12">
        <f>LOOKUP(426012000,[1]PlanCuentas!$A$2:$A$6092,[1]PlanCuentas!F$2:F$6092)</f>
        <v>1679229</v>
      </c>
      <c r="Q1268" s="13">
        <f t="shared" si="61"/>
        <v>74110388</v>
      </c>
    </row>
    <row r="1269" spans="1:28" x14ac:dyDescent="0.2">
      <c r="A1269" s="10">
        <v>5</v>
      </c>
      <c r="B1269" s="11" t="str">
        <f>[1]Aseguradoras!B6</f>
        <v>Rumbos S.A de Seguros</v>
      </c>
      <c r="C1269" s="12">
        <f>LOOKUP(426010100,[1]PlanCuentas!$A$2:$A$6092,[1]PlanCuentas!G$2:G$6092)</f>
        <v>14699274</v>
      </c>
      <c r="D1269" s="12">
        <f>LOOKUP(426010200,[1]PlanCuentas!$A$2:$A$6092,[1]PlanCuentas!G$2:G$6092)</f>
        <v>16931819</v>
      </c>
      <c r="E1269" s="12">
        <f>LOOKUP(426010300,[1]PlanCuentas!$A$2:$A$6092,[1]PlanCuentas!G$2:G$6092)</f>
        <v>359587</v>
      </c>
      <c r="F1269" s="12">
        <f>LOOKUP(426010400,[1]PlanCuentas!$A$2:$A$6092,[1]PlanCuentas!G$2:G$6092)</f>
        <v>105007044</v>
      </c>
      <c r="G1269" s="12">
        <f>LOOKUP(426010500,[1]PlanCuentas!$A$2:$A$6092,[1]PlanCuentas!G$2:G$6092)</f>
        <v>10823072</v>
      </c>
      <c r="H1269" s="12">
        <f>LOOKUP(426010600,[1]PlanCuentas!$A$2:$A$6092,[1]PlanCuentas!G$2:G$6092)</f>
        <v>14813275</v>
      </c>
      <c r="I1269" s="12">
        <f>LOOKUP(426010700,[1]PlanCuentas!$A$2:$A$6092,[1]PlanCuentas!G$2:G$6092)</f>
        <v>491004</v>
      </c>
      <c r="J1269" s="12">
        <f>LOOKUP(426010800,[1]PlanCuentas!$A$2:$A$6092,[1]PlanCuentas!G$2:G$6092)</f>
        <v>0</v>
      </c>
      <c r="K1269" s="12">
        <f>LOOKUP(426010900,[1]PlanCuentas!$A$2:$A$6092,[1]PlanCuentas!G$2:G$6092)</f>
        <v>1560000</v>
      </c>
      <c r="L1269" s="12">
        <f>LOOKUP(426011000,[1]PlanCuentas!$A$2:$A$6092,[1]PlanCuentas!G$2:G$6092)</f>
        <v>12961994</v>
      </c>
      <c r="M1269" s="12">
        <f>LOOKUP(426011100,[1]PlanCuentas!$A$2:$A$6092,[1]PlanCuentas!G$2:G$6092)</f>
        <v>137562</v>
      </c>
      <c r="N1269" s="12">
        <f>LOOKUP(426011200,[1]PlanCuentas!$A$2:$A$6092,[1]PlanCuentas!G$2:G$6092)</f>
        <v>1756880</v>
      </c>
      <c r="O1269" s="12">
        <f>LOOKUP(426011300,[1]PlanCuentas!$A$2:$A$6092,[1]PlanCuentas!G$2:G$6092)</f>
        <v>84431868</v>
      </c>
      <c r="P1269" s="12">
        <f>LOOKUP(426012000,[1]PlanCuentas!$A$2:$A$6092,[1]PlanCuentas!G$2:G$6092)</f>
        <v>1031339</v>
      </c>
      <c r="Q1269" s="13">
        <f t="shared" si="61"/>
        <v>265004718</v>
      </c>
    </row>
    <row r="1270" spans="1:28" x14ac:dyDescent="0.2">
      <c r="A1270" s="10">
        <v>6</v>
      </c>
      <c r="B1270" s="11" t="str">
        <f>[1]Aseguradoras!B7</f>
        <v>La Consolidada S.A de Seguros</v>
      </c>
      <c r="C1270" s="12">
        <f>LOOKUP(426010100,[1]PlanCuentas!$A$2:$A$6092,[1]PlanCuentas!H$2:H$6092)</f>
        <v>28137011</v>
      </c>
      <c r="D1270" s="12">
        <f>LOOKUP(426010200,[1]PlanCuentas!$A$2:$A$6092,[1]PlanCuentas!H$2:H$6092)</f>
        <v>55275827</v>
      </c>
      <c r="E1270" s="12">
        <f>LOOKUP(426010300,[1]PlanCuentas!$A$2:$A$6092,[1]PlanCuentas!H$2:H$6092)</f>
        <v>8210513</v>
      </c>
      <c r="F1270" s="12">
        <f>LOOKUP(426010400,[1]PlanCuentas!$A$2:$A$6092,[1]PlanCuentas!H$2:H$6092)</f>
        <v>1007298473</v>
      </c>
      <c r="G1270" s="12">
        <f>LOOKUP(426010500,[1]PlanCuentas!$A$2:$A$6092,[1]PlanCuentas!H$2:H$6092)</f>
        <v>171924</v>
      </c>
      <c r="H1270" s="12">
        <f>LOOKUP(426010600,[1]PlanCuentas!$A$2:$A$6092,[1]PlanCuentas!H$2:H$6092)</f>
        <v>24152784</v>
      </c>
      <c r="I1270" s="12">
        <f>LOOKUP(426010700,[1]PlanCuentas!$A$2:$A$6092,[1]PlanCuentas!H$2:H$6092)</f>
        <v>5260024</v>
      </c>
      <c r="J1270" s="12">
        <f>LOOKUP(426010800,[1]PlanCuentas!$A$2:$A$6092,[1]PlanCuentas!H$2:H$6092)</f>
        <v>0</v>
      </c>
      <c r="K1270" s="12">
        <f>LOOKUP(426010900,[1]PlanCuentas!$A$2:$A$6092,[1]PlanCuentas!H$2:H$6092)</f>
        <v>50156383</v>
      </c>
      <c r="L1270" s="12">
        <f>LOOKUP(426011000,[1]PlanCuentas!$A$2:$A$6092,[1]PlanCuentas!H$2:H$6092)</f>
        <v>64878157</v>
      </c>
      <c r="M1270" s="12">
        <f>LOOKUP(426011100,[1]PlanCuentas!$A$2:$A$6092,[1]PlanCuentas!H$2:H$6092)</f>
        <v>752307</v>
      </c>
      <c r="N1270" s="12">
        <f>LOOKUP(426011200,[1]PlanCuentas!$A$2:$A$6092,[1]PlanCuentas!H$2:H$6092)</f>
        <v>16230454</v>
      </c>
      <c r="O1270" s="12">
        <f>LOOKUP(426011300,[1]PlanCuentas!$A$2:$A$6092,[1]PlanCuentas!H$2:H$6092)</f>
        <v>65805509</v>
      </c>
      <c r="P1270" s="12">
        <f>LOOKUP(426012000,[1]PlanCuentas!$A$2:$A$6092,[1]PlanCuentas!H$2:H$6092)</f>
        <v>38140528</v>
      </c>
      <c r="Q1270" s="13">
        <f t="shared" si="61"/>
        <v>1364469894</v>
      </c>
    </row>
    <row r="1271" spans="1:28" x14ac:dyDescent="0.2">
      <c r="A1271" s="10">
        <v>7</v>
      </c>
      <c r="B1271" s="11" t="str">
        <f>[1]Aseguradoras!B8</f>
        <v>El Productor S.A de Seguros y Reaseguros</v>
      </c>
      <c r="C1271" s="12">
        <f>LOOKUP(426010100,[1]PlanCuentas!$A$2:$A$6092,[1]PlanCuentas!I$2:I$6092)</f>
        <v>13795537</v>
      </c>
      <c r="D1271" s="12">
        <f>LOOKUP(426010200,[1]PlanCuentas!$A$2:$A$6092,[1]PlanCuentas!I$2:I$6092)</f>
        <v>6398057</v>
      </c>
      <c r="E1271" s="12">
        <f>LOOKUP(426010300,[1]PlanCuentas!$A$2:$A$6092,[1]PlanCuentas!I$2:I$6092)</f>
        <v>3330737</v>
      </c>
      <c r="F1271" s="12">
        <f>LOOKUP(426010400,[1]PlanCuentas!$A$2:$A$6092,[1]PlanCuentas!I$2:I$6092)</f>
        <v>195279480</v>
      </c>
      <c r="G1271" s="12">
        <f>LOOKUP(426010500,[1]PlanCuentas!$A$2:$A$6092,[1]PlanCuentas!I$2:I$6092)</f>
        <v>171924</v>
      </c>
      <c r="H1271" s="12">
        <f>LOOKUP(426010600,[1]PlanCuentas!$A$2:$A$6092,[1]PlanCuentas!I$2:I$6092)</f>
        <v>20838802</v>
      </c>
      <c r="I1271" s="12">
        <f>LOOKUP(426010700,[1]PlanCuentas!$A$2:$A$6092,[1]PlanCuentas!I$2:I$6092)</f>
        <v>126804</v>
      </c>
      <c r="J1271" s="12">
        <f>LOOKUP(426010800,[1]PlanCuentas!$A$2:$A$6092,[1]PlanCuentas!I$2:I$6092)</f>
        <v>0</v>
      </c>
      <c r="K1271" s="12">
        <f>LOOKUP(426010900,[1]PlanCuentas!$A$2:$A$6092,[1]PlanCuentas!I$2:I$6092)</f>
        <v>4035657</v>
      </c>
      <c r="L1271" s="12">
        <f>LOOKUP(426011000,[1]PlanCuentas!$A$2:$A$6092,[1]PlanCuentas!I$2:I$6092)</f>
        <v>1289797</v>
      </c>
      <c r="M1271" s="12">
        <f>LOOKUP(426011100,[1]PlanCuentas!$A$2:$A$6092,[1]PlanCuentas!I$2:I$6092)</f>
        <v>0</v>
      </c>
      <c r="N1271" s="12">
        <f>LOOKUP(426011200,[1]PlanCuentas!$A$2:$A$6092,[1]PlanCuentas!I$2:I$6092)</f>
        <v>0</v>
      </c>
      <c r="O1271" s="12">
        <f>LOOKUP(426011300,[1]PlanCuentas!$A$2:$A$6092,[1]PlanCuentas!I$2:I$6092)</f>
        <v>0</v>
      </c>
      <c r="P1271" s="12">
        <f>LOOKUP(426012000,[1]PlanCuentas!$A$2:$A$6092,[1]PlanCuentas!I$2:I$6092)</f>
        <v>0</v>
      </c>
      <c r="Q1271" s="13">
        <f t="shared" si="61"/>
        <v>245266795</v>
      </c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</row>
    <row r="1272" spans="1:28" x14ac:dyDescent="0.2">
      <c r="A1272" s="10">
        <v>8</v>
      </c>
      <c r="B1272" s="11" t="str">
        <f>[1]Aseguradoras!B9</f>
        <v>Atalaya S.A de Seguros Generales</v>
      </c>
      <c r="C1272" s="12">
        <f>LOOKUP(426010100,[1]PlanCuentas!$A$2:$A$6092,[1]PlanCuentas!J$2:J$6092)</f>
        <v>136662053</v>
      </c>
      <c r="D1272" s="12">
        <f>LOOKUP(426010200,[1]PlanCuentas!$A$2:$A$6092,[1]PlanCuentas!J$2:J$6092)</f>
        <v>8068354</v>
      </c>
      <c r="E1272" s="12">
        <f>LOOKUP(426010300,[1]PlanCuentas!$A$2:$A$6092,[1]PlanCuentas!J$2:J$6092)</f>
        <v>5049555</v>
      </c>
      <c r="F1272" s="12">
        <f>LOOKUP(426010400,[1]PlanCuentas!$A$2:$A$6092,[1]PlanCuentas!J$2:J$6092)</f>
        <v>161370227</v>
      </c>
      <c r="G1272" s="12">
        <f>LOOKUP(426010500,[1]PlanCuentas!$A$2:$A$6092,[1]PlanCuentas!J$2:J$6092)</f>
        <v>171924</v>
      </c>
      <c r="H1272" s="12">
        <f>LOOKUP(426010600,[1]PlanCuentas!$A$2:$A$6092,[1]PlanCuentas!J$2:J$6092)</f>
        <v>28551435</v>
      </c>
      <c r="I1272" s="12">
        <f>LOOKUP(426010700,[1]PlanCuentas!$A$2:$A$6092,[1]PlanCuentas!J$2:J$6092)</f>
        <v>516377</v>
      </c>
      <c r="J1272" s="12">
        <f>LOOKUP(426010800,[1]PlanCuentas!$A$2:$A$6092,[1]PlanCuentas!J$2:J$6092)</f>
        <v>0</v>
      </c>
      <c r="K1272" s="12">
        <f>LOOKUP(426010900,[1]PlanCuentas!$A$2:$A$6092,[1]PlanCuentas!J$2:J$6092)</f>
        <v>25934</v>
      </c>
      <c r="L1272" s="12">
        <f>LOOKUP(426011000,[1]PlanCuentas!$A$2:$A$6092,[1]PlanCuentas!J$2:J$6092)</f>
        <v>5923578</v>
      </c>
      <c r="M1272" s="12">
        <f>LOOKUP(426011100,[1]PlanCuentas!$A$2:$A$6092,[1]PlanCuentas!J$2:J$6092)</f>
        <v>0</v>
      </c>
      <c r="N1272" s="12">
        <f>LOOKUP(426011200,[1]PlanCuentas!$A$2:$A$6092,[1]PlanCuentas!J$2:J$6092)</f>
        <v>593570</v>
      </c>
      <c r="O1272" s="12">
        <f>LOOKUP(426011300,[1]PlanCuentas!$A$2:$A$6092,[1]PlanCuentas!J$2:J$6092)</f>
        <v>1018346</v>
      </c>
      <c r="P1272" s="12">
        <f>LOOKUP(426012000,[1]PlanCuentas!$A$2:$A$6092,[1]PlanCuentas!J$2:J$6092)</f>
        <v>0</v>
      </c>
      <c r="Q1272" s="13">
        <f t="shared" si="61"/>
        <v>347951353</v>
      </c>
    </row>
    <row r="1273" spans="1:28" x14ac:dyDescent="0.2">
      <c r="A1273" s="10">
        <v>9</v>
      </c>
      <c r="B1273" s="11" t="str">
        <f>[1]Aseguradoras!B10</f>
        <v>La Independencia de Seguros S.A.</v>
      </c>
      <c r="C1273" s="12">
        <f>LOOKUP(426010100,[1]PlanCuentas!$A$2:$A$6092,[1]PlanCuentas!K$2:K$6092)</f>
        <v>5817433</v>
      </c>
      <c r="D1273" s="12">
        <f>LOOKUP(426010200,[1]PlanCuentas!$A$2:$A$6092,[1]PlanCuentas!K$2:K$6092)</f>
        <v>0</v>
      </c>
      <c r="E1273" s="12">
        <f>LOOKUP(426010300,[1]PlanCuentas!$A$2:$A$6092,[1]PlanCuentas!K$2:K$6092)</f>
        <v>0</v>
      </c>
      <c r="F1273" s="12">
        <f>LOOKUP(426010400,[1]PlanCuentas!$A$2:$A$6092,[1]PlanCuentas!K$2:K$6092)</f>
        <v>6332581</v>
      </c>
      <c r="G1273" s="12">
        <f>LOOKUP(426010500,[1]PlanCuentas!$A$2:$A$6092,[1]PlanCuentas!K$2:K$6092)</f>
        <v>171924</v>
      </c>
      <c r="H1273" s="12">
        <f>LOOKUP(426010600,[1]PlanCuentas!$A$2:$A$6092,[1]PlanCuentas!K$2:K$6092)</f>
        <v>2783118</v>
      </c>
      <c r="I1273" s="12">
        <f>LOOKUP(426010700,[1]PlanCuentas!$A$2:$A$6092,[1]PlanCuentas!K$2:K$6092)</f>
        <v>251481</v>
      </c>
      <c r="J1273" s="12">
        <f>LOOKUP(426010800,[1]PlanCuentas!$A$2:$A$6092,[1]PlanCuentas!K$2:K$6092)</f>
        <v>0</v>
      </c>
      <c r="K1273" s="12">
        <f>LOOKUP(426010900,[1]PlanCuentas!$A$2:$A$6092,[1]PlanCuentas!K$2:K$6092)</f>
        <v>399965</v>
      </c>
      <c r="L1273" s="12">
        <f>LOOKUP(426011000,[1]PlanCuentas!$A$2:$A$6092,[1]PlanCuentas!K$2:K$6092)</f>
        <v>8985012</v>
      </c>
      <c r="M1273" s="12">
        <f>LOOKUP(426011100,[1]PlanCuentas!$A$2:$A$6092,[1]PlanCuentas!K$2:K$6092)</f>
        <v>0</v>
      </c>
      <c r="N1273" s="12">
        <f>LOOKUP(426011200,[1]PlanCuentas!$A$2:$A$6092,[1]PlanCuentas!K$2:K$6092)</f>
        <v>602461</v>
      </c>
      <c r="O1273" s="12">
        <f>LOOKUP(426011300,[1]PlanCuentas!$A$2:$A$6092,[1]PlanCuentas!K$2:K$6092)</f>
        <v>0</v>
      </c>
      <c r="P1273" s="12">
        <f>LOOKUP(426012000,[1]PlanCuentas!$A$2:$A$6092,[1]PlanCuentas!K$2:K$6092)</f>
        <v>108273324</v>
      </c>
      <c r="Q1273" s="13">
        <f t="shared" si="61"/>
        <v>133617299</v>
      </c>
    </row>
    <row r="1274" spans="1:28" x14ac:dyDescent="0.2">
      <c r="A1274" s="10">
        <v>10</v>
      </c>
      <c r="B1274" s="11" t="str">
        <f>[1]Aseguradoras!B11</f>
        <v>Patria S.A de Seguros y Reaseguros</v>
      </c>
      <c r="C1274" s="12">
        <f>LOOKUP(426010100,[1]PlanCuentas!$A$2:$A$6092,[1]PlanCuentas!L$2:L$6092)</f>
        <v>1327016</v>
      </c>
      <c r="D1274" s="12">
        <f>LOOKUP(426010200,[1]PlanCuentas!$A$2:$A$6092,[1]PlanCuentas!L$2:L$6092)</f>
        <v>136218</v>
      </c>
      <c r="E1274" s="12">
        <f>LOOKUP(426010300,[1]PlanCuentas!$A$2:$A$6092,[1]PlanCuentas!L$2:L$6092)</f>
        <v>198646</v>
      </c>
      <c r="F1274" s="12">
        <f>LOOKUP(426010400,[1]PlanCuentas!$A$2:$A$6092,[1]PlanCuentas!L$2:L$6092)</f>
        <v>2462783</v>
      </c>
      <c r="G1274" s="12">
        <f>LOOKUP(426010500,[1]PlanCuentas!$A$2:$A$6092,[1]PlanCuentas!L$2:L$6092)</f>
        <v>171924</v>
      </c>
      <c r="H1274" s="12">
        <f>LOOKUP(426010600,[1]PlanCuentas!$A$2:$A$6092,[1]PlanCuentas!L$2:L$6092)</f>
        <v>635753</v>
      </c>
      <c r="I1274" s="12">
        <f>LOOKUP(426010700,[1]PlanCuentas!$A$2:$A$6092,[1]PlanCuentas!L$2:L$6092)</f>
        <v>6278</v>
      </c>
      <c r="J1274" s="12">
        <f>LOOKUP(426010800,[1]PlanCuentas!$A$2:$A$6092,[1]PlanCuentas!L$2:L$6092)</f>
        <v>0</v>
      </c>
      <c r="K1274" s="12">
        <f>LOOKUP(426010900,[1]PlanCuentas!$A$2:$A$6092,[1]PlanCuentas!L$2:L$6092)</f>
        <v>0</v>
      </c>
      <c r="L1274" s="12">
        <f>LOOKUP(426011000,[1]PlanCuentas!$A$2:$A$6092,[1]PlanCuentas!L$2:L$6092)</f>
        <v>9033308</v>
      </c>
      <c r="M1274" s="12">
        <f>LOOKUP(426011100,[1]PlanCuentas!$A$2:$A$6092,[1]PlanCuentas!L$2:L$6092)</f>
        <v>0</v>
      </c>
      <c r="N1274" s="12">
        <f>LOOKUP(426011200,[1]PlanCuentas!$A$2:$A$6092,[1]PlanCuentas!L$2:L$6092)</f>
        <v>20027</v>
      </c>
      <c r="O1274" s="12">
        <f>LOOKUP(426011300,[1]PlanCuentas!$A$2:$A$6092,[1]PlanCuentas!L$2:L$6092)</f>
        <v>222269</v>
      </c>
      <c r="P1274" s="12">
        <f>LOOKUP(426012000,[1]PlanCuentas!$A$2:$A$6092,[1]PlanCuentas!L$2:L$6092)</f>
        <v>12693799</v>
      </c>
      <c r="Q1274" s="13">
        <f t="shared" si="61"/>
        <v>26908021</v>
      </c>
    </row>
    <row r="1275" spans="1:28" x14ac:dyDescent="0.2">
      <c r="A1275" s="10">
        <v>11</v>
      </c>
      <c r="B1275" s="11" t="str">
        <f>[1]Aseguradoras!B12</f>
        <v>Garantía S.A de Seguros y Reaseguros</v>
      </c>
      <c r="C1275" s="12">
        <f>LOOKUP(426010100,[1]PlanCuentas!$A$2:$A$6092,[1]PlanCuentas!M$2:M$6092)</f>
        <v>1794448</v>
      </c>
      <c r="D1275" s="12">
        <f>LOOKUP(426010200,[1]PlanCuentas!$A$2:$A$6092,[1]PlanCuentas!M$2:M$6092)</f>
        <v>3357203</v>
      </c>
      <c r="E1275" s="12">
        <f>LOOKUP(426010300,[1]PlanCuentas!$A$2:$A$6092,[1]PlanCuentas!M$2:M$6092)</f>
        <v>0</v>
      </c>
      <c r="F1275" s="12">
        <f>LOOKUP(426010400,[1]PlanCuentas!$A$2:$A$6092,[1]PlanCuentas!M$2:M$6092)</f>
        <v>56340432</v>
      </c>
      <c r="G1275" s="12">
        <f>LOOKUP(426010500,[1]PlanCuentas!$A$2:$A$6092,[1]PlanCuentas!M$2:M$6092)</f>
        <v>171924</v>
      </c>
      <c r="H1275" s="12">
        <f>LOOKUP(426010600,[1]PlanCuentas!$A$2:$A$6092,[1]PlanCuentas!M$2:M$6092)</f>
        <v>1017879</v>
      </c>
      <c r="I1275" s="12">
        <f>LOOKUP(426010700,[1]PlanCuentas!$A$2:$A$6092,[1]PlanCuentas!M$2:M$6092)</f>
        <v>1510803</v>
      </c>
      <c r="J1275" s="12">
        <f>LOOKUP(426010800,[1]PlanCuentas!$A$2:$A$6092,[1]PlanCuentas!M$2:M$6092)</f>
        <v>120687023</v>
      </c>
      <c r="K1275" s="12">
        <f>LOOKUP(426010900,[1]PlanCuentas!$A$2:$A$6092,[1]PlanCuentas!M$2:M$6092)</f>
        <v>0</v>
      </c>
      <c r="L1275" s="12">
        <f>LOOKUP(426011000,[1]PlanCuentas!$A$2:$A$6092,[1]PlanCuentas!M$2:M$6092)</f>
        <v>13124210</v>
      </c>
      <c r="M1275" s="12">
        <f>LOOKUP(426011100,[1]PlanCuentas!$A$2:$A$6092,[1]PlanCuentas!M$2:M$6092)</f>
        <v>0</v>
      </c>
      <c r="N1275" s="12">
        <f>LOOKUP(426011200,[1]PlanCuentas!$A$2:$A$6092,[1]PlanCuentas!M$2:M$6092)</f>
        <v>51027</v>
      </c>
      <c r="O1275" s="12">
        <f>LOOKUP(426011300,[1]PlanCuentas!$A$2:$A$6092,[1]PlanCuentas!M$2:M$6092)</f>
        <v>1085346</v>
      </c>
      <c r="P1275" s="12">
        <f>LOOKUP(426012000,[1]PlanCuentas!$A$2:$A$6092,[1]PlanCuentas!M$2:M$6092)</f>
        <v>0</v>
      </c>
      <c r="Q1275" s="13">
        <f t="shared" si="61"/>
        <v>199140295</v>
      </c>
    </row>
    <row r="1276" spans="1:28" x14ac:dyDescent="0.2">
      <c r="A1276" s="10">
        <v>12</v>
      </c>
      <c r="B1276" s="11" t="str">
        <f>[1]Aseguradoras!B13</f>
        <v>Aseguradora Paraguaya S.A.</v>
      </c>
      <c r="C1276" s="12">
        <f>LOOKUP(426010100,[1]PlanCuentas!$A$2:$A$6092,[1]PlanCuentas!N$2:N$6092)</f>
        <v>76475334</v>
      </c>
      <c r="D1276" s="12">
        <f>LOOKUP(426010200,[1]PlanCuentas!$A$2:$A$6092,[1]PlanCuentas!N$2:N$6092)</f>
        <v>14058756</v>
      </c>
      <c r="E1276" s="12">
        <f>LOOKUP(426010300,[1]PlanCuentas!$A$2:$A$6092,[1]PlanCuentas!N$2:N$6092)</f>
        <v>23593511</v>
      </c>
      <c r="F1276" s="12">
        <f>LOOKUP(426010400,[1]PlanCuentas!$A$2:$A$6092,[1]PlanCuentas!N$2:N$6092)</f>
        <v>69184587</v>
      </c>
      <c r="G1276" s="12">
        <f>LOOKUP(426010500,[1]PlanCuentas!$A$2:$A$6092,[1]PlanCuentas!N$2:N$6092)</f>
        <v>0</v>
      </c>
      <c r="H1276" s="12">
        <f>LOOKUP(426010600,[1]PlanCuentas!$A$2:$A$6092,[1]PlanCuentas!N$2:N$6092)</f>
        <v>31495691</v>
      </c>
      <c r="I1276" s="12">
        <f>LOOKUP(426010700,[1]PlanCuentas!$A$2:$A$6092,[1]PlanCuentas!N$2:N$6092)</f>
        <v>1964813</v>
      </c>
      <c r="J1276" s="12">
        <f>LOOKUP(426010800,[1]PlanCuentas!$A$2:$A$6092,[1]PlanCuentas!N$2:N$6092)</f>
        <v>129968748</v>
      </c>
      <c r="K1276" s="12">
        <f>LOOKUP(426010900,[1]PlanCuentas!$A$2:$A$6092,[1]PlanCuentas!N$2:N$6092)</f>
        <v>9945156</v>
      </c>
      <c r="L1276" s="12">
        <f>LOOKUP(426011000,[1]PlanCuentas!$A$2:$A$6092,[1]PlanCuentas!N$2:N$6092)</f>
        <v>5076394</v>
      </c>
      <c r="M1276" s="12">
        <f>LOOKUP(426011100,[1]PlanCuentas!$A$2:$A$6092,[1]PlanCuentas!N$2:N$6092)</f>
        <v>41788775</v>
      </c>
      <c r="N1276" s="12">
        <f>LOOKUP(426011200,[1]PlanCuentas!$A$2:$A$6092,[1]PlanCuentas!N$2:N$6092)</f>
        <v>4305875</v>
      </c>
      <c r="O1276" s="12">
        <f>LOOKUP(426011300,[1]PlanCuentas!$A$2:$A$6092,[1]PlanCuentas!N$2:N$6092)</f>
        <v>12918815</v>
      </c>
      <c r="P1276" s="12">
        <f>LOOKUP(426012000,[1]PlanCuentas!$A$2:$A$6092,[1]PlanCuentas!N$2:N$6092)</f>
        <v>33673003</v>
      </c>
      <c r="Q1276" s="13">
        <f t="shared" si="61"/>
        <v>454449458</v>
      </c>
    </row>
    <row r="1277" spans="1:28" x14ac:dyDescent="0.2">
      <c r="A1277" s="10">
        <v>13</v>
      </c>
      <c r="B1277" s="11" t="str">
        <f>[1]Aseguradoras!B14</f>
        <v>Fénix S.A de Seguros y Reaseguros</v>
      </c>
      <c r="C1277" s="12">
        <f>LOOKUP(426010100,[1]PlanCuentas!$A$2:$A$6092,[1]PlanCuentas!O$2:O$6092)</f>
        <v>173701859</v>
      </c>
      <c r="D1277" s="12">
        <f>LOOKUP(426010200,[1]PlanCuentas!$A$2:$A$6092,[1]PlanCuentas!O$2:O$6092)</f>
        <v>32063652</v>
      </c>
      <c r="E1277" s="12">
        <f>LOOKUP(426010300,[1]PlanCuentas!$A$2:$A$6092,[1]PlanCuentas!O$2:O$6092)</f>
        <v>9247044</v>
      </c>
      <c r="F1277" s="12">
        <f>LOOKUP(426010400,[1]PlanCuentas!$A$2:$A$6092,[1]PlanCuentas!O$2:O$6092)</f>
        <v>231123666</v>
      </c>
      <c r="G1277" s="12">
        <f>LOOKUP(426010500,[1]PlanCuentas!$A$2:$A$6092,[1]PlanCuentas!O$2:O$6092)</f>
        <v>542640</v>
      </c>
      <c r="H1277" s="12">
        <f>LOOKUP(426010600,[1]PlanCuentas!$A$2:$A$6092,[1]PlanCuentas!O$2:O$6092)</f>
        <v>15581432</v>
      </c>
      <c r="I1277" s="12">
        <f>LOOKUP(426010700,[1]PlanCuentas!$A$2:$A$6092,[1]PlanCuentas!O$2:O$6092)</f>
        <v>264456</v>
      </c>
      <c r="J1277" s="12">
        <f>LOOKUP(426010800,[1]PlanCuentas!$A$2:$A$6092,[1]PlanCuentas!O$2:O$6092)</f>
        <v>0</v>
      </c>
      <c r="K1277" s="12">
        <f>LOOKUP(426010900,[1]PlanCuentas!$A$2:$A$6092,[1]PlanCuentas!O$2:O$6092)</f>
        <v>17337561</v>
      </c>
      <c r="L1277" s="12">
        <f>LOOKUP(426011000,[1]PlanCuentas!$A$2:$A$6092,[1]PlanCuentas!O$2:O$6092)</f>
        <v>13880980</v>
      </c>
      <c r="M1277" s="12">
        <f>LOOKUP(426011100,[1]PlanCuentas!$A$2:$A$6092,[1]PlanCuentas!O$2:O$6092)</f>
        <v>438347</v>
      </c>
      <c r="N1277" s="12">
        <f>LOOKUP(426011200,[1]PlanCuentas!$A$2:$A$6092,[1]PlanCuentas!O$2:O$6092)</f>
        <v>25129821</v>
      </c>
      <c r="O1277" s="12">
        <f>LOOKUP(426011300,[1]PlanCuentas!$A$2:$A$6092,[1]PlanCuentas!O$2:O$6092)</f>
        <v>37765455</v>
      </c>
      <c r="P1277" s="12">
        <f>LOOKUP(426012000,[1]PlanCuentas!$A$2:$A$6092,[1]PlanCuentas!O$2:O$6092)</f>
        <v>2221594</v>
      </c>
      <c r="Q1277" s="13">
        <f t="shared" si="61"/>
        <v>559298507</v>
      </c>
    </row>
    <row r="1278" spans="1:28" x14ac:dyDescent="0.2">
      <c r="A1278" s="10">
        <v>14</v>
      </c>
      <c r="B1278" s="11" t="str">
        <f>[1]Aseguradoras!B15</f>
        <v>Central S.A de Seguros</v>
      </c>
      <c r="C1278" s="12">
        <f>LOOKUP(426010100,[1]PlanCuentas!$A$2:$A$6092,[1]PlanCuentas!P$2:P$6092)</f>
        <v>64074214</v>
      </c>
      <c r="D1278" s="12">
        <f>LOOKUP(426010200,[1]PlanCuentas!$A$2:$A$6092,[1]PlanCuentas!P$2:P$6092)</f>
        <v>43823213</v>
      </c>
      <c r="E1278" s="12">
        <f>LOOKUP(426010300,[1]PlanCuentas!$A$2:$A$6092,[1]PlanCuentas!P$2:P$6092)</f>
        <v>373651</v>
      </c>
      <c r="F1278" s="12">
        <f>LOOKUP(426010400,[1]PlanCuentas!$A$2:$A$6092,[1]PlanCuentas!P$2:P$6092)</f>
        <v>203416697</v>
      </c>
      <c r="G1278" s="12">
        <f>LOOKUP(426010500,[1]PlanCuentas!$A$2:$A$6092,[1]PlanCuentas!P$2:P$6092)</f>
        <v>171924</v>
      </c>
      <c r="H1278" s="12">
        <f>LOOKUP(426010600,[1]PlanCuentas!$A$2:$A$6092,[1]PlanCuentas!P$2:P$6092)</f>
        <v>20715333</v>
      </c>
      <c r="I1278" s="12">
        <f>LOOKUP(426010700,[1]PlanCuentas!$A$2:$A$6092,[1]PlanCuentas!P$2:P$6092)</f>
        <v>804095</v>
      </c>
      <c r="J1278" s="12">
        <f>LOOKUP(426010800,[1]PlanCuentas!$A$2:$A$6092,[1]PlanCuentas!P$2:P$6092)</f>
        <v>0</v>
      </c>
      <c r="K1278" s="12">
        <f>LOOKUP(426010900,[1]PlanCuentas!$A$2:$A$6092,[1]PlanCuentas!P$2:P$6092)</f>
        <v>0</v>
      </c>
      <c r="L1278" s="12">
        <f>LOOKUP(426011000,[1]PlanCuentas!$A$2:$A$6092,[1]PlanCuentas!P$2:P$6092)</f>
        <v>12531405</v>
      </c>
      <c r="M1278" s="12">
        <f>LOOKUP(426011100,[1]PlanCuentas!$A$2:$A$6092,[1]PlanCuentas!P$2:P$6092)</f>
        <v>260743</v>
      </c>
      <c r="N1278" s="12">
        <f>LOOKUP(426011200,[1]PlanCuentas!$A$2:$A$6092,[1]PlanCuentas!P$2:P$6092)</f>
        <v>1181439</v>
      </c>
      <c r="O1278" s="12">
        <f>LOOKUP(426011300,[1]PlanCuentas!$A$2:$A$6092,[1]PlanCuentas!P$2:P$6092)</f>
        <v>12032830</v>
      </c>
      <c r="P1278" s="12">
        <f>LOOKUP(426012000,[1]PlanCuentas!$A$2:$A$6092,[1]PlanCuentas!P$2:P$6092)</f>
        <v>705386</v>
      </c>
      <c r="Q1278" s="13">
        <f t="shared" si="61"/>
        <v>360090930</v>
      </c>
    </row>
    <row r="1279" spans="1:28" x14ac:dyDescent="0.2">
      <c r="A1279" s="10">
        <v>15</v>
      </c>
      <c r="B1279" s="11" t="str">
        <f>[1]Aseguradoras!B16</f>
        <v>Seguros Chaco S.A de Seguros y Reaseguros</v>
      </c>
      <c r="C1279" s="12">
        <f>LOOKUP(426010100,[1]PlanCuentas!$A$2:$A$6092,[1]PlanCuentas!Q$2:Q$6092)</f>
        <v>6629504</v>
      </c>
      <c r="D1279" s="12">
        <f>LOOKUP(426010200,[1]PlanCuentas!$A$2:$A$6092,[1]PlanCuentas!Q$2:Q$6092)</f>
        <v>20844155</v>
      </c>
      <c r="E1279" s="12">
        <f>LOOKUP(426010300,[1]PlanCuentas!$A$2:$A$6092,[1]PlanCuentas!Q$2:Q$6092)</f>
        <v>3499611</v>
      </c>
      <c r="F1279" s="12">
        <f>LOOKUP(426010400,[1]PlanCuentas!$A$2:$A$6092,[1]PlanCuentas!Q$2:Q$6092)</f>
        <v>52428173</v>
      </c>
      <c r="G1279" s="12">
        <f>LOOKUP(426010500,[1]PlanCuentas!$A$2:$A$6092,[1]PlanCuentas!Q$2:Q$6092)</f>
        <v>0</v>
      </c>
      <c r="H1279" s="12">
        <f>LOOKUP(426010600,[1]PlanCuentas!$A$2:$A$6092,[1]PlanCuentas!Q$2:Q$6092)</f>
        <v>1531531</v>
      </c>
      <c r="I1279" s="12">
        <f>LOOKUP(426010700,[1]PlanCuentas!$A$2:$A$6092,[1]PlanCuentas!Q$2:Q$6092)</f>
        <v>443056</v>
      </c>
      <c r="J1279" s="12">
        <f>LOOKUP(426010800,[1]PlanCuentas!$A$2:$A$6092,[1]PlanCuentas!Q$2:Q$6092)</f>
        <v>0</v>
      </c>
      <c r="K1279" s="12">
        <f>LOOKUP(426010900,[1]PlanCuentas!$A$2:$A$6092,[1]PlanCuentas!Q$2:Q$6092)</f>
        <v>35574</v>
      </c>
      <c r="L1279" s="12">
        <f>LOOKUP(426011000,[1]PlanCuentas!$A$2:$A$6092,[1]PlanCuentas!Q$2:Q$6092)</f>
        <v>14368493</v>
      </c>
      <c r="M1279" s="12">
        <f>LOOKUP(426011100,[1]PlanCuentas!$A$2:$A$6092,[1]PlanCuentas!Q$2:Q$6092)</f>
        <v>1295763</v>
      </c>
      <c r="N1279" s="12">
        <f>LOOKUP(426011200,[1]PlanCuentas!$A$2:$A$6092,[1]PlanCuentas!Q$2:Q$6092)</f>
        <v>1310733</v>
      </c>
      <c r="O1279" s="12">
        <f>LOOKUP(426011300,[1]PlanCuentas!$A$2:$A$6092,[1]PlanCuentas!Q$2:Q$6092)</f>
        <v>29550820</v>
      </c>
      <c r="P1279" s="12">
        <f>LOOKUP(426012000,[1]PlanCuentas!$A$2:$A$6092,[1]PlanCuentas!Q$2:Q$6092)</f>
        <v>0</v>
      </c>
      <c r="Q1279" s="13">
        <f t="shared" si="61"/>
        <v>131937413</v>
      </c>
    </row>
    <row r="1280" spans="1:28" x14ac:dyDescent="0.2">
      <c r="A1280" s="10">
        <v>16</v>
      </c>
      <c r="B1280" s="11" t="str">
        <f>[1]Aseguradoras!B17</f>
        <v>El Sol Del Paraguay Compañía de Seguros y Reaseguros S.A.</v>
      </c>
      <c r="C1280" s="12">
        <f>LOOKUP(426010100,[1]PlanCuentas!$A$2:$A$6092,[1]PlanCuentas!R$2:R$6092)</f>
        <v>74971620</v>
      </c>
      <c r="D1280" s="12">
        <f>LOOKUP(426010200,[1]PlanCuentas!$A$2:$A$6092,[1]PlanCuentas!R$2:R$6092)</f>
        <v>3403620</v>
      </c>
      <c r="E1280" s="12">
        <f>LOOKUP(426010300,[1]PlanCuentas!$A$2:$A$6092,[1]PlanCuentas!R$2:R$6092)</f>
        <v>10342787</v>
      </c>
      <c r="F1280" s="12">
        <f>LOOKUP(426010400,[1]PlanCuentas!$A$2:$A$6092,[1]PlanCuentas!R$2:R$6092)</f>
        <v>78264749</v>
      </c>
      <c r="G1280" s="12">
        <f>LOOKUP(426010500,[1]PlanCuentas!$A$2:$A$6092,[1]PlanCuentas!R$2:R$6092)</f>
        <v>171937</v>
      </c>
      <c r="H1280" s="12">
        <f>LOOKUP(426010600,[1]PlanCuentas!$A$2:$A$6092,[1]PlanCuentas!R$2:R$6092)</f>
        <v>7827386</v>
      </c>
      <c r="I1280" s="12">
        <f>LOOKUP(426010700,[1]PlanCuentas!$A$2:$A$6092,[1]PlanCuentas!R$2:R$6092)</f>
        <v>26720</v>
      </c>
      <c r="J1280" s="12">
        <f>LOOKUP(426010800,[1]PlanCuentas!$A$2:$A$6092,[1]PlanCuentas!R$2:R$6092)</f>
        <v>0</v>
      </c>
      <c r="K1280" s="12">
        <f>LOOKUP(426010900,[1]PlanCuentas!$A$2:$A$6092,[1]PlanCuentas!R$2:R$6092)</f>
        <v>24109858</v>
      </c>
      <c r="L1280" s="12">
        <f>LOOKUP(426011000,[1]PlanCuentas!$A$2:$A$6092,[1]PlanCuentas!R$2:R$6092)</f>
        <v>12701219</v>
      </c>
      <c r="M1280" s="12">
        <f>LOOKUP(426011100,[1]PlanCuentas!$A$2:$A$6092,[1]PlanCuentas!R$2:R$6092)</f>
        <v>5053444</v>
      </c>
      <c r="N1280" s="12">
        <f>LOOKUP(426011200,[1]PlanCuentas!$A$2:$A$6092,[1]PlanCuentas!R$2:R$6092)</f>
        <v>35574756</v>
      </c>
      <c r="O1280" s="12">
        <f>LOOKUP(426011300,[1]PlanCuentas!$A$2:$A$6092,[1]PlanCuentas!R$2:R$6092)</f>
        <v>29791114</v>
      </c>
      <c r="P1280" s="12">
        <f>LOOKUP(426012000,[1]PlanCuentas!$A$2:$A$6092,[1]PlanCuentas!R$2:R$6092)</f>
        <v>303818734</v>
      </c>
      <c r="Q1280" s="13">
        <f t="shared" si="61"/>
        <v>586057944</v>
      </c>
    </row>
    <row r="1281" spans="1:17" x14ac:dyDescent="0.2">
      <c r="A1281" s="10">
        <v>17</v>
      </c>
      <c r="B1281" s="11" t="str">
        <f>[1]Aseguradoras!B18</f>
        <v>Intercontinental de Seguros y Reaseguros S.A.</v>
      </c>
      <c r="C1281" s="12">
        <f>LOOKUP(426010100,[1]PlanCuentas!$A$2:$A$6092,[1]PlanCuentas!S$2:S$6092)</f>
        <v>11702977</v>
      </c>
      <c r="D1281" s="12">
        <f>LOOKUP(426010200,[1]PlanCuentas!$A$2:$A$6092,[1]PlanCuentas!S$2:S$6092)</f>
        <v>61000</v>
      </c>
      <c r="E1281" s="12">
        <f>LOOKUP(426010300,[1]PlanCuentas!$A$2:$A$6092,[1]PlanCuentas!S$2:S$6092)</f>
        <v>5691199</v>
      </c>
      <c r="F1281" s="12">
        <f>LOOKUP(426010400,[1]PlanCuentas!$A$2:$A$6092,[1]PlanCuentas!S$2:S$6092)</f>
        <v>331376347</v>
      </c>
      <c r="G1281" s="12">
        <f>LOOKUP(426010500,[1]PlanCuentas!$A$2:$A$6092,[1]PlanCuentas!S$2:S$6092)</f>
        <v>171924</v>
      </c>
      <c r="H1281" s="12">
        <f>LOOKUP(426010600,[1]PlanCuentas!$A$2:$A$6092,[1]PlanCuentas!S$2:S$6092)</f>
        <v>4192470</v>
      </c>
      <c r="I1281" s="12">
        <f>LOOKUP(426010700,[1]PlanCuentas!$A$2:$A$6092,[1]PlanCuentas!S$2:S$6092)</f>
        <v>60000</v>
      </c>
      <c r="J1281" s="12">
        <f>LOOKUP(426010800,[1]PlanCuentas!$A$2:$A$6092,[1]PlanCuentas!S$2:S$6092)</f>
        <v>0</v>
      </c>
      <c r="K1281" s="12">
        <f>LOOKUP(426010900,[1]PlanCuentas!$A$2:$A$6092,[1]PlanCuentas!S$2:S$6092)</f>
        <v>1</v>
      </c>
      <c r="L1281" s="12">
        <f>LOOKUP(426011000,[1]PlanCuentas!$A$2:$A$6092,[1]PlanCuentas!S$2:S$6092)</f>
        <v>10812305</v>
      </c>
      <c r="M1281" s="12">
        <f>LOOKUP(426011100,[1]PlanCuentas!$A$2:$A$6092,[1]PlanCuentas!S$2:S$6092)</f>
        <v>0</v>
      </c>
      <c r="N1281" s="12">
        <f>LOOKUP(426011200,[1]PlanCuentas!$A$2:$A$6092,[1]PlanCuentas!S$2:S$6092)</f>
        <v>2827567</v>
      </c>
      <c r="O1281" s="12">
        <f>LOOKUP(426011300,[1]PlanCuentas!$A$2:$A$6092,[1]PlanCuentas!S$2:S$6092)</f>
        <v>35429322</v>
      </c>
      <c r="P1281" s="12">
        <f>LOOKUP(426012000,[1]PlanCuentas!$A$2:$A$6092,[1]PlanCuentas!S$2:S$6092)</f>
        <v>0</v>
      </c>
      <c r="Q1281" s="13">
        <f t="shared" si="61"/>
        <v>402325112</v>
      </c>
    </row>
    <row r="1282" spans="1:17" x14ac:dyDescent="0.2">
      <c r="A1282" s="10">
        <v>18</v>
      </c>
      <c r="B1282" s="11" t="str">
        <f>[1]Aseguradoras!B19</f>
        <v>Seguridad S.A Compañía de Seguros</v>
      </c>
      <c r="C1282" s="12">
        <f>LOOKUP(426010100,[1]PlanCuentas!$A$2:$A$6092,[1]PlanCuentas!T$2:T$6092)</f>
        <v>19183920</v>
      </c>
      <c r="D1282" s="12">
        <f>LOOKUP(426010200,[1]PlanCuentas!$A$2:$A$6092,[1]PlanCuentas!T$2:T$6092)</f>
        <v>72271769</v>
      </c>
      <c r="E1282" s="12">
        <f>LOOKUP(426010300,[1]PlanCuentas!$A$2:$A$6092,[1]PlanCuentas!T$2:T$6092)</f>
        <v>7605545</v>
      </c>
      <c r="F1282" s="12">
        <f>LOOKUP(426010400,[1]PlanCuentas!$A$2:$A$6092,[1]PlanCuentas!T$2:T$6092)</f>
        <v>569769018</v>
      </c>
      <c r="G1282" s="12">
        <f>LOOKUP(426010500,[1]PlanCuentas!$A$2:$A$6092,[1]PlanCuentas!T$2:T$6092)</f>
        <v>0</v>
      </c>
      <c r="H1282" s="12">
        <f>LOOKUP(426010600,[1]PlanCuentas!$A$2:$A$6092,[1]PlanCuentas!T$2:T$6092)</f>
        <v>5593222</v>
      </c>
      <c r="I1282" s="12">
        <f>LOOKUP(426010700,[1]PlanCuentas!$A$2:$A$6092,[1]PlanCuentas!T$2:T$6092)</f>
        <v>0</v>
      </c>
      <c r="J1282" s="12">
        <f>LOOKUP(426010800,[1]PlanCuentas!$A$2:$A$6092,[1]PlanCuentas!T$2:T$6092)</f>
        <v>0</v>
      </c>
      <c r="K1282" s="12">
        <f>LOOKUP(426010900,[1]PlanCuentas!$A$2:$A$6092,[1]PlanCuentas!T$2:T$6092)</f>
        <v>2619539</v>
      </c>
      <c r="L1282" s="12">
        <f>LOOKUP(426011000,[1]PlanCuentas!$A$2:$A$6092,[1]PlanCuentas!T$2:T$6092)</f>
        <v>13490203</v>
      </c>
      <c r="M1282" s="12">
        <f>LOOKUP(426011100,[1]PlanCuentas!$A$2:$A$6092,[1]PlanCuentas!T$2:T$6092)</f>
        <v>210211735</v>
      </c>
      <c r="N1282" s="12">
        <f>LOOKUP(426011200,[1]PlanCuentas!$A$2:$A$6092,[1]PlanCuentas!T$2:T$6092)</f>
        <v>12821253</v>
      </c>
      <c r="O1282" s="12">
        <f>LOOKUP(426011300,[1]PlanCuentas!$A$2:$A$6092,[1]PlanCuentas!T$2:T$6092)</f>
        <v>13623685</v>
      </c>
      <c r="P1282" s="12">
        <f>LOOKUP(426012000,[1]PlanCuentas!$A$2:$A$6092,[1]PlanCuentas!T$2:T$6092)</f>
        <v>80014108</v>
      </c>
      <c r="Q1282" s="13">
        <f t="shared" si="61"/>
        <v>1007203997</v>
      </c>
    </row>
    <row r="1283" spans="1:17" x14ac:dyDescent="0.2">
      <c r="A1283" s="10">
        <v>19</v>
      </c>
      <c r="B1283" s="11" t="str">
        <f>[1]Aseguradoras!B20</f>
        <v>Universo de Seguros y Reaseguros S.A.</v>
      </c>
      <c r="C1283" s="12">
        <f>LOOKUP(426010100,[1]PlanCuentas!$A$2:$A$6092,[1]PlanCuentas!U$2:U$6092)</f>
        <v>0</v>
      </c>
      <c r="D1283" s="12">
        <f>LOOKUP(426010200,[1]PlanCuentas!$A$2:$A$6092,[1]PlanCuentas!U$2:U$6092)</f>
        <v>0</v>
      </c>
      <c r="E1283" s="12">
        <f>LOOKUP(426010300,[1]PlanCuentas!$A$2:$A$6092,[1]PlanCuentas!U$2:U$6092)</f>
        <v>0</v>
      </c>
      <c r="F1283" s="12">
        <f>LOOKUP(426010400,[1]PlanCuentas!$A$2:$A$6092,[1]PlanCuentas!U$2:U$6092)</f>
        <v>0</v>
      </c>
      <c r="G1283" s="12">
        <f>LOOKUP(426010500,[1]PlanCuentas!$A$2:$A$6092,[1]PlanCuentas!U$2:U$6092)</f>
        <v>0</v>
      </c>
      <c r="H1283" s="12">
        <f>LOOKUP(426010600,[1]PlanCuentas!$A$2:$A$6092,[1]PlanCuentas!U$2:U$6092)</f>
        <v>0</v>
      </c>
      <c r="I1283" s="12">
        <f>LOOKUP(426010700,[1]PlanCuentas!$A$2:$A$6092,[1]PlanCuentas!U$2:U$6092)</f>
        <v>0</v>
      </c>
      <c r="J1283" s="12">
        <f>LOOKUP(426010800,[1]PlanCuentas!$A$2:$A$6092,[1]PlanCuentas!U$2:U$6092)</f>
        <v>0</v>
      </c>
      <c r="K1283" s="12">
        <f>LOOKUP(426010900,[1]PlanCuentas!$A$2:$A$6092,[1]PlanCuentas!U$2:U$6092)</f>
        <v>0</v>
      </c>
      <c r="L1283" s="12">
        <f>LOOKUP(426011000,[1]PlanCuentas!$A$2:$A$6092,[1]PlanCuentas!U$2:U$6092)</f>
        <v>0</v>
      </c>
      <c r="M1283" s="12">
        <f>LOOKUP(426011100,[1]PlanCuentas!$A$2:$A$6092,[1]PlanCuentas!U$2:U$6092)</f>
        <v>0</v>
      </c>
      <c r="N1283" s="12">
        <f>LOOKUP(426011200,[1]PlanCuentas!$A$2:$A$6092,[1]PlanCuentas!U$2:U$6092)</f>
        <v>0</v>
      </c>
      <c r="O1283" s="12">
        <f>LOOKUP(426011300,[1]PlanCuentas!$A$2:$A$6092,[1]PlanCuentas!U$2:U$6092)</f>
        <v>0</v>
      </c>
      <c r="P1283" s="12">
        <f>LOOKUP(426012000,[1]PlanCuentas!$A$2:$A$6092,[1]PlanCuentas!U$2:U$6092)</f>
        <v>0</v>
      </c>
      <c r="Q1283" s="13">
        <f t="shared" si="61"/>
        <v>0</v>
      </c>
    </row>
    <row r="1284" spans="1:17" x14ac:dyDescent="0.2">
      <c r="A1284" s="10">
        <v>20</v>
      </c>
      <c r="B1284" s="11" t="str">
        <f>[1]Aseguradoras!B21</f>
        <v>Aseguradora Yacyreta S.A de Seguros y Reaseguros</v>
      </c>
      <c r="C1284" s="12">
        <f>LOOKUP(426010100,[1]PlanCuentas!$A$2:$A$6092,[1]PlanCuentas!V$2:V$6092)</f>
        <v>114205657</v>
      </c>
      <c r="D1284" s="12">
        <f>LOOKUP(426010200,[1]PlanCuentas!$A$2:$A$6092,[1]PlanCuentas!V$2:V$6092)</f>
        <v>104475507</v>
      </c>
      <c r="E1284" s="12">
        <f>LOOKUP(426010300,[1]PlanCuentas!$A$2:$A$6092,[1]PlanCuentas!V$2:V$6092)</f>
        <v>125320</v>
      </c>
      <c r="F1284" s="12">
        <f>LOOKUP(426010400,[1]PlanCuentas!$A$2:$A$6092,[1]PlanCuentas!V$2:V$6092)</f>
        <v>127846845</v>
      </c>
      <c r="G1284" s="12">
        <f>LOOKUP(426010500,[1]PlanCuentas!$A$2:$A$6092,[1]PlanCuentas!V$2:V$6092)</f>
        <v>0</v>
      </c>
      <c r="H1284" s="12">
        <f>LOOKUP(426010600,[1]PlanCuentas!$A$2:$A$6092,[1]PlanCuentas!V$2:V$6092)</f>
        <v>3298578</v>
      </c>
      <c r="I1284" s="12">
        <f>LOOKUP(426010700,[1]PlanCuentas!$A$2:$A$6092,[1]PlanCuentas!V$2:V$6092)</f>
        <v>347472</v>
      </c>
      <c r="J1284" s="12">
        <f>LOOKUP(426010800,[1]PlanCuentas!$A$2:$A$6092,[1]PlanCuentas!V$2:V$6092)</f>
        <v>0</v>
      </c>
      <c r="K1284" s="12">
        <f>LOOKUP(426010900,[1]PlanCuentas!$A$2:$A$6092,[1]PlanCuentas!V$2:V$6092)</f>
        <v>14019917</v>
      </c>
      <c r="L1284" s="12">
        <f>LOOKUP(426011000,[1]PlanCuentas!$A$2:$A$6092,[1]PlanCuentas!V$2:V$6092)</f>
        <v>1024274</v>
      </c>
      <c r="M1284" s="12">
        <f>LOOKUP(426011100,[1]PlanCuentas!$A$2:$A$6092,[1]PlanCuentas!V$2:V$6092)</f>
        <v>0</v>
      </c>
      <c r="N1284" s="12">
        <f>LOOKUP(426011200,[1]PlanCuentas!$A$2:$A$6092,[1]PlanCuentas!V$2:V$6092)</f>
        <v>7295548</v>
      </c>
      <c r="O1284" s="12">
        <f>LOOKUP(426011300,[1]PlanCuentas!$A$2:$A$6092,[1]PlanCuentas!V$2:V$6092)</f>
        <v>16161459</v>
      </c>
      <c r="P1284" s="12">
        <f>LOOKUP(426012000,[1]PlanCuentas!$A$2:$A$6092,[1]PlanCuentas!V$2:V$6092)</f>
        <v>851428</v>
      </c>
      <c r="Q1284" s="13">
        <f t="shared" si="61"/>
        <v>389652005</v>
      </c>
    </row>
    <row r="1285" spans="1:17" x14ac:dyDescent="0.2">
      <c r="A1285" s="10">
        <v>21</v>
      </c>
      <c r="B1285" s="11" t="str">
        <f>[1]Aseguradoras!B22</f>
        <v>La Agricola S.A de Seguros y Reaseguros</v>
      </c>
      <c r="C1285" s="12">
        <f>LOOKUP(426010100,[1]PlanCuentas!$A$2:$A$6092,[1]PlanCuentas!W$2:W$6092)</f>
        <v>206448425</v>
      </c>
      <c r="D1285" s="12">
        <f>LOOKUP(426010200,[1]PlanCuentas!$A$2:$A$6092,[1]PlanCuentas!W$2:W$6092)</f>
        <v>226915</v>
      </c>
      <c r="E1285" s="12">
        <f>LOOKUP(426010300,[1]PlanCuentas!$A$2:$A$6092,[1]PlanCuentas!W$2:W$6092)</f>
        <v>1755891</v>
      </c>
      <c r="F1285" s="12">
        <f>LOOKUP(426010400,[1]PlanCuentas!$A$2:$A$6092,[1]PlanCuentas!W$2:W$6092)</f>
        <v>23973635</v>
      </c>
      <c r="G1285" s="12">
        <f>LOOKUP(426010500,[1]PlanCuentas!$A$2:$A$6092,[1]PlanCuentas!W$2:W$6092)</f>
        <v>171924</v>
      </c>
      <c r="H1285" s="12">
        <f>LOOKUP(426010600,[1]PlanCuentas!$A$2:$A$6092,[1]PlanCuentas!W$2:W$6092)</f>
        <v>24196861</v>
      </c>
      <c r="I1285" s="12">
        <f>LOOKUP(426010700,[1]PlanCuentas!$A$2:$A$6092,[1]PlanCuentas!W$2:W$6092)</f>
        <v>299570</v>
      </c>
      <c r="J1285" s="12">
        <f>LOOKUP(426010800,[1]PlanCuentas!$A$2:$A$6092,[1]PlanCuentas!W$2:W$6092)</f>
        <v>0</v>
      </c>
      <c r="K1285" s="12">
        <f>LOOKUP(426010900,[1]PlanCuentas!$A$2:$A$6092,[1]PlanCuentas!W$2:W$6092)</f>
        <v>1616848</v>
      </c>
      <c r="L1285" s="12">
        <f>LOOKUP(426011000,[1]PlanCuentas!$A$2:$A$6092,[1]PlanCuentas!W$2:W$6092)</f>
        <v>10463797</v>
      </c>
      <c r="M1285" s="12">
        <f>LOOKUP(426011100,[1]PlanCuentas!$A$2:$A$6092,[1]PlanCuentas!W$2:W$6092)</f>
        <v>4204799</v>
      </c>
      <c r="N1285" s="12">
        <f>LOOKUP(426011200,[1]PlanCuentas!$A$2:$A$6092,[1]PlanCuentas!W$2:W$6092)</f>
        <v>1230450</v>
      </c>
      <c r="O1285" s="12">
        <f>LOOKUP(426011300,[1]PlanCuentas!$A$2:$A$6092,[1]PlanCuentas!W$2:W$6092)</f>
        <v>4032271</v>
      </c>
      <c r="P1285" s="12">
        <f>LOOKUP(426012000,[1]PlanCuentas!$A$2:$A$6092,[1]PlanCuentas!W$2:W$6092)</f>
        <v>4103830</v>
      </c>
      <c r="Q1285" s="13">
        <f t="shared" si="61"/>
        <v>282725216</v>
      </c>
    </row>
    <row r="1286" spans="1:17" x14ac:dyDescent="0.2">
      <c r="A1286" s="10">
        <v>22</v>
      </c>
      <c r="B1286" s="11" t="str">
        <f>[1]Aseguradoras!B23</f>
        <v>Grupo General de Seguros y Reaseguros S.A.</v>
      </c>
      <c r="C1286" s="12">
        <f>LOOKUP(426010100,[1]PlanCuentas!$A$2:$A$6092,[1]PlanCuentas!X$2:X$6092)</f>
        <v>39337906</v>
      </c>
      <c r="D1286" s="12">
        <f>LOOKUP(426010200,[1]PlanCuentas!$A$2:$A$6092,[1]PlanCuentas!X$2:X$6092)</f>
        <v>242445369</v>
      </c>
      <c r="E1286" s="12">
        <f>LOOKUP(426010300,[1]PlanCuentas!$A$2:$A$6092,[1]PlanCuentas!X$2:X$6092)</f>
        <v>5616004</v>
      </c>
      <c r="F1286" s="12">
        <f>LOOKUP(426010400,[1]PlanCuentas!$A$2:$A$6092,[1]PlanCuentas!X$2:X$6092)</f>
        <v>3070606</v>
      </c>
      <c r="G1286" s="12">
        <f>LOOKUP(426010500,[1]PlanCuentas!$A$2:$A$6092,[1]PlanCuentas!X$2:X$6092)</f>
        <v>0</v>
      </c>
      <c r="H1286" s="12">
        <f>LOOKUP(426010600,[1]PlanCuentas!$A$2:$A$6092,[1]PlanCuentas!X$2:X$6092)</f>
        <v>11254407</v>
      </c>
      <c r="I1286" s="12">
        <f>LOOKUP(426010700,[1]PlanCuentas!$A$2:$A$6092,[1]PlanCuentas!X$2:X$6092)</f>
        <v>882557</v>
      </c>
      <c r="J1286" s="12">
        <f>LOOKUP(426010800,[1]PlanCuentas!$A$2:$A$6092,[1]PlanCuentas!X$2:X$6092)</f>
        <v>0</v>
      </c>
      <c r="K1286" s="12">
        <f>LOOKUP(426010900,[1]PlanCuentas!$A$2:$A$6092,[1]PlanCuentas!X$2:X$6092)</f>
        <v>12121553</v>
      </c>
      <c r="L1286" s="12">
        <f>LOOKUP(426011000,[1]PlanCuentas!$A$2:$A$6092,[1]PlanCuentas!X$2:X$6092)</f>
        <v>12716803</v>
      </c>
      <c r="M1286" s="12">
        <f>LOOKUP(426011100,[1]PlanCuentas!$A$2:$A$6092,[1]PlanCuentas!X$2:X$6092)</f>
        <v>74893</v>
      </c>
      <c r="N1286" s="12">
        <f>LOOKUP(426011200,[1]PlanCuentas!$A$2:$A$6092,[1]PlanCuentas!X$2:X$6092)</f>
        <v>5793168</v>
      </c>
      <c r="O1286" s="12">
        <f>LOOKUP(426011300,[1]PlanCuentas!$A$2:$A$6092,[1]PlanCuentas!X$2:X$6092)</f>
        <v>5019097</v>
      </c>
      <c r="P1286" s="12">
        <f>LOOKUP(426012000,[1]PlanCuentas!$A$2:$A$6092,[1]PlanCuentas!X$2:X$6092)</f>
        <v>34364799</v>
      </c>
      <c r="Q1286" s="13">
        <f t="shared" si="61"/>
        <v>372697162</v>
      </c>
    </row>
    <row r="1287" spans="1:17" x14ac:dyDescent="0.2">
      <c r="A1287" s="10">
        <v>23</v>
      </c>
      <c r="B1287" s="11" t="str">
        <f>[1]Aseguradoras!B24</f>
        <v>Alfa S.A de Seguros y Reaseguros</v>
      </c>
      <c r="C1287" s="12">
        <f>LOOKUP(426010100,[1]PlanCuentas!$A$2:$A$6092,[1]PlanCuentas!Y$2:Y$6092)</f>
        <v>28759472</v>
      </c>
      <c r="D1287" s="12">
        <f>LOOKUP(426010200,[1]PlanCuentas!$A$2:$A$6092,[1]PlanCuentas!Y$2:Y$6092)</f>
        <v>20454351</v>
      </c>
      <c r="E1287" s="12">
        <f>LOOKUP(426010300,[1]PlanCuentas!$A$2:$A$6092,[1]PlanCuentas!Y$2:Y$6092)</f>
        <v>1655736</v>
      </c>
      <c r="F1287" s="12">
        <f>LOOKUP(426010400,[1]PlanCuentas!$A$2:$A$6092,[1]PlanCuentas!Y$2:Y$6092)</f>
        <v>89952856</v>
      </c>
      <c r="G1287" s="12">
        <f>LOOKUP(426010500,[1]PlanCuentas!$A$2:$A$6092,[1]PlanCuentas!Y$2:Y$6092)</f>
        <v>8861650</v>
      </c>
      <c r="H1287" s="12">
        <f>LOOKUP(426010600,[1]PlanCuentas!$A$2:$A$6092,[1]PlanCuentas!Y$2:Y$6092)</f>
        <v>5083975</v>
      </c>
      <c r="I1287" s="12">
        <f>LOOKUP(426010700,[1]PlanCuentas!$A$2:$A$6092,[1]PlanCuentas!Y$2:Y$6092)</f>
        <v>0</v>
      </c>
      <c r="J1287" s="12">
        <f>LOOKUP(426010800,[1]PlanCuentas!$A$2:$A$6092,[1]PlanCuentas!Y$2:Y$6092)</f>
        <v>0</v>
      </c>
      <c r="K1287" s="12">
        <f>LOOKUP(426010900,[1]PlanCuentas!$A$2:$A$6092,[1]PlanCuentas!Y$2:Y$6092)</f>
        <v>144000</v>
      </c>
      <c r="L1287" s="12">
        <f>LOOKUP(426011000,[1]PlanCuentas!$A$2:$A$6092,[1]PlanCuentas!Y$2:Y$6092)</f>
        <v>10396636</v>
      </c>
      <c r="M1287" s="12">
        <f>LOOKUP(426011100,[1]PlanCuentas!$A$2:$A$6092,[1]PlanCuentas!Y$2:Y$6092)</f>
        <v>0</v>
      </c>
      <c r="N1287" s="12">
        <f>LOOKUP(426011200,[1]PlanCuentas!$A$2:$A$6092,[1]PlanCuentas!Y$2:Y$6092)</f>
        <v>1002847</v>
      </c>
      <c r="O1287" s="12">
        <f>LOOKUP(426011300,[1]PlanCuentas!$A$2:$A$6092,[1]PlanCuentas!Y$2:Y$6092)</f>
        <v>17259434</v>
      </c>
      <c r="P1287" s="12">
        <f>LOOKUP(426012000,[1]PlanCuentas!$A$2:$A$6092,[1]PlanCuentas!Y$2:Y$6092)</f>
        <v>0</v>
      </c>
      <c r="Q1287" s="13">
        <f t="shared" si="61"/>
        <v>183570957</v>
      </c>
    </row>
    <row r="1288" spans="1:17" x14ac:dyDescent="0.2">
      <c r="A1288" s="10">
        <v>24</v>
      </c>
      <c r="B1288" s="11" t="str">
        <f>[1]Aseguradoras!B25</f>
        <v>Cenit de Seguros S.A.</v>
      </c>
      <c r="C1288" s="12">
        <f>LOOKUP(426010100,[1]PlanCuentas!$A$2:$A$6092,[1]PlanCuentas!Z$2:Z$6092)</f>
        <v>6012140</v>
      </c>
      <c r="D1288" s="12">
        <f>LOOKUP(426010200,[1]PlanCuentas!$A$2:$A$6092,[1]PlanCuentas!Z$2:Z$6092)</f>
        <v>2195965</v>
      </c>
      <c r="E1288" s="12">
        <f>LOOKUP(426010300,[1]PlanCuentas!$A$2:$A$6092,[1]PlanCuentas!Z$2:Z$6092)</f>
        <v>110751</v>
      </c>
      <c r="F1288" s="12">
        <f>LOOKUP(426010400,[1]PlanCuentas!$A$2:$A$6092,[1]PlanCuentas!Z$2:Z$6092)</f>
        <v>5874549</v>
      </c>
      <c r="G1288" s="12">
        <f>LOOKUP(426010500,[1]PlanCuentas!$A$2:$A$6092,[1]PlanCuentas!Z$2:Z$6092)</f>
        <v>171924</v>
      </c>
      <c r="H1288" s="12">
        <f>LOOKUP(426010600,[1]PlanCuentas!$A$2:$A$6092,[1]PlanCuentas!Z$2:Z$6092)</f>
        <v>1896940</v>
      </c>
      <c r="I1288" s="12">
        <f>LOOKUP(426010700,[1]PlanCuentas!$A$2:$A$6092,[1]PlanCuentas!Z$2:Z$6092)</f>
        <v>254949</v>
      </c>
      <c r="J1288" s="12">
        <f>LOOKUP(426010800,[1]PlanCuentas!$A$2:$A$6092,[1]PlanCuentas!Z$2:Z$6092)</f>
        <v>0</v>
      </c>
      <c r="K1288" s="12">
        <f>LOOKUP(426010900,[1]PlanCuentas!$A$2:$A$6092,[1]PlanCuentas!Z$2:Z$6092)</f>
        <v>439798</v>
      </c>
      <c r="L1288" s="12">
        <f>LOOKUP(426011000,[1]PlanCuentas!$A$2:$A$6092,[1]PlanCuentas!Z$2:Z$6092)</f>
        <v>11435152</v>
      </c>
      <c r="M1288" s="12">
        <f>LOOKUP(426011100,[1]PlanCuentas!$A$2:$A$6092,[1]PlanCuentas!Z$2:Z$6092)</f>
        <v>0</v>
      </c>
      <c r="N1288" s="12">
        <f>LOOKUP(426011200,[1]PlanCuentas!$A$2:$A$6092,[1]PlanCuentas!Z$2:Z$6092)</f>
        <v>2427784</v>
      </c>
      <c r="O1288" s="12">
        <f>LOOKUP(426011300,[1]PlanCuentas!$A$2:$A$6092,[1]PlanCuentas!Z$2:Z$6092)</f>
        <v>1443735</v>
      </c>
      <c r="P1288" s="12">
        <f>LOOKUP(426012000,[1]PlanCuentas!$A$2:$A$6092,[1]PlanCuentas!Z$2:Z$6092)</f>
        <v>0</v>
      </c>
      <c r="Q1288" s="13">
        <f t="shared" si="61"/>
        <v>32263687</v>
      </c>
    </row>
    <row r="1289" spans="1:17" x14ac:dyDescent="0.2">
      <c r="A1289" s="10">
        <v>25</v>
      </c>
      <c r="B1289" s="11" t="str">
        <f>[1]Aseguradoras!B26</f>
        <v>La Meridional Paraguaya S.A de Seguros</v>
      </c>
      <c r="C1289" s="12">
        <f>LOOKUP(426010100,[1]PlanCuentas!$A$2:$A$6092,[1]PlanCuentas!AA$2:AA$6092)</f>
        <v>144071433</v>
      </c>
      <c r="D1289" s="12">
        <f>LOOKUP(426010200,[1]PlanCuentas!$A$2:$A$6092,[1]PlanCuentas!AA$2:AA$6092)</f>
        <v>32625704</v>
      </c>
      <c r="E1289" s="12">
        <f>LOOKUP(426010300,[1]PlanCuentas!$A$2:$A$6092,[1]PlanCuentas!AA$2:AA$6092)</f>
        <v>6441435</v>
      </c>
      <c r="F1289" s="12">
        <f>LOOKUP(426010400,[1]PlanCuentas!$A$2:$A$6092,[1]PlanCuentas!AA$2:AA$6092)</f>
        <v>31445376</v>
      </c>
      <c r="G1289" s="12">
        <f>LOOKUP(426010500,[1]PlanCuentas!$A$2:$A$6092,[1]PlanCuentas!AA$2:AA$6092)</f>
        <v>171924</v>
      </c>
      <c r="H1289" s="12">
        <f>LOOKUP(426010600,[1]PlanCuentas!$A$2:$A$6092,[1]PlanCuentas!AA$2:AA$6092)</f>
        <v>6871873</v>
      </c>
      <c r="I1289" s="12">
        <f>LOOKUP(426010700,[1]PlanCuentas!$A$2:$A$6092,[1]PlanCuentas!AA$2:AA$6092)</f>
        <v>4751833</v>
      </c>
      <c r="J1289" s="12">
        <f>LOOKUP(426010800,[1]PlanCuentas!$A$2:$A$6092,[1]PlanCuentas!AA$2:AA$6092)</f>
        <v>0</v>
      </c>
      <c r="K1289" s="12">
        <f>LOOKUP(426010900,[1]PlanCuentas!$A$2:$A$6092,[1]PlanCuentas!AA$2:AA$6092)</f>
        <v>167053</v>
      </c>
      <c r="L1289" s="12">
        <f>LOOKUP(426011000,[1]PlanCuentas!$A$2:$A$6092,[1]PlanCuentas!AA$2:AA$6092)</f>
        <v>16021421</v>
      </c>
      <c r="M1289" s="12">
        <f>LOOKUP(426011100,[1]PlanCuentas!$A$2:$A$6092,[1]PlanCuentas!AA$2:AA$6092)</f>
        <v>0</v>
      </c>
      <c r="N1289" s="12">
        <f>LOOKUP(426011200,[1]PlanCuentas!$A$2:$A$6092,[1]PlanCuentas!AA$2:AA$6092)</f>
        <v>0</v>
      </c>
      <c r="O1289" s="12">
        <f>LOOKUP(426011300,[1]PlanCuentas!$A$2:$A$6092,[1]PlanCuentas!AA$2:AA$6092)</f>
        <v>898317</v>
      </c>
      <c r="P1289" s="12">
        <f>LOOKUP(426012000,[1]PlanCuentas!$A$2:$A$6092,[1]PlanCuentas!AA$2:AA$6092)</f>
        <v>0</v>
      </c>
      <c r="Q1289" s="13">
        <f t="shared" si="61"/>
        <v>243466369</v>
      </c>
    </row>
    <row r="1290" spans="1:17" x14ac:dyDescent="0.2">
      <c r="A1290" s="10">
        <v>26</v>
      </c>
      <c r="B1290" s="11" t="str">
        <f>[1]Aseguradoras!B27</f>
        <v>Aseguradora Del Este S.A de Seguros y Reaseguros</v>
      </c>
      <c r="C1290" s="12">
        <f>LOOKUP(426010100,[1]PlanCuentas!$A$2:$A$6092,[1]PlanCuentas!AB$2:AB$6092)</f>
        <v>57703658</v>
      </c>
      <c r="D1290" s="12">
        <f>LOOKUP(426010200,[1]PlanCuentas!$A$2:$A$6092,[1]PlanCuentas!AB$2:AB$6092)</f>
        <v>20796064</v>
      </c>
      <c r="E1290" s="12">
        <f>LOOKUP(426010300,[1]PlanCuentas!$A$2:$A$6092,[1]PlanCuentas!AB$2:AB$6092)</f>
        <v>644134</v>
      </c>
      <c r="F1290" s="12">
        <f>LOOKUP(426010400,[1]PlanCuentas!$A$2:$A$6092,[1]PlanCuentas!AB$2:AB$6092)</f>
        <v>90175583</v>
      </c>
      <c r="G1290" s="12">
        <f>LOOKUP(426010500,[1]PlanCuentas!$A$2:$A$6092,[1]PlanCuentas!AB$2:AB$6092)</f>
        <v>171924</v>
      </c>
      <c r="H1290" s="12">
        <f>LOOKUP(426010600,[1]PlanCuentas!$A$2:$A$6092,[1]PlanCuentas!AB$2:AB$6092)</f>
        <v>32033613</v>
      </c>
      <c r="I1290" s="12">
        <f>LOOKUP(426010700,[1]PlanCuentas!$A$2:$A$6092,[1]PlanCuentas!AB$2:AB$6092)</f>
        <v>368644</v>
      </c>
      <c r="J1290" s="12">
        <f>LOOKUP(426010800,[1]PlanCuentas!$A$2:$A$6092,[1]PlanCuentas!AB$2:AB$6092)</f>
        <v>0</v>
      </c>
      <c r="K1290" s="12">
        <f>LOOKUP(426010900,[1]PlanCuentas!$A$2:$A$6092,[1]PlanCuentas!AB$2:AB$6092)</f>
        <v>2187685</v>
      </c>
      <c r="L1290" s="12">
        <f>LOOKUP(426011000,[1]PlanCuentas!$A$2:$A$6092,[1]PlanCuentas!AB$2:AB$6092)</f>
        <v>39040822</v>
      </c>
      <c r="M1290" s="12">
        <f>LOOKUP(426011100,[1]PlanCuentas!$A$2:$A$6092,[1]PlanCuentas!AB$2:AB$6092)</f>
        <v>0</v>
      </c>
      <c r="N1290" s="12">
        <f>LOOKUP(426011200,[1]PlanCuentas!$A$2:$A$6092,[1]PlanCuentas!AB$2:AB$6092)</f>
        <v>16410230</v>
      </c>
      <c r="O1290" s="12">
        <f>LOOKUP(426011300,[1]PlanCuentas!$A$2:$A$6092,[1]PlanCuentas!AB$2:AB$6092)</f>
        <v>25500040</v>
      </c>
      <c r="P1290" s="12">
        <f>LOOKUP(426012000,[1]PlanCuentas!$A$2:$A$6092,[1]PlanCuentas!AB$2:AB$6092)</f>
        <v>96262231</v>
      </c>
      <c r="Q1290" s="13">
        <f t="shared" si="61"/>
        <v>381294628</v>
      </c>
    </row>
    <row r="1291" spans="1:17" x14ac:dyDescent="0.2">
      <c r="A1291" s="10">
        <v>27</v>
      </c>
      <c r="B1291" s="11" t="str">
        <f>[1]Aseguradoras!B28</f>
        <v>Imperio S.A de Seguros y Reaseguros</v>
      </c>
      <c r="C1291" s="12">
        <f>LOOKUP(426010100,[1]PlanCuentas!$A$2:$A$6092,[1]PlanCuentas!AC$2:AC$6092)</f>
        <v>33192578</v>
      </c>
      <c r="D1291" s="12">
        <f>LOOKUP(426010200,[1]PlanCuentas!$A$2:$A$6092,[1]PlanCuentas!AC$2:AC$6092)</f>
        <v>588249</v>
      </c>
      <c r="E1291" s="12">
        <f>LOOKUP(426010300,[1]PlanCuentas!$A$2:$A$6092,[1]PlanCuentas!AC$2:AC$6092)</f>
        <v>1359530</v>
      </c>
      <c r="F1291" s="12">
        <f>LOOKUP(426010400,[1]PlanCuentas!$A$2:$A$6092,[1]PlanCuentas!AC$2:AC$6092)</f>
        <v>0</v>
      </c>
      <c r="G1291" s="12">
        <f>LOOKUP(426010500,[1]PlanCuentas!$A$2:$A$6092,[1]PlanCuentas!AC$2:AC$6092)</f>
        <v>171924</v>
      </c>
      <c r="H1291" s="12">
        <f>LOOKUP(426010600,[1]PlanCuentas!$A$2:$A$6092,[1]PlanCuentas!AC$2:AC$6092)</f>
        <v>3518277</v>
      </c>
      <c r="I1291" s="12">
        <f>LOOKUP(426010700,[1]PlanCuentas!$A$2:$A$6092,[1]PlanCuentas!AC$2:AC$6092)</f>
        <v>5439733</v>
      </c>
      <c r="J1291" s="12">
        <f>LOOKUP(426010800,[1]PlanCuentas!$A$2:$A$6092,[1]PlanCuentas!AC$2:AC$6092)</f>
        <v>0</v>
      </c>
      <c r="K1291" s="12">
        <f>LOOKUP(426010900,[1]PlanCuentas!$A$2:$A$6092,[1]PlanCuentas!AC$2:AC$6092)</f>
        <v>636013</v>
      </c>
      <c r="L1291" s="12">
        <f>LOOKUP(426011000,[1]PlanCuentas!$A$2:$A$6092,[1]PlanCuentas!AC$2:AC$6092)</f>
        <v>17015779</v>
      </c>
      <c r="M1291" s="12">
        <f>LOOKUP(426011100,[1]PlanCuentas!$A$2:$A$6092,[1]PlanCuentas!AC$2:AC$6092)</f>
        <v>0</v>
      </c>
      <c r="N1291" s="12">
        <f>LOOKUP(426011200,[1]PlanCuentas!$A$2:$A$6092,[1]PlanCuentas!AC$2:AC$6092)</f>
        <v>0</v>
      </c>
      <c r="O1291" s="12">
        <f>LOOKUP(426011300,[1]PlanCuentas!$A$2:$A$6092,[1]PlanCuentas!AC$2:AC$6092)</f>
        <v>2271116</v>
      </c>
      <c r="P1291" s="12">
        <f>LOOKUP(426012000,[1]PlanCuentas!$A$2:$A$6092,[1]PlanCuentas!AC$2:AC$6092)</f>
        <v>2949070</v>
      </c>
      <c r="Q1291" s="13">
        <f t="shared" si="61"/>
        <v>67142269</v>
      </c>
    </row>
    <row r="1292" spans="1:17" x14ac:dyDescent="0.2">
      <c r="A1292" s="10">
        <v>28</v>
      </c>
      <c r="B1292" s="11" t="str">
        <f>[1]Aseguradoras!B29</f>
        <v>Regional S.A de Seguros y Reaseguros</v>
      </c>
      <c r="C1292" s="12">
        <f>LOOKUP(426010100,[1]PlanCuentas!$A$2:$A$6092,[1]PlanCuentas!AD$2:AD$6092)</f>
        <v>21181998</v>
      </c>
      <c r="D1292" s="12">
        <f>LOOKUP(426010200,[1]PlanCuentas!$A$2:$A$6092,[1]PlanCuentas!AD$2:AD$6092)</f>
        <v>3363698</v>
      </c>
      <c r="E1292" s="12">
        <f>LOOKUP(426010300,[1]PlanCuentas!$A$2:$A$6092,[1]PlanCuentas!AD$2:AD$6092)</f>
        <v>581318</v>
      </c>
      <c r="F1292" s="12">
        <f>LOOKUP(426010400,[1]PlanCuentas!$A$2:$A$6092,[1]PlanCuentas!AD$2:AD$6092)</f>
        <v>4702381</v>
      </c>
      <c r="G1292" s="12">
        <f>LOOKUP(426010500,[1]PlanCuentas!$A$2:$A$6092,[1]PlanCuentas!AD$2:AD$6092)</f>
        <v>0</v>
      </c>
      <c r="H1292" s="12">
        <f>LOOKUP(426010600,[1]PlanCuentas!$A$2:$A$6092,[1]PlanCuentas!AD$2:AD$6092)</f>
        <v>1245549</v>
      </c>
      <c r="I1292" s="12">
        <f>LOOKUP(426010700,[1]PlanCuentas!$A$2:$A$6092,[1]PlanCuentas!AD$2:AD$6092)</f>
        <v>165166</v>
      </c>
      <c r="J1292" s="12">
        <f>LOOKUP(426010800,[1]PlanCuentas!$A$2:$A$6092,[1]PlanCuentas!AD$2:AD$6092)</f>
        <v>0</v>
      </c>
      <c r="K1292" s="12">
        <f>LOOKUP(426010900,[1]PlanCuentas!$A$2:$A$6092,[1]PlanCuentas!AD$2:AD$6092)</f>
        <v>4134915</v>
      </c>
      <c r="L1292" s="12">
        <f>LOOKUP(426011000,[1]PlanCuentas!$A$2:$A$6092,[1]PlanCuentas!AD$2:AD$6092)</f>
        <v>13107412</v>
      </c>
      <c r="M1292" s="12">
        <f>LOOKUP(426011100,[1]PlanCuentas!$A$2:$A$6092,[1]PlanCuentas!AD$2:AD$6092)</f>
        <v>0</v>
      </c>
      <c r="N1292" s="12">
        <f>LOOKUP(426011200,[1]PlanCuentas!$A$2:$A$6092,[1]PlanCuentas!AD$2:AD$6092)</f>
        <v>18277455</v>
      </c>
      <c r="O1292" s="12">
        <f>LOOKUP(426011300,[1]PlanCuentas!$A$2:$A$6092,[1]PlanCuentas!AD$2:AD$6092)</f>
        <v>7291495</v>
      </c>
      <c r="P1292" s="12">
        <f>LOOKUP(426012000,[1]PlanCuentas!$A$2:$A$6092,[1]PlanCuentas!AD$2:AD$6092)</f>
        <v>1777465</v>
      </c>
      <c r="Q1292" s="13">
        <f t="shared" si="61"/>
        <v>75828852</v>
      </c>
    </row>
    <row r="1293" spans="1:17" s="37" customFormat="1" x14ac:dyDescent="0.2">
      <c r="A1293" s="10">
        <v>29</v>
      </c>
      <c r="B1293" s="11" t="str">
        <f>[1]Aseguradoras!B30</f>
        <v>Mapfre Paraguay Compañía de Seguros S.A.</v>
      </c>
      <c r="C1293" s="12">
        <f>LOOKUP(426010100,[1]PlanCuentas!$A$2:$A$6092,[1]PlanCuentas!AE$2:AE$6092)</f>
        <v>110483256</v>
      </c>
      <c r="D1293" s="12">
        <f>LOOKUP(426010200,[1]PlanCuentas!$A$2:$A$6092,[1]PlanCuentas!AE$2:AE$6092)</f>
        <v>62369639</v>
      </c>
      <c r="E1293" s="12">
        <f>LOOKUP(426010300,[1]PlanCuentas!$A$2:$A$6092,[1]PlanCuentas!AE$2:AE$6092)</f>
        <v>1608689</v>
      </c>
      <c r="F1293" s="12">
        <f>LOOKUP(426010400,[1]PlanCuentas!$A$2:$A$6092,[1]PlanCuentas!AE$2:AE$6092)</f>
        <v>1126980979</v>
      </c>
      <c r="G1293" s="12">
        <f>LOOKUP(426010500,[1]PlanCuentas!$A$2:$A$6092,[1]PlanCuentas!AE$2:AE$6092)</f>
        <v>0</v>
      </c>
      <c r="H1293" s="12">
        <f>LOOKUP(426010600,[1]PlanCuentas!$A$2:$A$6092,[1]PlanCuentas!AE$2:AE$6092)</f>
        <v>73093937</v>
      </c>
      <c r="I1293" s="12">
        <f>LOOKUP(426010700,[1]PlanCuentas!$A$2:$A$6092,[1]PlanCuentas!AE$2:AE$6092)</f>
        <v>1731875</v>
      </c>
      <c r="J1293" s="12">
        <f>LOOKUP(426010800,[1]PlanCuentas!$A$2:$A$6092,[1]PlanCuentas!AE$2:AE$6092)</f>
        <v>0</v>
      </c>
      <c r="K1293" s="12">
        <f>LOOKUP(426010900,[1]PlanCuentas!$A$2:$A$6092,[1]PlanCuentas!AE$2:AE$6092)</f>
        <v>9002645</v>
      </c>
      <c r="L1293" s="12">
        <f>LOOKUP(426011000,[1]PlanCuentas!$A$2:$A$6092,[1]PlanCuentas!AE$2:AE$6092)</f>
        <v>27811193</v>
      </c>
      <c r="M1293" s="12">
        <f>LOOKUP(426011100,[1]PlanCuentas!$A$2:$A$6092,[1]PlanCuentas!AE$2:AE$6092)</f>
        <v>0</v>
      </c>
      <c r="N1293" s="12">
        <f>LOOKUP(426011200,[1]PlanCuentas!$A$2:$A$6092,[1]PlanCuentas!AE$2:AE$6092)</f>
        <v>264564822</v>
      </c>
      <c r="O1293" s="12">
        <f>LOOKUP(426011300,[1]PlanCuentas!$A$2:$A$6092,[1]PlanCuentas!AE$2:AE$6092)</f>
        <v>29750767</v>
      </c>
      <c r="P1293" s="12">
        <f>LOOKUP(426012000,[1]PlanCuentas!$A$2:$A$6092,[1]PlanCuentas!AE$2:AE$6092)</f>
        <v>0</v>
      </c>
      <c r="Q1293" s="13">
        <f t="shared" si="61"/>
        <v>1707397802</v>
      </c>
    </row>
    <row r="1294" spans="1:17" x14ac:dyDescent="0.2">
      <c r="A1294" s="10">
        <v>30</v>
      </c>
      <c r="B1294" s="11" t="str">
        <f>[1]Aseguradoras!B31</f>
        <v>Aseguradora Tajy Propiedad Cooperativa S.A. de Seguros</v>
      </c>
      <c r="C1294" s="12">
        <f>LOOKUP(426010100,[1]PlanCuentas!$A$2:$A$6092,[1]PlanCuentas!AF$2:AF$6092)</f>
        <v>6265318</v>
      </c>
      <c r="D1294" s="12">
        <f>LOOKUP(426010200,[1]PlanCuentas!$A$2:$A$6092,[1]PlanCuentas!AF$2:AF$6092)</f>
        <v>999491</v>
      </c>
      <c r="E1294" s="12">
        <f>LOOKUP(426010300,[1]PlanCuentas!$A$2:$A$6092,[1]PlanCuentas!AF$2:AF$6092)</f>
        <v>3036120</v>
      </c>
      <c r="F1294" s="12">
        <f>LOOKUP(426010400,[1]PlanCuentas!$A$2:$A$6092,[1]PlanCuentas!AF$2:AF$6092)</f>
        <v>18690687</v>
      </c>
      <c r="G1294" s="12">
        <f>LOOKUP(426010500,[1]PlanCuentas!$A$2:$A$6092,[1]PlanCuentas!AF$2:AF$6092)</f>
        <v>0</v>
      </c>
      <c r="H1294" s="12">
        <f>LOOKUP(426010600,[1]PlanCuentas!$A$2:$A$6092,[1]PlanCuentas!AF$2:AF$6092)</f>
        <v>6698831</v>
      </c>
      <c r="I1294" s="12">
        <f>LOOKUP(426010700,[1]PlanCuentas!$A$2:$A$6092,[1]PlanCuentas!AF$2:AF$6092)</f>
        <v>92930</v>
      </c>
      <c r="J1294" s="12">
        <f>LOOKUP(426010800,[1]PlanCuentas!$A$2:$A$6092,[1]PlanCuentas!AF$2:AF$6092)</f>
        <v>223160138</v>
      </c>
      <c r="K1294" s="12">
        <f>LOOKUP(426010900,[1]PlanCuentas!$A$2:$A$6092,[1]PlanCuentas!AF$2:AF$6092)</f>
        <v>222271</v>
      </c>
      <c r="L1294" s="12">
        <f>LOOKUP(426011000,[1]PlanCuentas!$A$2:$A$6092,[1]PlanCuentas!AF$2:AF$6092)</f>
        <v>9505715</v>
      </c>
      <c r="M1294" s="12">
        <f>LOOKUP(426011100,[1]PlanCuentas!$A$2:$A$6092,[1]PlanCuentas!AF$2:AF$6092)</f>
        <v>0</v>
      </c>
      <c r="N1294" s="12">
        <f>LOOKUP(426011200,[1]PlanCuentas!$A$2:$A$6092,[1]PlanCuentas!AF$2:AF$6092)</f>
        <v>496479</v>
      </c>
      <c r="O1294" s="12">
        <f>LOOKUP(426011300,[1]PlanCuentas!$A$2:$A$6092,[1]PlanCuentas!AF$2:AF$6092)</f>
        <v>297153</v>
      </c>
      <c r="P1294" s="12">
        <f>LOOKUP(426012000,[1]PlanCuentas!$A$2:$A$6092,[1]PlanCuentas!AF$2:AF$6092)</f>
        <v>23623250</v>
      </c>
      <c r="Q1294" s="13">
        <f t="shared" si="61"/>
        <v>293088383</v>
      </c>
    </row>
    <row r="1295" spans="1:17" x14ac:dyDescent="0.2">
      <c r="A1295" s="10">
        <v>31</v>
      </c>
      <c r="B1295" s="11" t="str">
        <f>[1]Aseguradoras!B32</f>
        <v>Aseguradora del Sur S.A. Seguros Generales - ASUR</v>
      </c>
      <c r="C1295" s="12">
        <f>LOOKUP(426010100,[1]PlanCuentas!$A$2:$A$6092,[1]PlanCuentas!AG$2:AG$6092)</f>
        <v>21064416</v>
      </c>
      <c r="D1295" s="12">
        <f>LOOKUP(426010200,[1]PlanCuentas!$A$2:$A$6092,[1]PlanCuentas!AG$2:AG$6092)</f>
        <v>7731422</v>
      </c>
      <c r="E1295" s="12">
        <f>LOOKUP(426010300,[1]PlanCuentas!$A$2:$A$6092,[1]PlanCuentas!AG$2:AG$6092)</f>
        <v>3948001</v>
      </c>
      <c r="F1295" s="12">
        <f>LOOKUP(426010400,[1]PlanCuentas!$A$2:$A$6092,[1]PlanCuentas!AG$2:AG$6092)</f>
        <v>0</v>
      </c>
      <c r="G1295" s="12">
        <f>LOOKUP(426010500,[1]PlanCuentas!$A$2:$A$6092,[1]PlanCuentas!AG$2:AG$6092)</f>
        <v>171924</v>
      </c>
      <c r="H1295" s="12">
        <f>LOOKUP(426010600,[1]PlanCuentas!$A$2:$A$6092,[1]PlanCuentas!AG$2:AG$6092)</f>
        <v>5642625</v>
      </c>
      <c r="I1295" s="12">
        <f>LOOKUP(426010700,[1]PlanCuentas!$A$2:$A$6092,[1]PlanCuentas!AG$2:AG$6092)</f>
        <v>372262</v>
      </c>
      <c r="J1295" s="12">
        <f>LOOKUP(426010800,[1]PlanCuentas!$A$2:$A$6092,[1]PlanCuentas!AG$2:AG$6092)</f>
        <v>0</v>
      </c>
      <c r="K1295" s="12">
        <f>LOOKUP(426010900,[1]PlanCuentas!$A$2:$A$6092,[1]PlanCuentas!AG$2:AG$6092)</f>
        <v>1890821</v>
      </c>
      <c r="L1295" s="12">
        <f>LOOKUP(426011000,[1]PlanCuentas!$A$2:$A$6092,[1]PlanCuentas!AG$2:AG$6092)</f>
        <v>12233708</v>
      </c>
      <c r="M1295" s="12">
        <f>LOOKUP(426011100,[1]PlanCuentas!$A$2:$A$6092,[1]PlanCuentas!AG$2:AG$6092)</f>
        <v>207238</v>
      </c>
      <c r="N1295" s="12">
        <f>LOOKUP(426011200,[1]PlanCuentas!$A$2:$A$6092,[1]PlanCuentas!AG$2:AG$6092)</f>
        <v>50144</v>
      </c>
      <c r="O1295" s="12">
        <f>LOOKUP(426011300,[1]PlanCuentas!$A$2:$A$6092,[1]PlanCuentas!AG$2:AG$6092)</f>
        <v>4109998</v>
      </c>
      <c r="P1295" s="12">
        <f>LOOKUP(426012000,[1]PlanCuentas!$A$2:$A$6092,[1]PlanCuentas!AG$2:AG$6092)</f>
        <v>3215010</v>
      </c>
      <c r="Q1295" s="13">
        <f t="shared" si="61"/>
        <v>60637569</v>
      </c>
    </row>
    <row r="1296" spans="1:17" x14ac:dyDescent="0.2">
      <c r="A1296" s="10">
        <v>32</v>
      </c>
      <c r="B1296" s="11" t="str">
        <f>[1]Aseguradoras!B33</f>
        <v>Panal Compañía De Seguros Generales S.A.</v>
      </c>
      <c r="C1296" s="12">
        <f>LOOKUP(426010100,[1]PlanCuentas!$A$2:$A$6092,[1]PlanCuentas!AH$2:AH$6092)</f>
        <v>18646071</v>
      </c>
      <c r="D1296" s="12">
        <f>LOOKUP(426010200,[1]PlanCuentas!$A$2:$A$6092,[1]PlanCuentas!AH$2:AH$6092)</f>
        <v>6178606</v>
      </c>
      <c r="E1296" s="12">
        <f>LOOKUP(426010300,[1]PlanCuentas!$A$2:$A$6092,[1]PlanCuentas!AH$2:AH$6092)</f>
        <v>587835</v>
      </c>
      <c r="F1296" s="12">
        <f>LOOKUP(426010400,[1]PlanCuentas!$A$2:$A$6092,[1]PlanCuentas!AH$2:AH$6092)</f>
        <v>91745903</v>
      </c>
      <c r="G1296" s="12">
        <f>LOOKUP(426010500,[1]PlanCuentas!$A$2:$A$6092,[1]PlanCuentas!AH$2:AH$6092)</f>
        <v>0</v>
      </c>
      <c r="H1296" s="12">
        <f>LOOKUP(426010600,[1]PlanCuentas!$A$2:$A$6092,[1]PlanCuentas!AH$2:AH$6092)</f>
        <v>1640192</v>
      </c>
      <c r="I1296" s="12">
        <f>LOOKUP(426010700,[1]PlanCuentas!$A$2:$A$6092,[1]PlanCuentas!AH$2:AH$6092)</f>
        <v>55758</v>
      </c>
      <c r="J1296" s="12">
        <f>LOOKUP(426010800,[1]PlanCuentas!$A$2:$A$6092,[1]PlanCuentas!AH$2:AH$6092)</f>
        <v>0</v>
      </c>
      <c r="K1296" s="12">
        <f>LOOKUP(426010900,[1]PlanCuentas!$A$2:$A$6092,[1]PlanCuentas!AH$2:AH$6092)</f>
        <v>661635</v>
      </c>
      <c r="L1296" s="12">
        <f>LOOKUP(426011000,[1]PlanCuentas!$A$2:$A$6092,[1]PlanCuentas!AH$2:AH$6092)</f>
        <v>228911</v>
      </c>
      <c r="M1296" s="12">
        <f>LOOKUP(426011100,[1]PlanCuentas!$A$2:$A$6092,[1]PlanCuentas!AH$2:AH$6092)</f>
        <v>0</v>
      </c>
      <c r="N1296" s="12">
        <f>LOOKUP(426011200,[1]PlanCuentas!$A$2:$A$6092,[1]PlanCuentas!AH$2:AH$6092)</f>
        <v>0</v>
      </c>
      <c r="O1296" s="12">
        <f>LOOKUP(426011300,[1]PlanCuentas!$A$2:$A$6092,[1]PlanCuentas!AH$2:AH$6092)</f>
        <v>3255152</v>
      </c>
      <c r="P1296" s="12">
        <f>LOOKUP(426012000,[1]PlanCuentas!$A$2:$A$6092,[1]PlanCuentas!AH$2:AH$6092)</f>
        <v>14446934</v>
      </c>
      <c r="Q1296" s="13">
        <f t="shared" si="61"/>
        <v>137446997</v>
      </c>
    </row>
    <row r="1297" spans="1:17" x14ac:dyDescent="0.2">
      <c r="A1297" s="14">
        <v>33</v>
      </c>
      <c r="B1297" s="19" t="str">
        <f>[1]Aseguradoras!B34</f>
        <v>Sancor Seguros del Paraguay S.A.</v>
      </c>
      <c r="C1297" s="12">
        <f>LOOKUP(426010100,[1]PlanCuentas!$A$2:$A$6092,[1]PlanCuentas!AI$2:AI$6092)</f>
        <v>0</v>
      </c>
      <c r="D1297" s="12">
        <f>LOOKUP(426010200,[1]PlanCuentas!$A$2:$A$6092,[1]PlanCuentas!AI$2:AI$6092)</f>
        <v>896049</v>
      </c>
      <c r="E1297" s="12">
        <f>LOOKUP(426010300,[1]PlanCuentas!$A$2:$A$6092,[1]PlanCuentas!AI$2:AI$6092)</f>
        <v>260014</v>
      </c>
      <c r="F1297" s="12">
        <f>LOOKUP(426010400,[1]PlanCuentas!$A$2:$A$6092,[1]PlanCuentas!AI$2:AI$6092)</f>
        <v>485510</v>
      </c>
      <c r="G1297" s="12">
        <f>LOOKUP(426010500,[1]PlanCuentas!$A$2:$A$6092,[1]PlanCuentas!AI$2:AI$6092)</f>
        <v>0</v>
      </c>
      <c r="H1297" s="12">
        <f>LOOKUP(426010600,[1]PlanCuentas!$A$2:$A$6092,[1]PlanCuentas!AI$2:AI$6092)</f>
        <v>0</v>
      </c>
      <c r="I1297" s="12">
        <f>LOOKUP(426010700,[1]PlanCuentas!$A$2:$A$6092,[1]PlanCuentas!AI$2:AI$6092)</f>
        <v>0</v>
      </c>
      <c r="J1297" s="12">
        <f>LOOKUP(426010800,[1]PlanCuentas!$A$2:$A$6092,[1]PlanCuentas!AI$2:AI$6092)</f>
        <v>1649116883</v>
      </c>
      <c r="K1297" s="12">
        <f>LOOKUP(426010900,[1]PlanCuentas!$A$2:$A$6092,[1]PlanCuentas!AI$2:AI$6092)</f>
        <v>341338</v>
      </c>
      <c r="L1297" s="12">
        <f>LOOKUP(426011000,[1]PlanCuentas!$A$2:$A$6092,[1]PlanCuentas!AI$2:AI$6092)</f>
        <v>0</v>
      </c>
      <c r="M1297" s="12">
        <f>LOOKUP(426011100,[1]PlanCuentas!$A$2:$A$6092,[1]PlanCuentas!AI$2:AI$6092)</f>
        <v>0</v>
      </c>
      <c r="N1297" s="12">
        <f>LOOKUP(426011200,[1]PlanCuentas!$A$2:$A$6092,[1]PlanCuentas!AI$2:AI$6092)</f>
        <v>2972607</v>
      </c>
      <c r="O1297" s="12">
        <f>LOOKUP(426011300,[1]PlanCuentas!$A$2:$A$6092,[1]PlanCuentas!AI$2:AI$6092)</f>
        <v>36764337</v>
      </c>
      <c r="P1297" s="12">
        <f>LOOKUP(426012000,[1]PlanCuentas!$A$2:$A$6092,[1]PlanCuentas!AI$2:AI$6092)</f>
        <v>1650065</v>
      </c>
      <c r="Q1297" s="13">
        <f>SUM(C1297:P1297)</f>
        <v>1692486803</v>
      </c>
    </row>
    <row r="1298" spans="1:17" x14ac:dyDescent="0.2">
      <c r="A1298" s="14"/>
      <c r="B1298" s="15" t="s">
        <v>18</v>
      </c>
      <c r="C1298" s="17">
        <f t="shared" ref="C1298:Q1298" si="62">SUBTOTAL(109,C1265:C1297)</f>
        <v>1817239548</v>
      </c>
      <c r="D1298" s="17">
        <f t="shared" si="62"/>
        <v>1129788314</v>
      </c>
      <c r="E1298" s="17">
        <f t="shared" si="62"/>
        <v>145359284</v>
      </c>
      <c r="F1298" s="17">
        <f t="shared" si="62"/>
        <v>5148049556</v>
      </c>
      <c r="G1298" s="17">
        <f t="shared" si="62"/>
        <v>23150083</v>
      </c>
      <c r="H1298" s="17">
        <f t="shared" si="62"/>
        <v>394124533</v>
      </c>
      <c r="I1298" s="17">
        <f t="shared" si="62"/>
        <v>27908756</v>
      </c>
      <c r="J1298" s="17">
        <f t="shared" si="62"/>
        <v>2122932792</v>
      </c>
      <c r="K1298" s="17">
        <f t="shared" si="62"/>
        <v>180426988</v>
      </c>
      <c r="L1298" s="17">
        <f t="shared" si="62"/>
        <v>670568743</v>
      </c>
      <c r="M1298" s="17">
        <f t="shared" si="62"/>
        <v>267942609</v>
      </c>
      <c r="N1298" s="17">
        <f t="shared" si="62"/>
        <v>467783998</v>
      </c>
      <c r="O1298" s="17">
        <f t="shared" si="62"/>
        <v>583270001</v>
      </c>
      <c r="P1298" s="17">
        <f t="shared" si="62"/>
        <v>842606442</v>
      </c>
      <c r="Q1298" s="17">
        <f t="shared" si="62"/>
        <v>13821151647</v>
      </c>
    </row>
    <row r="1299" spans="1:17" x14ac:dyDescent="0.2">
      <c r="D1299" s="5"/>
      <c r="E1299" s="5"/>
    </row>
    <row r="1300" spans="1:17" ht="28.35" customHeight="1" x14ac:dyDescent="0.2">
      <c r="A1300" s="1" t="s">
        <v>78</v>
      </c>
      <c r="B1300" s="47" t="s">
        <v>80</v>
      </c>
      <c r="C1300" s="47"/>
      <c r="D1300" s="48"/>
      <c r="E1300" s="46"/>
    </row>
    <row r="1301" spans="1:17" ht="36" x14ac:dyDescent="0.2">
      <c r="A1301" s="7" t="s">
        <v>2</v>
      </c>
      <c r="B1301" s="8" t="s">
        <v>3</v>
      </c>
      <c r="C1301" s="9" t="s">
        <v>81</v>
      </c>
      <c r="D1301" s="9" t="s">
        <v>82</v>
      </c>
      <c r="E1301" s="8" t="s">
        <v>18</v>
      </c>
    </row>
    <row r="1302" spans="1:17" x14ac:dyDescent="0.2">
      <c r="A1302" s="10">
        <v>1</v>
      </c>
      <c r="B1302" s="11" t="str">
        <f>[1]Aseguradoras!B2</f>
        <v>El Comercio Paraguayo S.A. de Seguros</v>
      </c>
      <c r="C1302" s="12">
        <f>LOOKUP(426020100,[1]PlanCuentas!$A$2:$A$6092,[1]PlanCuentas!C$2:C$6092)</f>
        <v>0</v>
      </c>
      <c r="D1302" s="12">
        <f>LOOKUP(426020200,[1]PlanCuentas!$A$2:$A$6092,[1]PlanCuentas!C$2:C$6092)</f>
        <v>0</v>
      </c>
      <c r="E1302" s="13">
        <f t="shared" ref="E1302:E1333" si="63">SUM(C1302:D1302)</f>
        <v>0</v>
      </c>
    </row>
    <row r="1303" spans="1:17" x14ac:dyDescent="0.2">
      <c r="A1303" s="10">
        <v>2</v>
      </c>
      <c r="B1303" s="11" t="str">
        <f>[1]Aseguradoras!B3</f>
        <v>La Rural S.A de Seguros</v>
      </c>
      <c r="C1303" s="12">
        <f>LOOKUP(426020100,[1]PlanCuentas!$A$2:$A$6092,[1]PlanCuentas!D$2:D$6092)</f>
        <v>0</v>
      </c>
      <c r="D1303" s="12">
        <f>LOOKUP(426020200,[1]PlanCuentas!$A$2:$A$6092,[1]PlanCuentas!D$2:D$6092)</f>
        <v>232785</v>
      </c>
      <c r="E1303" s="13">
        <f t="shared" si="63"/>
        <v>232785</v>
      </c>
    </row>
    <row r="1304" spans="1:17" x14ac:dyDescent="0.2">
      <c r="A1304" s="10">
        <v>3</v>
      </c>
      <c r="B1304" s="11" t="str">
        <f>[1]Aseguradoras!B4</f>
        <v>La Paraguaya S.A de Seguros</v>
      </c>
      <c r="C1304" s="12">
        <f>LOOKUP(426020100,[1]PlanCuentas!$A$2:$A$6092,[1]PlanCuentas!E$2:E$6092)</f>
        <v>8892713</v>
      </c>
      <c r="D1304" s="12">
        <f>LOOKUP(426020200,[1]PlanCuentas!$A$2:$A$6092,[1]PlanCuentas!E$2:E$6092)</f>
        <v>0</v>
      </c>
      <c r="E1304" s="13">
        <f t="shared" si="63"/>
        <v>8892713</v>
      </c>
    </row>
    <row r="1305" spans="1:17" x14ac:dyDescent="0.2">
      <c r="A1305" s="10">
        <v>4</v>
      </c>
      <c r="B1305" s="11" t="str">
        <f>[1]Aseguradoras!B5</f>
        <v>Seguros Generales S. A (SEGESA)</v>
      </c>
      <c r="C1305" s="12">
        <f>LOOKUP(426020100,[1]PlanCuentas!$A$2:$A$6092,[1]PlanCuentas!F$2:F$6092)</f>
        <v>0</v>
      </c>
      <c r="D1305" s="12">
        <f>LOOKUP(426020200,[1]PlanCuentas!$A$2:$A$6092,[1]PlanCuentas!F$2:F$6092)</f>
        <v>0</v>
      </c>
      <c r="E1305" s="13">
        <f t="shared" si="63"/>
        <v>0</v>
      </c>
    </row>
    <row r="1306" spans="1:17" x14ac:dyDescent="0.2">
      <c r="A1306" s="10">
        <v>5</v>
      </c>
      <c r="B1306" s="11" t="str">
        <f>[1]Aseguradoras!B6</f>
        <v>Rumbos S.A de Seguros</v>
      </c>
      <c r="C1306" s="12">
        <f>LOOKUP(426020100,[1]PlanCuentas!$A$2:$A$6092,[1]PlanCuentas!G$2:G$6092)</f>
        <v>0</v>
      </c>
      <c r="D1306" s="12">
        <f>LOOKUP(426020200,[1]PlanCuentas!$A$2:$A$6092,[1]PlanCuentas!G$2:G$6092)</f>
        <v>0</v>
      </c>
      <c r="E1306" s="13">
        <f t="shared" si="63"/>
        <v>0</v>
      </c>
    </row>
    <row r="1307" spans="1:17" x14ac:dyDescent="0.2">
      <c r="A1307" s="10">
        <v>6</v>
      </c>
      <c r="B1307" s="11" t="str">
        <f>[1]Aseguradoras!B7</f>
        <v>La Consolidada S.A de Seguros</v>
      </c>
      <c r="C1307" s="12">
        <f>LOOKUP(426020100,[1]PlanCuentas!$A$2:$A$6092,[1]PlanCuentas!H$2:H$6092)</f>
        <v>0</v>
      </c>
      <c r="D1307" s="12">
        <f>LOOKUP(426020200,[1]PlanCuentas!$A$2:$A$6092,[1]PlanCuentas!H$2:H$6092)</f>
        <v>0</v>
      </c>
      <c r="E1307" s="13">
        <f t="shared" si="63"/>
        <v>0</v>
      </c>
    </row>
    <row r="1308" spans="1:17" x14ac:dyDescent="0.2">
      <c r="A1308" s="10">
        <v>7</v>
      </c>
      <c r="B1308" s="11" t="str">
        <f>[1]Aseguradoras!B8</f>
        <v>El Productor S.A de Seguros y Reaseguros</v>
      </c>
      <c r="C1308" s="12">
        <f>LOOKUP(426020100,[1]PlanCuentas!$A$2:$A$6092,[1]PlanCuentas!I$2:I$6092)</f>
        <v>10734609</v>
      </c>
      <c r="D1308" s="12">
        <f>LOOKUP(426020200,[1]PlanCuentas!$A$2:$A$6092,[1]PlanCuentas!I$2:I$6092)</f>
        <v>0</v>
      </c>
      <c r="E1308" s="13">
        <f t="shared" si="63"/>
        <v>10734609</v>
      </c>
    </row>
    <row r="1309" spans="1:17" x14ac:dyDescent="0.2">
      <c r="A1309" s="10">
        <v>8</v>
      </c>
      <c r="B1309" s="11" t="str">
        <f>[1]Aseguradoras!B9</f>
        <v>Atalaya S.A de Seguros Generales</v>
      </c>
      <c r="C1309" s="12">
        <f>LOOKUP(426020100,[1]PlanCuentas!$A$2:$A$6092,[1]PlanCuentas!J$2:J$6092)</f>
        <v>8433799</v>
      </c>
      <c r="D1309" s="12">
        <f>LOOKUP(426020200,[1]PlanCuentas!$A$2:$A$6092,[1]PlanCuentas!J$2:J$6092)</f>
        <v>0</v>
      </c>
      <c r="E1309" s="13">
        <f t="shared" si="63"/>
        <v>8433799</v>
      </c>
    </row>
    <row r="1310" spans="1:17" x14ac:dyDescent="0.2">
      <c r="A1310" s="10">
        <v>9</v>
      </c>
      <c r="B1310" s="11" t="str">
        <f>[1]Aseguradoras!B10</f>
        <v>La Independencia de Seguros S.A.</v>
      </c>
      <c r="C1310" s="12">
        <f>LOOKUP(426020100,[1]PlanCuentas!$A$2:$A$6092,[1]PlanCuentas!K$2:K$6092)</f>
        <v>0</v>
      </c>
      <c r="D1310" s="12">
        <f>LOOKUP(426020200,[1]PlanCuentas!$A$2:$A$6092,[1]PlanCuentas!K$2:K$6092)</f>
        <v>0</v>
      </c>
      <c r="E1310" s="13">
        <f t="shared" si="63"/>
        <v>0</v>
      </c>
    </row>
    <row r="1311" spans="1:17" x14ac:dyDescent="0.2">
      <c r="A1311" s="10">
        <v>10</v>
      </c>
      <c r="B1311" s="11" t="str">
        <f>[1]Aseguradoras!B11</f>
        <v>Patria S.A de Seguros y Reaseguros</v>
      </c>
      <c r="C1311" s="12">
        <f>LOOKUP(426020100,[1]PlanCuentas!$A$2:$A$6092,[1]PlanCuentas!L$2:L$6092)</f>
        <v>0</v>
      </c>
      <c r="D1311" s="12">
        <f>LOOKUP(426020200,[1]PlanCuentas!$A$2:$A$6092,[1]PlanCuentas!L$2:L$6092)</f>
        <v>2455846</v>
      </c>
      <c r="E1311" s="13">
        <f t="shared" si="63"/>
        <v>2455846</v>
      </c>
    </row>
    <row r="1312" spans="1:17" x14ac:dyDescent="0.2">
      <c r="A1312" s="10">
        <v>11</v>
      </c>
      <c r="B1312" s="11" t="str">
        <f>[1]Aseguradoras!B12</f>
        <v>Garantía S.A de Seguros y Reaseguros</v>
      </c>
      <c r="C1312" s="12">
        <f>LOOKUP(426020100,[1]PlanCuentas!$A$2:$A$6092,[1]PlanCuentas!M$2:M$6092)</f>
        <v>0</v>
      </c>
      <c r="D1312" s="12">
        <f>LOOKUP(426020200,[1]PlanCuentas!$A$2:$A$6092,[1]PlanCuentas!M$2:M$6092)</f>
        <v>0</v>
      </c>
      <c r="E1312" s="13">
        <f t="shared" si="63"/>
        <v>0</v>
      </c>
    </row>
    <row r="1313" spans="1:5" x14ac:dyDescent="0.2">
      <c r="A1313" s="10">
        <v>12</v>
      </c>
      <c r="B1313" s="11" t="str">
        <f>[1]Aseguradoras!B13</f>
        <v>Aseguradora Paraguaya S.A.</v>
      </c>
      <c r="C1313" s="12">
        <f>LOOKUP(426020100,[1]PlanCuentas!$A$2:$A$6092,[1]PlanCuentas!N$2:N$6092)</f>
        <v>0</v>
      </c>
      <c r="D1313" s="12">
        <f>LOOKUP(426020200,[1]PlanCuentas!$A$2:$A$6092,[1]PlanCuentas!N$2:N$6092)</f>
        <v>0</v>
      </c>
      <c r="E1313" s="13">
        <f t="shared" si="63"/>
        <v>0</v>
      </c>
    </row>
    <row r="1314" spans="1:5" x14ac:dyDescent="0.2">
      <c r="A1314" s="10">
        <v>13</v>
      </c>
      <c r="B1314" s="11" t="str">
        <f>[1]Aseguradoras!B14</f>
        <v>Fénix S.A de Seguros y Reaseguros</v>
      </c>
      <c r="C1314" s="12">
        <f>LOOKUP(426020100,[1]PlanCuentas!$A$2:$A$6092,[1]PlanCuentas!O$2:O$6092)</f>
        <v>0</v>
      </c>
      <c r="D1314" s="12">
        <f>LOOKUP(426020200,[1]PlanCuentas!$A$2:$A$6092,[1]PlanCuentas!O$2:O$6092)</f>
        <v>86234903</v>
      </c>
      <c r="E1314" s="13">
        <f t="shared" si="63"/>
        <v>86234903</v>
      </c>
    </row>
    <row r="1315" spans="1:5" x14ac:dyDescent="0.2">
      <c r="A1315" s="10">
        <v>14</v>
      </c>
      <c r="B1315" s="11" t="str">
        <f>[1]Aseguradoras!B15</f>
        <v>Central S.A de Seguros</v>
      </c>
      <c r="C1315" s="12">
        <f>LOOKUP(426020100,[1]PlanCuentas!$A$2:$A$6092,[1]PlanCuentas!P$2:P$6092)</f>
        <v>0</v>
      </c>
      <c r="D1315" s="12">
        <f>LOOKUP(426020200,[1]PlanCuentas!$A$2:$A$6092,[1]PlanCuentas!P$2:P$6092)</f>
        <v>0</v>
      </c>
      <c r="E1315" s="13">
        <f t="shared" si="63"/>
        <v>0</v>
      </c>
    </row>
    <row r="1316" spans="1:5" x14ac:dyDescent="0.2">
      <c r="A1316" s="10">
        <v>15</v>
      </c>
      <c r="B1316" s="11" t="str">
        <f>[1]Aseguradoras!B16</f>
        <v>Seguros Chaco S.A de Seguros y Reaseguros</v>
      </c>
      <c r="C1316" s="12">
        <f>LOOKUP(426020100,[1]PlanCuentas!$A$2:$A$6092,[1]PlanCuentas!Q$2:Q$6092)</f>
        <v>0</v>
      </c>
      <c r="D1316" s="12">
        <f>LOOKUP(426020200,[1]PlanCuentas!$A$2:$A$6092,[1]PlanCuentas!Q$2:Q$6092)</f>
        <v>0</v>
      </c>
      <c r="E1316" s="13">
        <f t="shared" si="63"/>
        <v>0</v>
      </c>
    </row>
    <row r="1317" spans="1:5" x14ac:dyDescent="0.2">
      <c r="A1317" s="10">
        <v>16</v>
      </c>
      <c r="B1317" s="11" t="str">
        <f>[1]Aseguradoras!B17</f>
        <v>El Sol Del Paraguay Compañía de Seguros y Reaseguros S.A.</v>
      </c>
      <c r="C1317" s="12">
        <f>LOOKUP(426020100,[1]PlanCuentas!$A$2:$A$6092,[1]PlanCuentas!R$2:R$6092)</f>
        <v>0</v>
      </c>
      <c r="D1317" s="12">
        <f>LOOKUP(426020200,[1]PlanCuentas!$A$2:$A$6092,[1]PlanCuentas!R$2:R$6092)</f>
        <v>0</v>
      </c>
      <c r="E1317" s="13">
        <f t="shared" si="63"/>
        <v>0</v>
      </c>
    </row>
    <row r="1318" spans="1:5" x14ac:dyDescent="0.2">
      <c r="A1318" s="10">
        <v>17</v>
      </c>
      <c r="B1318" s="11" t="str">
        <f>[1]Aseguradoras!B18</f>
        <v>Intercontinental de Seguros y Reaseguros S.A.</v>
      </c>
      <c r="C1318" s="12">
        <f>LOOKUP(426020100,[1]PlanCuentas!$A$2:$A$6092,[1]PlanCuentas!S$2:S$6092)</f>
        <v>0</v>
      </c>
      <c r="D1318" s="12">
        <f>LOOKUP(426020200,[1]PlanCuentas!$A$2:$A$6092,[1]PlanCuentas!S$2:S$6092)</f>
        <v>0</v>
      </c>
      <c r="E1318" s="13">
        <f t="shared" si="63"/>
        <v>0</v>
      </c>
    </row>
    <row r="1319" spans="1:5" x14ac:dyDescent="0.2">
      <c r="A1319" s="10">
        <v>18</v>
      </c>
      <c r="B1319" s="11" t="str">
        <f>[1]Aseguradoras!B19</f>
        <v>Seguridad S.A Compañía de Seguros</v>
      </c>
      <c r="C1319" s="12">
        <f>LOOKUP(426020100,[1]PlanCuentas!$A$2:$A$6092,[1]PlanCuentas!T$2:T$6092)</f>
        <v>0</v>
      </c>
      <c r="D1319" s="12">
        <f>LOOKUP(426020200,[1]PlanCuentas!$A$2:$A$6092,[1]PlanCuentas!T$2:T$6092)</f>
        <v>0</v>
      </c>
      <c r="E1319" s="13">
        <f t="shared" si="63"/>
        <v>0</v>
      </c>
    </row>
    <row r="1320" spans="1:5" x14ac:dyDescent="0.2">
      <c r="A1320" s="10">
        <v>19</v>
      </c>
      <c r="B1320" s="11" t="str">
        <f>[1]Aseguradoras!B20</f>
        <v>Universo de Seguros y Reaseguros S.A.</v>
      </c>
      <c r="C1320" s="12">
        <f>LOOKUP(426020100,[1]PlanCuentas!$A$2:$A$6092,[1]PlanCuentas!U$2:U$6092)</f>
        <v>0</v>
      </c>
      <c r="D1320" s="12">
        <f>LOOKUP(426020200,[1]PlanCuentas!$A$2:$A$6092,[1]PlanCuentas!U$2:U$6092)</f>
        <v>0</v>
      </c>
      <c r="E1320" s="13">
        <f t="shared" si="63"/>
        <v>0</v>
      </c>
    </row>
    <row r="1321" spans="1:5" x14ac:dyDescent="0.2">
      <c r="A1321" s="10">
        <v>20</v>
      </c>
      <c r="B1321" s="11" t="str">
        <f>[1]Aseguradoras!B21</f>
        <v>Aseguradora Yacyreta S.A de Seguros y Reaseguros</v>
      </c>
      <c r="C1321" s="12">
        <f>LOOKUP(426020100,[1]PlanCuentas!$A$2:$A$6092,[1]PlanCuentas!V$2:V$6092)</f>
        <v>0</v>
      </c>
      <c r="D1321" s="12">
        <f>LOOKUP(426020200,[1]PlanCuentas!$A$2:$A$6092,[1]PlanCuentas!V$2:V$6092)</f>
        <v>26017212</v>
      </c>
      <c r="E1321" s="13">
        <f t="shared" si="63"/>
        <v>26017212</v>
      </c>
    </row>
    <row r="1322" spans="1:5" x14ac:dyDescent="0.2">
      <c r="A1322" s="10">
        <v>21</v>
      </c>
      <c r="B1322" s="11" t="str">
        <f>[1]Aseguradoras!B22</f>
        <v>La Agricola S.A de Seguros y Reaseguros</v>
      </c>
      <c r="C1322" s="12">
        <f>LOOKUP(426020100,[1]PlanCuentas!$A$2:$A$6092,[1]PlanCuentas!W$2:W$6092)</f>
        <v>0</v>
      </c>
      <c r="D1322" s="12">
        <f>LOOKUP(426020200,[1]PlanCuentas!$A$2:$A$6092,[1]PlanCuentas!W$2:W$6092)</f>
        <v>0</v>
      </c>
      <c r="E1322" s="13">
        <f t="shared" si="63"/>
        <v>0</v>
      </c>
    </row>
    <row r="1323" spans="1:5" x14ac:dyDescent="0.2">
      <c r="A1323" s="10">
        <v>22</v>
      </c>
      <c r="B1323" s="11" t="str">
        <f>[1]Aseguradoras!B23</f>
        <v>Grupo General de Seguros y Reaseguros S.A.</v>
      </c>
      <c r="C1323" s="12">
        <f>LOOKUP(426020100,[1]PlanCuentas!$A$2:$A$6092,[1]PlanCuentas!X$2:X$6092)</f>
        <v>171924</v>
      </c>
      <c r="D1323" s="12">
        <f>LOOKUP(426020200,[1]PlanCuentas!$A$2:$A$6092,[1]PlanCuentas!X$2:X$6092)</f>
        <v>0</v>
      </c>
      <c r="E1323" s="13">
        <f t="shared" si="63"/>
        <v>171924</v>
      </c>
    </row>
    <row r="1324" spans="1:5" x14ac:dyDescent="0.2">
      <c r="A1324" s="10">
        <v>23</v>
      </c>
      <c r="B1324" s="11" t="str">
        <f>[1]Aseguradoras!B24</f>
        <v>Alfa S.A de Seguros y Reaseguros</v>
      </c>
      <c r="C1324" s="12">
        <f>LOOKUP(426020100,[1]PlanCuentas!$A$2:$A$6092,[1]PlanCuentas!Y$2:Y$6092)</f>
        <v>0</v>
      </c>
      <c r="D1324" s="12">
        <f>LOOKUP(426020200,[1]PlanCuentas!$A$2:$A$6092,[1]PlanCuentas!Y$2:Y$6092)</f>
        <v>0</v>
      </c>
      <c r="E1324" s="13">
        <f t="shared" si="63"/>
        <v>0</v>
      </c>
    </row>
    <row r="1325" spans="1:5" x14ac:dyDescent="0.2">
      <c r="A1325" s="10">
        <v>24</v>
      </c>
      <c r="B1325" s="11" t="str">
        <f>[1]Aseguradoras!B25</f>
        <v>Cenit de Seguros S.A.</v>
      </c>
      <c r="C1325" s="12">
        <f>LOOKUP(426020100,[1]PlanCuentas!$A$2:$A$6092,[1]PlanCuentas!Z$2:Z$6092)</f>
        <v>0</v>
      </c>
      <c r="D1325" s="12">
        <f>LOOKUP(426020200,[1]PlanCuentas!$A$2:$A$6092,[1]PlanCuentas!Z$2:Z$6092)</f>
        <v>0</v>
      </c>
      <c r="E1325" s="13">
        <f t="shared" si="63"/>
        <v>0</v>
      </c>
    </row>
    <row r="1326" spans="1:5" x14ac:dyDescent="0.2">
      <c r="A1326" s="10">
        <v>25</v>
      </c>
      <c r="B1326" s="11" t="str">
        <f>[1]Aseguradoras!B26</f>
        <v>La Meridional Paraguaya S.A de Seguros</v>
      </c>
      <c r="C1326" s="12">
        <f>LOOKUP(426020100,[1]PlanCuentas!$A$2:$A$6092,[1]PlanCuentas!AA$2:AA$6092)</f>
        <v>0</v>
      </c>
      <c r="D1326" s="12">
        <f>LOOKUP(426020200,[1]PlanCuentas!$A$2:$A$6092,[1]PlanCuentas!AA$2:AA$6092)</f>
        <v>0</v>
      </c>
      <c r="E1326" s="23">
        <f t="shared" si="63"/>
        <v>0</v>
      </c>
    </row>
    <row r="1327" spans="1:5" x14ac:dyDescent="0.2">
      <c r="A1327" s="10">
        <v>26</v>
      </c>
      <c r="B1327" s="11" t="str">
        <f>[1]Aseguradoras!B27</f>
        <v>Aseguradora Del Este S.A de Seguros y Reaseguros</v>
      </c>
      <c r="C1327" s="12">
        <f>LOOKUP(426020100,[1]PlanCuentas!$A$2:$A$6092,[1]PlanCuentas!AB$2:AB$6092)</f>
        <v>0</v>
      </c>
      <c r="D1327" s="12">
        <f>LOOKUP(426020200,[1]PlanCuentas!$A$2:$A$6092,[1]PlanCuentas!AB$2:AB$6092)</f>
        <v>0</v>
      </c>
      <c r="E1327" s="13">
        <f t="shared" si="63"/>
        <v>0</v>
      </c>
    </row>
    <row r="1328" spans="1:5" x14ac:dyDescent="0.2">
      <c r="A1328" s="10">
        <v>27</v>
      </c>
      <c r="B1328" s="11" t="str">
        <f>[1]Aseguradoras!B28</f>
        <v>Imperio S.A de Seguros y Reaseguros</v>
      </c>
      <c r="C1328" s="12">
        <f>LOOKUP(426020100,[1]PlanCuentas!$A$2:$A$6092,[1]PlanCuentas!AC$2:AC$6092)</f>
        <v>0</v>
      </c>
      <c r="D1328" s="12">
        <f>LOOKUP(426020200,[1]PlanCuentas!$A$2:$A$6092,[1]PlanCuentas!AC$2:AC$6092)</f>
        <v>0</v>
      </c>
      <c r="E1328" s="13">
        <f t="shared" si="63"/>
        <v>0</v>
      </c>
    </row>
    <row r="1329" spans="1:27" x14ac:dyDescent="0.2">
      <c r="A1329" s="10">
        <v>28</v>
      </c>
      <c r="B1329" s="11" t="str">
        <f>[1]Aseguradoras!B29</f>
        <v>Regional S.A de Seguros y Reaseguros</v>
      </c>
      <c r="C1329" s="12">
        <f>LOOKUP(426020100,[1]PlanCuentas!$A$2:$A$6092,[1]PlanCuentas!AD$2:AD$6092)</f>
        <v>0</v>
      </c>
      <c r="D1329" s="12">
        <f>LOOKUP(426020200,[1]PlanCuentas!$A$2:$A$6092,[1]PlanCuentas!AD$2:AD$6092)</f>
        <v>0</v>
      </c>
      <c r="E1329" s="13">
        <f t="shared" si="63"/>
        <v>0</v>
      </c>
    </row>
    <row r="1330" spans="1:27" s="37" customFormat="1" x14ac:dyDescent="0.2">
      <c r="A1330" s="10">
        <v>29</v>
      </c>
      <c r="B1330" s="11" t="str">
        <f>[1]Aseguradoras!B30</f>
        <v>Mapfre Paraguay Compañía de Seguros S.A.</v>
      </c>
      <c r="C1330" s="12">
        <f>LOOKUP(426020100,[1]PlanCuentas!$A$2:$A$6092,[1]PlanCuentas!AE$2:AE$6092)</f>
        <v>0</v>
      </c>
      <c r="D1330" s="12">
        <f>LOOKUP(426020200,[1]PlanCuentas!$A$2:$A$6092,[1]PlanCuentas!AE$2:AE$6092)</f>
        <v>0</v>
      </c>
      <c r="E1330" s="13">
        <f t="shared" si="63"/>
        <v>0</v>
      </c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27" x14ac:dyDescent="0.2">
      <c r="A1331" s="10">
        <v>30</v>
      </c>
      <c r="B1331" s="11" t="str">
        <f>[1]Aseguradoras!B31</f>
        <v>Aseguradora Tajy Propiedad Cooperativa S.A. de Seguros</v>
      </c>
      <c r="C1331" s="12">
        <f>LOOKUP(426020100,[1]PlanCuentas!$A$2:$A$6092,[1]PlanCuentas!AF$2:AF$6092)</f>
        <v>0</v>
      </c>
      <c r="D1331" s="12">
        <f>LOOKUP(426020200,[1]PlanCuentas!$A$2:$A$6092,[1]PlanCuentas!AF$2:AF$6092)</f>
        <v>0</v>
      </c>
      <c r="E1331" s="13">
        <f t="shared" si="63"/>
        <v>0</v>
      </c>
    </row>
    <row r="1332" spans="1:27" x14ac:dyDescent="0.2">
      <c r="A1332" s="10">
        <v>31</v>
      </c>
      <c r="B1332" s="11" t="str">
        <f>[1]Aseguradoras!B32</f>
        <v>Aseguradora del Sur S.A. Seguros Generales - ASUR</v>
      </c>
      <c r="C1332" s="12">
        <f>LOOKUP(426020100,[1]PlanCuentas!$A$2:$A$6092,[1]PlanCuentas!AG$2:AG$6092)</f>
        <v>0</v>
      </c>
      <c r="D1332" s="12">
        <f>LOOKUP(426020200,[1]PlanCuentas!$A$2:$A$6092,[1]PlanCuentas!AG$2:AG$6092)</f>
        <v>0</v>
      </c>
      <c r="E1332" s="13">
        <f t="shared" si="63"/>
        <v>0</v>
      </c>
      <c r="R1332" s="5"/>
      <c r="S1332" s="5"/>
      <c r="T1332" s="5"/>
      <c r="U1332" s="5"/>
      <c r="V1332" s="5"/>
      <c r="W1332" s="5"/>
      <c r="X1332" s="5"/>
      <c r="Y1332" s="5"/>
      <c r="Z1332" s="5"/>
      <c r="AA1332" s="5"/>
    </row>
    <row r="1333" spans="1:27" x14ac:dyDescent="0.2">
      <c r="A1333" s="10">
        <v>32</v>
      </c>
      <c r="B1333" s="11" t="str">
        <f>[1]Aseguradoras!B33</f>
        <v>Panal Compañía De Seguros Generales S.A.</v>
      </c>
      <c r="C1333" s="12">
        <f>LOOKUP(426020100,[1]PlanCuentas!$A$2:$A$6092,[1]PlanCuentas!AH$2:AH$6092)</f>
        <v>0</v>
      </c>
      <c r="D1333" s="12">
        <f>LOOKUP(426020200,[1]PlanCuentas!$A$2:$A$6092,[1]PlanCuentas!AH$2:AH$6092)</f>
        <v>0</v>
      </c>
      <c r="E1333" s="13">
        <f t="shared" si="63"/>
        <v>0</v>
      </c>
    </row>
    <row r="1334" spans="1:27" x14ac:dyDescent="0.2">
      <c r="A1334" s="14">
        <v>33</v>
      </c>
      <c r="B1334" s="19" t="str">
        <f>[1]Aseguradoras!B34</f>
        <v>Sancor Seguros del Paraguay S.A.</v>
      </c>
      <c r="C1334" s="12">
        <f>LOOKUP(426020100,[1]PlanCuentas!$A$2:$A$6092,[1]PlanCuentas!AI$2:AI$6092)</f>
        <v>0</v>
      </c>
      <c r="D1334" s="12">
        <f>LOOKUP(426020200,[1]PlanCuentas!$A$2:$A$6092,[1]PlanCuentas!AI$2:AI$6092)</f>
        <v>0</v>
      </c>
      <c r="E1334" s="13">
        <f>SUM(C1334:D1334)</f>
        <v>0</v>
      </c>
    </row>
    <row r="1335" spans="1:27" x14ac:dyDescent="0.2">
      <c r="A1335" s="14"/>
      <c r="B1335" s="15" t="s">
        <v>18</v>
      </c>
      <c r="C1335" s="17">
        <f>SUBTOTAL(109,C1302:C1334)</f>
        <v>28233045</v>
      </c>
      <c r="D1335" s="17">
        <f>SUBTOTAL(109,D1302:D1334)</f>
        <v>114940746</v>
      </c>
      <c r="E1335" s="17">
        <f>SUBTOTAL(109,E1302:E1334)</f>
        <v>143173791</v>
      </c>
    </row>
    <row r="1336" spans="1:27" x14ac:dyDescent="0.2"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</row>
    <row r="1337" spans="1:27" ht="28.35" customHeight="1" x14ac:dyDescent="0.2">
      <c r="A1337" s="1" t="s">
        <v>78</v>
      </c>
      <c r="B1337" s="47" t="s">
        <v>83</v>
      </c>
      <c r="C1337" s="47"/>
      <c r="D1337" s="48"/>
      <c r="E1337" s="46"/>
      <c r="F1337" s="4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</row>
    <row r="1338" spans="1:27" ht="24" x14ac:dyDescent="0.2">
      <c r="A1338" s="7" t="s">
        <v>2</v>
      </c>
      <c r="B1338" s="8" t="s">
        <v>3</v>
      </c>
      <c r="C1338" s="9" t="s">
        <v>4</v>
      </c>
      <c r="D1338" s="9" t="s">
        <v>5</v>
      </c>
      <c r="E1338" s="9" t="s">
        <v>6</v>
      </c>
      <c r="F1338" s="36" t="s">
        <v>7</v>
      </c>
      <c r="G1338" s="9" t="s">
        <v>8</v>
      </c>
      <c r="H1338" s="9" t="s">
        <v>9</v>
      </c>
      <c r="I1338" s="9" t="s">
        <v>10</v>
      </c>
      <c r="J1338" s="9" t="s">
        <v>11</v>
      </c>
      <c r="K1338" s="9" t="s">
        <v>12</v>
      </c>
      <c r="L1338" s="9" t="s">
        <v>13</v>
      </c>
      <c r="M1338" s="9" t="s">
        <v>14</v>
      </c>
      <c r="N1338" s="9" t="s">
        <v>15</v>
      </c>
      <c r="O1338" s="9" t="s">
        <v>16</v>
      </c>
      <c r="P1338" s="8" t="s">
        <v>17</v>
      </c>
      <c r="Q1338" s="8" t="s">
        <v>18</v>
      </c>
    </row>
    <row r="1339" spans="1:27" x14ac:dyDescent="0.2">
      <c r="A1339" s="10">
        <v>1</v>
      </c>
      <c r="B1339" s="11" t="str">
        <f>[1]Aseguradoras!B2</f>
        <v>El Comercio Paraguayo S.A. de Seguros</v>
      </c>
      <c r="C1339" s="12">
        <f>LOOKUP(426030100,[1]PlanCuentas!$A$2:$A$6092,[1]PlanCuentas!C$2:C$6092)</f>
        <v>0</v>
      </c>
      <c r="D1339" s="12">
        <f>LOOKUP(426030200,[1]PlanCuentas!$A$2:$A$6092,[1]PlanCuentas!C$2:C$6092)</f>
        <v>0</v>
      </c>
      <c r="E1339" s="12">
        <f>LOOKUP(426030300,[1]PlanCuentas!$A$2:$A$6092,[1]PlanCuentas!C$2:C$6092)</f>
        <v>0</v>
      </c>
      <c r="F1339" s="12">
        <f>LOOKUP(426030400,[1]PlanCuentas!$A$2:$A$6092,[1]PlanCuentas!C$2:C$6092)</f>
        <v>0</v>
      </c>
      <c r="G1339" s="12">
        <f>LOOKUP(426030500,[1]PlanCuentas!$A$2:$A$6092,[1]PlanCuentas!C$2:C$6092)</f>
        <v>0</v>
      </c>
      <c r="H1339" s="12">
        <f>LOOKUP(426030600,[1]PlanCuentas!$A$2:$A$6092,[1]PlanCuentas!C$2:C$6092)</f>
        <v>0</v>
      </c>
      <c r="I1339" s="12">
        <f>LOOKUP(426030700,[1]PlanCuentas!$A$2:$A$6092,[1]PlanCuentas!C$2:C$6092)</f>
        <v>0</v>
      </c>
      <c r="J1339" s="12">
        <f>LOOKUP(426030800,[1]PlanCuentas!$A$2:$A$6092,[1]PlanCuentas!C$2:C$6092)</f>
        <v>0</v>
      </c>
      <c r="K1339" s="12">
        <f>LOOKUP(426030900,[1]PlanCuentas!$A$2:$A$6092,[1]PlanCuentas!C$2:C$6092)</f>
        <v>0</v>
      </c>
      <c r="L1339" s="12">
        <f>LOOKUP(426031000,[1]PlanCuentas!$A$2:$A$6092,[1]PlanCuentas!C$2:C$6092)</f>
        <v>0</v>
      </c>
      <c r="M1339" s="12">
        <f>LOOKUP(426031100,[1]PlanCuentas!$A$2:$A$6092,[1]PlanCuentas!C$2:C$6092)</f>
        <v>0</v>
      </c>
      <c r="N1339" s="12">
        <f>LOOKUP(426031200,[1]PlanCuentas!$A$2:$A$6092,[1]PlanCuentas!C$2:C$6092)</f>
        <v>0</v>
      </c>
      <c r="O1339" s="12">
        <f>LOOKUP(426031300,[1]PlanCuentas!$A$2:$A$6092,[1]PlanCuentas!C$2:C$6092)</f>
        <v>0</v>
      </c>
      <c r="P1339" s="12">
        <f>LOOKUP(426032000,[1]PlanCuentas!$A$2:$A$6092,[1]PlanCuentas!C$2:C$6092)</f>
        <v>0</v>
      </c>
      <c r="Q1339" s="13">
        <f t="shared" ref="Q1339:Q1370" si="64">SUM(C1339:P1339)</f>
        <v>0</v>
      </c>
    </row>
    <row r="1340" spans="1:27" x14ac:dyDescent="0.2">
      <c r="A1340" s="10">
        <v>2</v>
      </c>
      <c r="B1340" s="11" t="str">
        <f>[1]Aseguradoras!B3</f>
        <v>La Rural S.A de Seguros</v>
      </c>
      <c r="C1340" s="12">
        <f>LOOKUP(426030100,[1]PlanCuentas!$A$2:$A$6092,[1]PlanCuentas!D$2:D$6092)</f>
        <v>5465940</v>
      </c>
      <c r="D1340" s="12">
        <f>LOOKUP(426030200,[1]PlanCuentas!$A$2:$A$6092,[1]PlanCuentas!D$2:D$6092)</f>
        <v>28459788</v>
      </c>
      <c r="E1340" s="12">
        <f>LOOKUP(426030300,[1]PlanCuentas!$A$2:$A$6092,[1]PlanCuentas!D$2:D$6092)</f>
        <v>65196</v>
      </c>
      <c r="F1340" s="12">
        <f>LOOKUP(426030400,[1]PlanCuentas!$A$2:$A$6092,[1]PlanCuentas!D$2:D$6092)</f>
        <v>33132000</v>
      </c>
      <c r="G1340" s="12">
        <f>LOOKUP(426030500,[1]PlanCuentas!$A$2:$A$6092,[1]PlanCuentas!D$2:D$6092)</f>
        <v>0</v>
      </c>
      <c r="H1340" s="12">
        <f>LOOKUP(426030600,[1]PlanCuentas!$A$2:$A$6092,[1]PlanCuentas!D$2:D$6092)</f>
        <v>0</v>
      </c>
      <c r="I1340" s="12">
        <f>LOOKUP(426030700,[1]PlanCuentas!$A$2:$A$6092,[1]PlanCuentas!D$2:D$6092)</f>
        <v>0</v>
      </c>
      <c r="J1340" s="12">
        <f>LOOKUP(426030800,[1]PlanCuentas!$A$2:$A$6092,[1]PlanCuentas!D$2:D$6092)</f>
        <v>0</v>
      </c>
      <c r="K1340" s="12">
        <f>LOOKUP(426030900,[1]PlanCuentas!$A$2:$A$6092,[1]PlanCuentas!D$2:D$6092)</f>
        <v>0</v>
      </c>
      <c r="L1340" s="12">
        <f>LOOKUP(426031000,[1]PlanCuentas!$A$2:$A$6092,[1]PlanCuentas!D$2:D$6092)</f>
        <v>0</v>
      </c>
      <c r="M1340" s="12">
        <f>LOOKUP(426031100,[1]PlanCuentas!$A$2:$A$6092,[1]PlanCuentas!D$2:D$6092)</f>
        <v>2222399</v>
      </c>
      <c r="N1340" s="12">
        <f>LOOKUP(426031200,[1]PlanCuentas!$A$2:$A$6092,[1]PlanCuentas!D$2:D$6092)</f>
        <v>0</v>
      </c>
      <c r="O1340" s="12">
        <f>LOOKUP(426031300,[1]PlanCuentas!$A$2:$A$6092,[1]PlanCuentas!D$2:D$6092)</f>
        <v>0</v>
      </c>
      <c r="P1340" s="12">
        <f>LOOKUP(426032000,[1]PlanCuentas!$A$2:$A$6092,[1]PlanCuentas!D$2:D$6092)</f>
        <v>0</v>
      </c>
      <c r="Q1340" s="13">
        <f t="shared" si="64"/>
        <v>69345323</v>
      </c>
    </row>
    <row r="1341" spans="1:27" x14ac:dyDescent="0.2">
      <c r="A1341" s="10">
        <v>3</v>
      </c>
      <c r="B1341" s="11" t="str">
        <f>[1]Aseguradoras!B4</f>
        <v>La Paraguaya S.A de Seguros</v>
      </c>
      <c r="C1341" s="12">
        <f>LOOKUP(426030100,[1]PlanCuentas!$A$2:$A$6092,[1]PlanCuentas!E$2:E$6092)</f>
        <v>0</v>
      </c>
      <c r="D1341" s="12">
        <f>LOOKUP(426030200,[1]PlanCuentas!$A$2:$A$6092,[1]PlanCuentas!E$2:E$6092)</f>
        <v>0</v>
      </c>
      <c r="E1341" s="12">
        <f>LOOKUP(426030300,[1]PlanCuentas!$A$2:$A$6092,[1]PlanCuentas!E$2:E$6092)</f>
        <v>0</v>
      </c>
      <c r="F1341" s="12">
        <f>LOOKUP(426030400,[1]PlanCuentas!$A$2:$A$6092,[1]PlanCuentas!E$2:E$6092)</f>
        <v>0</v>
      </c>
      <c r="G1341" s="12">
        <f>LOOKUP(426030500,[1]PlanCuentas!$A$2:$A$6092,[1]PlanCuentas!E$2:E$6092)</f>
        <v>0</v>
      </c>
      <c r="H1341" s="12">
        <f>LOOKUP(426030600,[1]PlanCuentas!$A$2:$A$6092,[1]PlanCuentas!E$2:E$6092)</f>
        <v>0</v>
      </c>
      <c r="I1341" s="12">
        <f>LOOKUP(426030700,[1]PlanCuentas!$A$2:$A$6092,[1]PlanCuentas!E$2:E$6092)</f>
        <v>0</v>
      </c>
      <c r="J1341" s="12">
        <f>LOOKUP(426030800,[1]PlanCuentas!$A$2:$A$6092,[1]PlanCuentas!E$2:E$6092)</f>
        <v>0</v>
      </c>
      <c r="K1341" s="12">
        <f>LOOKUP(426030900,[1]PlanCuentas!$A$2:$A$6092,[1]PlanCuentas!E$2:E$6092)</f>
        <v>0</v>
      </c>
      <c r="L1341" s="12">
        <f>LOOKUP(426031000,[1]PlanCuentas!$A$2:$A$6092,[1]PlanCuentas!E$2:E$6092)</f>
        <v>0</v>
      </c>
      <c r="M1341" s="12">
        <f>LOOKUP(426031100,[1]PlanCuentas!$A$2:$A$6092,[1]PlanCuentas!E$2:E$6092)</f>
        <v>0</v>
      </c>
      <c r="N1341" s="12">
        <f>LOOKUP(426031200,[1]PlanCuentas!$A$2:$A$6092,[1]PlanCuentas!E$2:E$6092)</f>
        <v>0</v>
      </c>
      <c r="O1341" s="12">
        <f>LOOKUP(426031300,[1]PlanCuentas!$A$2:$A$6092,[1]PlanCuentas!E$2:E$6092)</f>
        <v>0</v>
      </c>
      <c r="P1341" s="12">
        <f>LOOKUP(426032000,[1]PlanCuentas!$A$2:$A$6092,[1]PlanCuentas!E$2:E$6092)</f>
        <v>0</v>
      </c>
      <c r="Q1341" s="13">
        <f t="shared" si="64"/>
        <v>0</v>
      </c>
    </row>
    <row r="1342" spans="1:27" x14ac:dyDescent="0.2">
      <c r="A1342" s="10">
        <v>4</v>
      </c>
      <c r="B1342" s="11" t="str">
        <f>[1]Aseguradoras!B5</f>
        <v>Seguros Generales S. A (SEGESA)</v>
      </c>
      <c r="C1342" s="12">
        <f>LOOKUP(426030100,[1]PlanCuentas!$A$2:$A$6092,[1]PlanCuentas!F$2:F$6092)</f>
        <v>250263</v>
      </c>
      <c r="D1342" s="12">
        <f>LOOKUP(426030200,[1]PlanCuentas!$A$2:$A$6092,[1]PlanCuentas!F$2:F$6092)</f>
        <v>0</v>
      </c>
      <c r="E1342" s="12">
        <f>LOOKUP(426030300,[1]PlanCuentas!$A$2:$A$6092,[1]PlanCuentas!F$2:F$6092)</f>
        <v>36075</v>
      </c>
      <c r="F1342" s="12">
        <f>LOOKUP(426030400,[1]PlanCuentas!$A$2:$A$6092,[1]PlanCuentas!F$2:F$6092)</f>
        <v>24688132</v>
      </c>
      <c r="G1342" s="12">
        <f>LOOKUP(426030500,[1]PlanCuentas!$A$2:$A$6092,[1]PlanCuentas!F$2:F$6092)</f>
        <v>0</v>
      </c>
      <c r="H1342" s="12">
        <f>LOOKUP(426030600,[1]PlanCuentas!$A$2:$A$6092,[1]PlanCuentas!F$2:F$6092)</f>
        <v>146600</v>
      </c>
      <c r="I1342" s="12">
        <f>LOOKUP(426030700,[1]PlanCuentas!$A$2:$A$6092,[1]PlanCuentas!F$2:F$6092)</f>
        <v>0</v>
      </c>
      <c r="J1342" s="12">
        <f>LOOKUP(426030800,[1]PlanCuentas!$A$2:$A$6092,[1]PlanCuentas!F$2:F$6092)</f>
        <v>0</v>
      </c>
      <c r="K1342" s="12">
        <f>LOOKUP(426030900,[1]PlanCuentas!$A$2:$A$6092,[1]PlanCuentas!F$2:F$6092)</f>
        <v>507298</v>
      </c>
      <c r="L1342" s="12">
        <f>LOOKUP(426031000,[1]PlanCuentas!$A$2:$A$6092,[1]PlanCuentas!F$2:F$6092)</f>
        <v>45315</v>
      </c>
      <c r="M1342" s="12">
        <f>LOOKUP(426031100,[1]PlanCuentas!$A$2:$A$6092,[1]PlanCuentas!F$2:F$6092)</f>
        <v>0</v>
      </c>
      <c r="N1342" s="12">
        <f>LOOKUP(426031200,[1]PlanCuentas!$A$2:$A$6092,[1]PlanCuentas!F$2:F$6092)</f>
        <v>0</v>
      </c>
      <c r="O1342" s="12">
        <f>LOOKUP(426031300,[1]PlanCuentas!$A$2:$A$6092,[1]PlanCuentas!F$2:F$6092)</f>
        <v>14888</v>
      </c>
      <c r="P1342" s="12">
        <f>LOOKUP(426032000,[1]PlanCuentas!$A$2:$A$6092,[1]PlanCuentas!F$2:F$6092)</f>
        <v>0</v>
      </c>
      <c r="Q1342" s="13">
        <f t="shared" si="64"/>
        <v>25688571</v>
      </c>
    </row>
    <row r="1343" spans="1:27" x14ac:dyDescent="0.2">
      <c r="A1343" s="10">
        <v>5</v>
      </c>
      <c r="B1343" s="11" t="str">
        <f>[1]Aseguradoras!B6</f>
        <v>Rumbos S.A de Seguros</v>
      </c>
      <c r="C1343" s="12">
        <f>LOOKUP(426030100,[1]PlanCuentas!$A$2:$A$6092,[1]PlanCuentas!G$2:G$6092)</f>
        <v>0</v>
      </c>
      <c r="D1343" s="12">
        <f>LOOKUP(426030200,[1]PlanCuentas!$A$2:$A$6092,[1]PlanCuentas!G$2:G$6092)</f>
        <v>0</v>
      </c>
      <c r="E1343" s="12">
        <f>LOOKUP(426030300,[1]PlanCuentas!$A$2:$A$6092,[1]PlanCuentas!G$2:G$6092)</f>
        <v>0</v>
      </c>
      <c r="F1343" s="12">
        <f>LOOKUP(426030400,[1]PlanCuentas!$A$2:$A$6092,[1]PlanCuentas!G$2:G$6092)</f>
        <v>0</v>
      </c>
      <c r="G1343" s="12">
        <f>LOOKUP(426030500,[1]PlanCuentas!$A$2:$A$6092,[1]PlanCuentas!G$2:G$6092)</f>
        <v>0</v>
      </c>
      <c r="H1343" s="12">
        <f>LOOKUP(426030600,[1]PlanCuentas!$A$2:$A$6092,[1]PlanCuentas!G$2:G$6092)</f>
        <v>0</v>
      </c>
      <c r="I1343" s="12">
        <f>LOOKUP(426030700,[1]PlanCuentas!$A$2:$A$6092,[1]PlanCuentas!G$2:G$6092)</f>
        <v>0</v>
      </c>
      <c r="J1343" s="12">
        <f>LOOKUP(426030800,[1]PlanCuentas!$A$2:$A$6092,[1]PlanCuentas!G$2:G$6092)</f>
        <v>0</v>
      </c>
      <c r="K1343" s="12">
        <f>LOOKUP(426030900,[1]PlanCuentas!$A$2:$A$6092,[1]PlanCuentas!G$2:G$6092)</f>
        <v>0</v>
      </c>
      <c r="L1343" s="12">
        <f>LOOKUP(426031000,[1]PlanCuentas!$A$2:$A$6092,[1]PlanCuentas!G$2:G$6092)</f>
        <v>0</v>
      </c>
      <c r="M1343" s="12">
        <f>LOOKUP(426031100,[1]PlanCuentas!$A$2:$A$6092,[1]PlanCuentas!G$2:G$6092)</f>
        <v>0</v>
      </c>
      <c r="N1343" s="12">
        <f>LOOKUP(426031200,[1]PlanCuentas!$A$2:$A$6092,[1]PlanCuentas!G$2:G$6092)</f>
        <v>0</v>
      </c>
      <c r="O1343" s="12">
        <f>LOOKUP(426031300,[1]PlanCuentas!$A$2:$A$6092,[1]PlanCuentas!G$2:G$6092)</f>
        <v>0</v>
      </c>
      <c r="P1343" s="12">
        <f>LOOKUP(426032000,[1]PlanCuentas!$A$2:$A$6092,[1]PlanCuentas!G$2:G$6092)</f>
        <v>0</v>
      </c>
      <c r="Q1343" s="13">
        <f t="shared" si="64"/>
        <v>0</v>
      </c>
    </row>
    <row r="1344" spans="1:27" x14ac:dyDescent="0.2">
      <c r="A1344" s="10">
        <v>6</v>
      </c>
      <c r="B1344" s="11" t="str">
        <f>[1]Aseguradoras!B7</f>
        <v>La Consolidada S.A de Seguros</v>
      </c>
      <c r="C1344" s="12">
        <f>LOOKUP(426030100,[1]PlanCuentas!$A$2:$A$6092,[1]PlanCuentas!H$2:H$6092)</f>
        <v>0</v>
      </c>
      <c r="D1344" s="12">
        <f>LOOKUP(426030200,[1]PlanCuentas!$A$2:$A$6092,[1]PlanCuentas!H$2:H$6092)</f>
        <v>0</v>
      </c>
      <c r="E1344" s="12">
        <f>LOOKUP(426030300,[1]PlanCuentas!$A$2:$A$6092,[1]PlanCuentas!H$2:H$6092)</f>
        <v>0</v>
      </c>
      <c r="F1344" s="12">
        <f>LOOKUP(426030400,[1]PlanCuentas!$A$2:$A$6092,[1]PlanCuentas!H$2:H$6092)</f>
        <v>0</v>
      </c>
      <c r="G1344" s="12">
        <f>LOOKUP(426030500,[1]PlanCuentas!$A$2:$A$6092,[1]PlanCuentas!H$2:H$6092)</f>
        <v>0</v>
      </c>
      <c r="H1344" s="12">
        <f>LOOKUP(426030600,[1]PlanCuentas!$A$2:$A$6092,[1]PlanCuentas!H$2:H$6092)</f>
        <v>0</v>
      </c>
      <c r="I1344" s="12">
        <f>LOOKUP(426030700,[1]PlanCuentas!$A$2:$A$6092,[1]PlanCuentas!H$2:H$6092)</f>
        <v>0</v>
      </c>
      <c r="J1344" s="12">
        <f>LOOKUP(426030800,[1]PlanCuentas!$A$2:$A$6092,[1]PlanCuentas!H$2:H$6092)</f>
        <v>0</v>
      </c>
      <c r="K1344" s="12">
        <f>LOOKUP(426030900,[1]PlanCuentas!$A$2:$A$6092,[1]PlanCuentas!H$2:H$6092)</f>
        <v>0</v>
      </c>
      <c r="L1344" s="12">
        <f>LOOKUP(426031000,[1]PlanCuentas!$A$2:$A$6092,[1]PlanCuentas!H$2:H$6092)</f>
        <v>0</v>
      </c>
      <c r="M1344" s="12">
        <f>LOOKUP(426031100,[1]PlanCuentas!$A$2:$A$6092,[1]PlanCuentas!H$2:H$6092)</f>
        <v>0</v>
      </c>
      <c r="N1344" s="12">
        <f>LOOKUP(426031200,[1]PlanCuentas!$A$2:$A$6092,[1]PlanCuentas!H$2:H$6092)</f>
        <v>0</v>
      </c>
      <c r="O1344" s="12">
        <f>LOOKUP(426031300,[1]PlanCuentas!$A$2:$A$6092,[1]PlanCuentas!H$2:H$6092)</f>
        <v>0</v>
      </c>
      <c r="P1344" s="12">
        <f>LOOKUP(426032000,[1]PlanCuentas!$A$2:$A$6092,[1]PlanCuentas!H$2:H$6092)</f>
        <v>0</v>
      </c>
      <c r="Q1344" s="13">
        <f t="shared" si="64"/>
        <v>0</v>
      </c>
    </row>
    <row r="1345" spans="1:17" x14ac:dyDescent="0.2">
      <c r="A1345" s="10">
        <v>7</v>
      </c>
      <c r="B1345" s="11" t="str">
        <f>[1]Aseguradoras!B8</f>
        <v>El Productor S.A de Seguros y Reaseguros</v>
      </c>
      <c r="C1345" s="12">
        <f>LOOKUP(426030100,[1]PlanCuentas!$A$2:$A$6092,[1]PlanCuentas!I$2:I$6092)</f>
        <v>122063509</v>
      </c>
      <c r="D1345" s="12">
        <f>LOOKUP(426030200,[1]PlanCuentas!$A$2:$A$6092,[1]PlanCuentas!I$2:I$6092)</f>
        <v>6153365</v>
      </c>
      <c r="E1345" s="12">
        <f>LOOKUP(426030300,[1]PlanCuentas!$A$2:$A$6092,[1]PlanCuentas!I$2:I$6092)</f>
        <v>129600</v>
      </c>
      <c r="F1345" s="12">
        <f>LOOKUP(426030400,[1]PlanCuentas!$A$2:$A$6092,[1]PlanCuentas!I$2:I$6092)</f>
        <v>165406662</v>
      </c>
      <c r="G1345" s="12">
        <f>LOOKUP(426030500,[1]PlanCuentas!$A$2:$A$6092,[1]PlanCuentas!I$2:I$6092)</f>
        <v>0</v>
      </c>
      <c r="H1345" s="12">
        <f>LOOKUP(426030600,[1]PlanCuentas!$A$2:$A$6092,[1]PlanCuentas!I$2:I$6092)</f>
        <v>17203865</v>
      </c>
      <c r="I1345" s="12">
        <f>LOOKUP(426030700,[1]PlanCuentas!$A$2:$A$6092,[1]PlanCuentas!I$2:I$6092)</f>
        <v>2863552</v>
      </c>
      <c r="J1345" s="12">
        <f>LOOKUP(426030800,[1]PlanCuentas!$A$2:$A$6092,[1]PlanCuentas!I$2:I$6092)</f>
        <v>0</v>
      </c>
      <c r="K1345" s="12">
        <f>LOOKUP(426030900,[1]PlanCuentas!$A$2:$A$6092,[1]PlanCuentas!I$2:I$6092)</f>
        <v>4368571</v>
      </c>
      <c r="L1345" s="12">
        <f>LOOKUP(426031000,[1]PlanCuentas!$A$2:$A$6092,[1]PlanCuentas!I$2:I$6092)</f>
        <v>980000</v>
      </c>
      <c r="M1345" s="12">
        <f>LOOKUP(426031100,[1]PlanCuentas!$A$2:$A$6092,[1]PlanCuentas!I$2:I$6092)</f>
        <v>2549602</v>
      </c>
      <c r="N1345" s="12">
        <f>LOOKUP(426031200,[1]PlanCuentas!$A$2:$A$6092,[1]PlanCuentas!I$2:I$6092)</f>
        <v>34037285</v>
      </c>
      <c r="O1345" s="12">
        <f>LOOKUP(426031300,[1]PlanCuentas!$A$2:$A$6092,[1]PlanCuentas!I$2:I$6092)</f>
        <v>0</v>
      </c>
      <c r="P1345" s="12">
        <f>LOOKUP(426032000,[1]PlanCuentas!$A$2:$A$6092,[1]PlanCuentas!I$2:I$6092)</f>
        <v>3627040</v>
      </c>
      <c r="Q1345" s="13">
        <f t="shared" si="64"/>
        <v>359383051</v>
      </c>
    </row>
    <row r="1346" spans="1:17" x14ac:dyDescent="0.2">
      <c r="A1346" s="10">
        <v>8</v>
      </c>
      <c r="B1346" s="11" t="str">
        <f>[1]Aseguradoras!B9</f>
        <v>Atalaya S.A de Seguros Generales</v>
      </c>
      <c r="C1346" s="12">
        <f>LOOKUP(426030100,[1]PlanCuentas!$A$2:$A$6092,[1]PlanCuentas!J$2:J$6092)</f>
        <v>0</v>
      </c>
      <c r="D1346" s="12">
        <f>LOOKUP(426030200,[1]PlanCuentas!$A$2:$A$6092,[1]PlanCuentas!J$2:J$6092)</f>
        <v>0</v>
      </c>
      <c r="E1346" s="12">
        <f>LOOKUP(426030300,[1]PlanCuentas!$A$2:$A$6092,[1]PlanCuentas!J$2:J$6092)</f>
        <v>0</v>
      </c>
      <c r="F1346" s="12">
        <f>LOOKUP(426030400,[1]PlanCuentas!$A$2:$A$6092,[1]PlanCuentas!J$2:J$6092)</f>
        <v>0</v>
      </c>
      <c r="G1346" s="12">
        <f>LOOKUP(426030500,[1]PlanCuentas!$A$2:$A$6092,[1]PlanCuentas!J$2:J$6092)</f>
        <v>0</v>
      </c>
      <c r="H1346" s="12">
        <f>LOOKUP(426030600,[1]PlanCuentas!$A$2:$A$6092,[1]PlanCuentas!J$2:J$6092)</f>
        <v>0</v>
      </c>
      <c r="I1346" s="12">
        <f>LOOKUP(426030700,[1]PlanCuentas!$A$2:$A$6092,[1]PlanCuentas!J$2:J$6092)</f>
        <v>0</v>
      </c>
      <c r="J1346" s="12">
        <f>LOOKUP(426030800,[1]PlanCuentas!$A$2:$A$6092,[1]PlanCuentas!J$2:J$6092)</f>
        <v>0</v>
      </c>
      <c r="K1346" s="12">
        <f>LOOKUP(426030900,[1]PlanCuentas!$A$2:$A$6092,[1]PlanCuentas!J$2:J$6092)</f>
        <v>0</v>
      </c>
      <c r="L1346" s="12">
        <f>LOOKUP(426031000,[1]PlanCuentas!$A$2:$A$6092,[1]PlanCuentas!J$2:J$6092)</f>
        <v>0</v>
      </c>
      <c r="M1346" s="12">
        <f>LOOKUP(426031100,[1]PlanCuentas!$A$2:$A$6092,[1]PlanCuentas!J$2:J$6092)</f>
        <v>0</v>
      </c>
      <c r="N1346" s="12">
        <f>LOOKUP(426031200,[1]PlanCuentas!$A$2:$A$6092,[1]PlanCuentas!J$2:J$6092)</f>
        <v>0</v>
      </c>
      <c r="O1346" s="12">
        <f>LOOKUP(426031300,[1]PlanCuentas!$A$2:$A$6092,[1]PlanCuentas!J$2:J$6092)</f>
        <v>0</v>
      </c>
      <c r="P1346" s="12">
        <f>LOOKUP(426032000,[1]PlanCuentas!$A$2:$A$6092,[1]PlanCuentas!J$2:J$6092)</f>
        <v>0</v>
      </c>
      <c r="Q1346" s="13">
        <f t="shared" si="64"/>
        <v>0</v>
      </c>
    </row>
    <row r="1347" spans="1:17" x14ac:dyDescent="0.2">
      <c r="A1347" s="10">
        <v>9</v>
      </c>
      <c r="B1347" s="11" t="str">
        <f>[1]Aseguradoras!B10</f>
        <v>La Independencia de Seguros S.A.</v>
      </c>
      <c r="C1347" s="12">
        <f>LOOKUP(426030100,[1]PlanCuentas!$A$2:$A$6092,[1]PlanCuentas!K$2:K$6092)</f>
        <v>229421</v>
      </c>
      <c r="D1347" s="12">
        <f>LOOKUP(426030200,[1]PlanCuentas!$A$2:$A$6092,[1]PlanCuentas!K$2:K$6092)</f>
        <v>0</v>
      </c>
      <c r="E1347" s="12">
        <f>LOOKUP(426030300,[1]PlanCuentas!$A$2:$A$6092,[1]PlanCuentas!K$2:K$6092)</f>
        <v>56205</v>
      </c>
      <c r="F1347" s="12">
        <f>LOOKUP(426030400,[1]PlanCuentas!$A$2:$A$6092,[1]PlanCuentas!K$2:K$6092)</f>
        <v>27875344</v>
      </c>
      <c r="G1347" s="12">
        <f>LOOKUP(426030500,[1]PlanCuentas!$A$2:$A$6092,[1]PlanCuentas!K$2:K$6092)</f>
        <v>0</v>
      </c>
      <c r="H1347" s="12">
        <f>LOOKUP(426030600,[1]PlanCuentas!$A$2:$A$6092,[1]PlanCuentas!K$2:K$6092)</f>
        <v>146599</v>
      </c>
      <c r="I1347" s="12">
        <f>LOOKUP(426030700,[1]PlanCuentas!$A$2:$A$6092,[1]PlanCuentas!K$2:K$6092)</f>
        <v>0</v>
      </c>
      <c r="J1347" s="12">
        <f>LOOKUP(426030800,[1]PlanCuentas!$A$2:$A$6092,[1]PlanCuentas!K$2:K$6092)</f>
        <v>0</v>
      </c>
      <c r="K1347" s="12">
        <f>LOOKUP(426030900,[1]PlanCuentas!$A$2:$A$6092,[1]PlanCuentas!K$2:K$6092)</f>
        <v>507298</v>
      </c>
      <c r="L1347" s="12">
        <f>LOOKUP(426031000,[1]PlanCuentas!$A$2:$A$6092,[1]PlanCuentas!K$2:K$6092)</f>
        <v>45315</v>
      </c>
      <c r="M1347" s="12">
        <f>LOOKUP(426031100,[1]PlanCuentas!$A$2:$A$6092,[1]PlanCuentas!K$2:K$6092)</f>
        <v>0</v>
      </c>
      <c r="N1347" s="12">
        <f>LOOKUP(426031200,[1]PlanCuentas!$A$2:$A$6092,[1]PlanCuentas!K$2:K$6092)</f>
        <v>0</v>
      </c>
      <c r="O1347" s="12">
        <f>LOOKUP(426031300,[1]PlanCuentas!$A$2:$A$6092,[1]PlanCuentas!K$2:K$6092)</f>
        <v>179477</v>
      </c>
      <c r="P1347" s="12">
        <f>LOOKUP(426032000,[1]PlanCuentas!$A$2:$A$6092,[1]PlanCuentas!K$2:K$6092)</f>
        <v>0</v>
      </c>
      <c r="Q1347" s="13">
        <f t="shared" si="64"/>
        <v>29039659</v>
      </c>
    </row>
    <row r="1348" spans="1:17" x14ac:dyDescent="0.2">
      <c r="A1348" s="10">
        <v>10</v>
      </c>
      <c r="B1348" s="11" t="str">
        <f>[1]Aseguradoras!B11</f>
        <v>Patria S.A de Seguros y Reaseguros</v>
      </c>
      <c r="C1348" s="12">
        <f>LOOKUP(426030100,[1]PlanCuentas!$A$2:$A$6092,[1]PlanCuentas!L$2:L$6092)</f>
        <v>5288031</v>
      </c>
      <c r="D1348" s="12">
        <f>LOOKUP(426030200,[1]PlanCuentas!$A$2:$A$6092,[1]PlanCuentas!L$2:L$6092)</f>
        <v>0</v>
      </c>
      <c r="E1348" s="12">
        <f>LOOKUP(426030300,[1]PlanCuentas!$A$2:$A$6092,[1]PlanCuentas!L$2:L$6092)</f>
        <v>132000</v>
      </c>
      <c r="F1348" s="12">
        <f>LOOKUP(426030400,[1]PlanCuentas!$A$2:$A$6092,[1]PlanCuentas!L$2:L$6092)</f>
        <v>3269203</v>
      </c>
      <c r="G1348" s="12">
        <f>LOOKUP(426030500,[1]PlanCuentas!$A$2:$A$6092,[1]PlanCuentas!L$2:L$6092)</f>
        <v>0</v>
      </c>
      <c r="H1348" s="12">
        <f>LOOKUP(426030600,[1]PlanCuentas!$A$2:$A$6092,[1]PlanCuentas!L$2:L$6092)</f>
        <v>0</v>
      </c>
      <c r="I1348" s="12">
        <f>LOOKUP(426030700,[1]PlanCuentas!$A$2:$A$6092,[1]PlanCuentas!L$2:L$6092)</f>
        <v>0</v>
      </c>
      <c r="J1348" s="12">
        <f>LOOKUP(426030800,[1]PlanCuentas!$A$2:$A$6092,[1]PlanCuentas!L$2:L$6092)</f>
        <v>0</v>
      </c>
      <c r="K1348" s="12">
        <f>LOOKUP(426030900,[1]PlanCuentas!$A$2:$A$6092,[1]PlanCuentas!L$2:L$6092)</f>
        <v>0</v>
      </c>
      <c r="L1348" s="12">
        <f>LOOKUP(426031000,[1]PlanCuentas!$A$2:$A$6092,[1]PlanCuentas!L$2:L$6092)</f>
        <v>0</v>
      </c>
      <c r="M1348" s="12">
        <f>LOOKUP(426031100,[1]PlanCuentas!$A$2:$A$6092,[1]PlanCuentas!L$2:L$6092)</f>
        <v>0</v>
      </c>
      <c r="N1348" s="12">
        <f>LOOKUP(426031200,[1]PlanCuentas!$A$2:$A$6092,[1]PlanCuentas!L$2:L$6092)</f>
        <v>0</v>
      </c>
      <c r="O1348" s="12">
        <f>LOOKUP(426031300,[1]PlanCuentas!$A$2:$A$6092,[1]PlanCuentas!L$2:L$6092)</f>
        <v>3648083</v>
      </c>
      <c r="P1348" s="12">
        <f>LOOKUP(426032000,[1]PlanCuentas!$A$2:$A$6092,[1]PlanCuentas!L$2:L$6092)</f>
        <v>0</v>
      </c>
      <c r="Q1348" s="13">
        <f t="shared" si="64"/>
        <v>12337317</v>
      </c>
    </row>
    <row r="1349" spans="1:17" x14ac:dyDescent="0.2">
      <c r="A1349" s="10">
        <v>11</v>
      </c>
      <c r="B1349" s="11" t="str">
        <f>[1]Aseguradoras!B12</f>
        <v>Garantía S.A de Seguros y Reaseguros</v>
      </c>
      <c r="C1349" s="12">
        <f>LOOKUP(426030100,[1]PlanCuentas!$A$2:$A$6092,[1]PlanCuentas!M$2:M$6092)</f>
        <v>862725</v>
      </c>
      <c r="D1349" s="12">
        <f>LOOKUP(426030200,[1]PlanCuentas!$A$2:$A$6092,[1]PlanCuentas!M$2:M$6092)</f>
        <v>0</v>
      </c>
      <c r="E1349" s="12">
        <f>LOOKUP(426030300,[1]PlanCuentas!$A$2:$A$6092,[1]PlanCuentas!M$2:M$6092)</f>
        <v>81863</v>
      </c>
      <c r="F1349" s="12">
        <f>LOOKUP(426030400,[1]PlanCuentas!$A$2:$A$6092,[1]PlanCuentas!M$2:M$6092)</f>
        <v>26091054</v>
      </c>
      <c r="G1349" s="12">
        <f>LOOKUP(426030500,[1]PlanCuentas!$A$2:$A$6092,[1]PlanCuentas!M$2:M$6092)</f>
        <v>0</v>
      </c>
      <c r="H1349" s="12">
        <f>LOOKUP(426030600,[1]PlanCuentas!$A$2:$A$6092,[1]PlanCuentas!M$2:M$6092)</f>
        <v>550822</v>
      </c>
      <c r="I1349" s="12">
        <f>LOOKUP(426030700,[1]PlanCuentas!$A$2:$A$6092,[1]PlanCuentas!M$2:M$6092)</f>
        <v>0</v>
      </c>
      <c r="J1349" s="12">
        <f>LOOKUP(426030800,[1]PlanCuentas!$A$2:$A$6092,[1]PlanCuentas!M$2:M$6092)</f>
        <v>0</v>
      </c>
      <c r="K1349" s="12">
        <f>LOOKUP(426030900,[1]PlanCuentas!$A$2:$A$6092,[1]PlanCuentas!M$2:M$6092)</f>
        <v>1624241</v>
      </c>
      <c r="L1349" s="12">
        <f>LOOKUP(426031000,[1]PlanCuentas!$A$2:$A$6092,[1]PlanCuentas!M$2:M$6092)</f>
        <v>0</v>
      </c>
      <c r="M1349" s="12">
        <f>LOOKUP(426031100,[1]PlanCuentas!$A$2:$A$6092,[1]PlanCuentas!M$2:M$6092)</f>
        <v>0</v>
      </c>
      <c r="N1349" s="12">
        <f>LOOKUP(426031200,[1]PlanCuentas!$A$2:$A$6092,[1]PlanCuentas!M$2:M$6092)</f>
        <v>0</v>
      </c>
      <c r="O1349" s="12">
        <f>LOOKUP(426031300,[1]PlanCuentas!$A$2:$A$6092,[1]PlanCuentas!M$2:M$6092)</f>
        <v>14888</v>
      </c>
      <c r="P1349" s="12">
        <f>LOOKUP(426032000,[1]PlanCuentas!$A$2:$A$6092,[1]PlanCuentas!M$2:M$6092)</f>
        <v>0</v>
      </c>
      <c r="Q1349" s="13">
        <f t="shared" si="64"/>
        <v>29225593</v>
      </c>
    </row>
    <row r="1350" spans="1:17" x14ac:dyDescent="0.2">
      <c r="A1350" s="10">
        <v>12</v>
      </c>
      <c r="B1350" s="11" t="str">
        <f>[1]Aseguradoras!B13</f>
        <v>Aseguradora Paraguaya S.A.</v>
      </c>
      <c r="C1350" s="12">
        <f>LOOKUP(426030100,[1]PlanCuentas!$A$2:$A$6092,[1]PlanCuentas!N$2:N$6092)</f>
        <v>0</v>
      </c>
      <c r="D1350" s="12">
        <f>LOOKUP(426030200,[1]PlanCuentas!$A$2:$A$6092,[1]PlanCuentas!N$2:N$6092)</f>
        <v>0</v>
      </c>
      <c r="E1350" s="12">
        <f>LOOKUP(426030300,[1]PlanCuentas!$A$2:$A$6092,[1]PlanCuentas!N$2:N$6092)</f>
        <v>0</v>
      </c>
      <c r="F1350" s="12">
        <f>LOOKUP(426030400,[1]PlanCuentas!$A$2:$A$6092,[1]PlanCuentas!N$2:N$6092)</f>
        <v>0</v>
      </c>
      <c r="G1350" s="12">
        <f>LOOKUP(426030500,[1]PlanCuentas!$A$2:$A$6092,[1]PlanCuentas!N$2:N$6092)</f>
        <v>0</v>
      </c>
      <c r="H1350" s="12">
        <f>LOOKUP(426030600,[1]PlanCuentas!$A$2:$A$6092,[1]PlanCuentas!N$2:N$6092)</f>
        <v>0</v>
      </c>
      <c r="I1350" s="12">
        <f>LOOKUP(426030700,[1]PlanCuentas!$A$2:$A$6092,[1]PlanCuentas!N$2:N$6092)</f>
        <v>0</v>
      </c>
      <c r="J1350" s="12">
        <f>LOOKUP(426030800,[1]PlanCuentas!$A$2:$A$6092,[1]PlanCuentas!N$2:N$6092)</f>
        <v>0</v>
      </c>
      <c r="K1350" s="12">
        <f>LOOKUP(426030900,[1]PlanCuentas!$A$2:$A$6092,[1]PlanCuentas!N$2:N$6092)</f>
        <v>0</v>
      </c>
      <c r="L1350" s="12">
        <f>LOOKUP(426031000,[1]PlanCuentas!$A$2:$A$6092,[1]PlanCuentas!N$2:N$6092)</f>
        <v>0</v>
      </c>
      <c r="M1350" s="12">
        <f>LOOKUP(426031100,[1]PlanCuentas!$A$2:$A$6092,[1]PlanCuentas!N$2:N$6092)</f>
        <v>0</v>
      </c>
      <c r="N1350" s="12">
        <f>LOOKUP(426031200,[1]PlanCuentas!$A$2:$A$6092,[1]PlanCuentas!N$2:N$6092)</f>
        <v>0</v>
      </c>
      <c r="O1350" s="12">
        <f>LOOKUP(426031300,[1]PlanCuentas!$A$2:$A$6092,[1]PlanCuentas!N$2:N$6092)</f>
        <v>0</v>
      </c>
      <c r="P1350" s="12">
        <f>LOOKUP(426032000,[1]PlanCuentas!$A$2:$A$6092,[1]PlanCuentas!N$2:N$6092)</f>
        <v>0</v>
      </c>
      <c r="Q1350" s="13">
        <f t="shared" si="64"/>
        <v>0</v>
      </c>
    </row>
    <row r="1351" spans="1:17" x14ac:dyDescent="0.2">
      <c r="A1351" s="10">
        <v>13</v>
      </c>
      <c r="B1351" s="11" t="str">
        <f>[1]Aseguradoras!B14</f>
        <v>Fénix S.A de Seguros y Reaseguros</v>
      </c>
      <c r="C1351" s="12">
        <f>LOOKUP(426030100,[1]PlanCuentas!$A$2:$A$6092,[1]PlanCuentas!O$2:O$6092)</f>
        <v>174985092</v>
      </c>
      <c r="D1351" s="12">
        <f>LOOKUP(426030200,[1]PlanCuentas!$A$2:$A$6092,[1]PlanCuentas!O$2:O$6092)</f>
        <v>4234927</v>
      </c>
      <c r="E1351" s="12">
        <f>LOOKUP(426030300,[1]PlanCuentas!$A$2:$A$6092,[1]PlanCuentas!O$2:O$6092)</f>
        <v>0</v>
      </c>
      <c r="F1351" s="12">
        <f>LOOKUP(426030400,[1]PlanCuentas!$A$2:$A$6092,[1]PlanCuentas!O$2:O$6092)</f>
        <v>1552680</v>
      </c>
      <c r="G1351" s="12">
        <f>LOOKUP(426030500,[1]PlanCuentas!$A$2:$A$6092,[1]PlanCuentas!O$2:O$6092)</f>
        <v>0</v>
      </c>
      <c r="H1351" s="12">
        <f>LOOKUP(426030600,[1]PlanCuentas!$A$2:$A$6092,[1]PlanCuentas!O$2:O$6092)</f>
        <v>0</v>
      </c>
      <c r="I1351" s="12">
        <f>LOOKUP(426030700,[1]PlanCuentas!$A$2:$A$6092,[1]PlanCuentas!O$2:O$6092)</f>
        <v>2331725</v>
      </c>
      <c r="J1351" s="12">
        <f>LOOKUP(426030800,[1]PlanCuentas!$A$2:$A$6092,[1]PlanCuentas!O$2:O$6092)</f>
        <v>0</v>
      </c>
      <c r="K1351" s="12">
        <f>LOOKUP(426030900,[1]PlanCuentas!$A$2:$A$6092,[1]PlanCuentas!O$2:O$6092)</f>
        <v>73094</v>
      </c>
      <c r="L1351" s="12">
        <f>LOOKUP(426031000,[1]PlanCuentas!$A$2:$A$6092,[1]PlanCuentas!O$2:O$6092)</f>
        <v>0</v>
      </c>
      <c r="M1351" s="12">
        <f>LOOKUP(426031100,[1]PlanCuentas!$A$2:$A$6092,[1]PlanCuentas!O$2:O$6092)</f>
        <v>0</v>
      </c>
      <c r="N1351" s="12">
        <f>LOOKUP(426031200,[1]PlanCuentas!$A$2:$A$6092,[1]PlanCuentas!O$2:O$6092)</f>
        <v>9701795</v>
      </c>
      <c r="O1351" s="12">
        <f>LOOKUP(426031300,[1]PlanCuentas!$A$2:$A$6092,[1]PlanCuentas!O$2:O$6092)</f>
        <v>18712826</v>
      </c>
      <c r="P1351" s="12">
        <f>LOOKUP(426032000,[1]PlanCuentas!$A$2:$A$6092,[1]PlanCuentas!O$2:O$6092)</f>
        <v>0</v>
      </c>
      <c r="Q1351" s="13">
        <f t="shared" si="64"/>
        <v>211592139</v>
      </c>
    </row>
    <row r="1352" spans="1:17" x14ac:dyDescent="0.2">
      <c r="A1352" s="10">
        <v>14</v>
      </c>
      <c r="B1352" s="11" t="str">
        <f>[1]Aseguradoras!B15</f>
        <v>Central S.A de Seguros</v>
      </c>
      <c r="C1352" s="12">
        <f>LOOKUP(426030100,[1]PlanCuentas!$A$2:$A$6092,[1]PlanCuentas!P$2:P$6092)</f>
        <v>0</v>
      </c>
      <c r="D1352" s="12">
        <f>LOOKUP(426030200,[1]PlanCuentas!$A$2:$A$6092,[1]PlanCuentas!P$2:P$6092)</f>
        <v>0</v>
      </c>
      <c r="E1352" s="12">
        <f>LOOKUP(426030300,[1]PlanCuentas!$A$2:$A$6092,[1]PlanCuentas!P$2:P$6092)</f>
        <v>0</v>
      </c>
      <c r="F1352" s="12">
        <f>LOOKUP(426030400,[1]PlanCuentas!$A$2:$A$6092,[1]PlanCuentas!P$2:P$6092)</f>
        <v>0</v>
      </c>
      <c r="G1352" s="12">
        <f>LOOKUP(426030500,[1]PlanCuentas!$A$2:$A$6092,[1]PlanCuentas!P$2:P$6092)</f>
        <v>0</v>
      </c>
      <c r="H1352" s="12">
        <f>LOOKUP(426030600,[1]PlanCuentas!$A$2:$A$6092,[1]PlanCuentas!P$2:P$6092)</f>
        <v>0</v>
      </c>
      <c r="I1352" s="12">
        <f>LOOKUP(426030700,[1]PlanCuentas!$A$2:$A$6092,[1]PlanCuentas!P$2:P$6092)</f>
        <v>0</v>
      </c>
      <c r="J1352" s="12">
        <f>LOOKUP(426030800,[1]PlanCuentas!$A$2:$A$6092,[1]PlanCuentas!P$2:P$6092)</f>
        <v>0</v>
      </c>
      <c r="K1352" s="12">
        <f>LOOKUP(426030900,[1]PlanCuentas!$A$2:$A$6092,[1]PlanCuentas!P$2:P$6092)</f>
        <v>0</v>
      </c>
      <c r="L1352" s="12">
        <f>LOOKUP(426031000,[1]PlanCuentas!$A$2:$A$6092,[1]PlanCuentas!P$2:P$6092)</f>
        <v>0</v>
      </c>
      <c r="M1352" s="12">
        <f>LOOKUP(426031100,[1]PlanCuentas!$A$2:$A$6092,[1]PlanCuentas!P$2:P$6092)</f>
        <v>0</v>
      </c>
      <c r="N1352" s="12">
        <f>LOOKUP(426031200,[1]PlanCuentas!$A$2:$A$6092,[1]PlanCuentas!P$2:P$6092)</f>
        <v>0</v>
      </c>
      <c r="O1352" s="12">
        <f>LOOKUP(426031300,[1]PlanCuentas!$A$2:$A$6092,[1]PlanCuentas!P$2:P$6092)</f>
        <v>0</v>
      </c>
      <c r="P1352" s="12">
        <f>LOOKUP(426032000,[1]PlanCuentas!$A$2:$A$6092,[1]PlanCuentas!P$2:P$6092)</f>
        <v>0</v>
      </c>
      <c r="Q1352" s="13">
        <f t="shared" si="64"/>
        <v>0</v>
      </c>
    </row>
    <row r="1353" spans="1:17" x14ac:dyDescent="0.2">
      <c r="A1353" s="10">
        <v>15</v>
      </c>
      <c r="B1353" s="11" t="str">
        <f>[1]Aseguradoras!B16</f>
        <v>Seguros Chaco S.A de Seguros y Reaseguros</v>
      </c>
      <c r="C1353" s="12">
        <f>LOOKUP(426030100,[1]PlanCuentas!$A$2:$A$6092,[1]PlanCuentas!Q$2:Q$6092)</f>
        <v>0</v>
      </c>
      <c r="D1353" s="12">
        <f>LOOKUP(426030200,[1]PlanCuentas!$A$2:$A$6092,[1]PlanCuentas!Q$2:Q$6092)</f>
        <v>0</v>
      </c>
      <c r="E1353" s="12">
        <f>LOOKUP(426030300,[1]PlanCuentas!$A$2:$A$6092,[1]PlanCuentas!Q$2:Q$6092)</f>
        <v>0</v>
      </c>
      <c r="F1353" s="12">
        <f>LOOKUP(426030400,[1]PlanCuentas!$A$2:$A$6092,[1]PlanCuentas!Q$2:Q$6092)</f>
        <v>0</v>
      </c>
      <c r="G1353" s="12">
        <f>LOOKUP(426030500,[1]PlanCuentas!$A$2:$A$6092,[1]PlanCuentas!Q$2:Q$6092)</f>
        <v>0</v>
      </c>
      <c r="H1353" s="12">
        <f>LOOKUP(426030600,[1]PlanCuentas!$A$2:$A$6092,[1]PlanCuentas!Q$2:Q$6092)</f>
        <v>0</v>
      </c>
      <c r="I1353" s="12">
        <f>LOOKUP(426030700,[1]PlanCuentas!$A$2:$A$6092,[1]PlanCuentas!Q$2:Q$6092)</f>
        <v>0</v>
      </c>
      <c r="J1353" s="12">
        <f>LOOKUP(426030800,[1]PlanCuentas!$A$2:$A$6092,[1]PlanCuentas!Q$2:Q$6092)</f>
        <v>0</v>
      </c>
      <c r="K1353" s="12">
        <f>LOOKUP(426030900,[1]PlanCuentas!$A$2:$A$6092,[1]PlanCuentas!Q$2:Q$6092)</f>
        <v>0</v>
      </c>
      <c r="L1353" s="12">
        <f>LOOKUP(426031000,[1]PlanCuentas!$A$2:$A$6092,[1]PlanCuentas!Q$2:Q$6092)</f>
        <v>0</v>
      </c>
      <c r="M1353" s="12">
        <f>LOOKUP(426031100,[1]PlanCuentas!$A$2:$A$6092,[1]PlanCuentas!Q$2:Q$6092)</f>
        <v>0</v>
      </c>
      <c r="N1353" s="12">
        <f>LOOKUP(426031200,[1]PlanCuentas!$A$2:$A$6092,[1]PlanCuentas!Q$2:Q$6092)</f>
        <v>0</v>
      </c>
      <c r="O1353" s="12">
        <f>LOOKUP(426031300,[1]PlanCuentas!$A$2:$A$6092,[1]PlanCuentas!Q$2:Q$6092)</f>
        <v>0</v>
      </c>
      <c r="P1353" s="12">
        <f>LOOKUP(426032000,[1]PlanCuentas!$A$2:$A$6092,[1]PlanCuentas!Q$2:Q$6092)</f>
        <v>0</v>
      </c>
      <c r="Q1353" s="13">
        <f t="shared" si="64"/>
        <v>0</v>
      </c>
    </row>
    <row r="1354" spans="1:17" x14ac:dyDescent="0.2">
      <c r="A1354" s="10">
        <v>16</v>
      </c>
      <c r="B1354" s="11" t="str">
        <f>[1]Aseguradoras!B17</f>
        <v>El Sol Del Paraguay Compañía de Seguros y Reaseguros S.A.</v>
      </c>
      <c r="C1354" s="12">
        <f>LOOKUP(426030100,[1]PlanCuentas!$A$2:$A$6092,[1]PlanCuentas!R$2:R$6092)</f>
        <v>0</v>
      </c>
      <c r="D1354" s="12">
        <f>LOOKUP(426030200,[1]PlanCuentas!$A$2:$A$6092,[1]PlanCuentas!R$2:R$6092)</f>
        <v>0</v>
      </c>
      <c r="E1354" s="12">
        <f>LOOKUP(426030300,[1]PlanCuentas!$A$2:$A$6092,[1]PlanCuentas!R$2:R$6092)</f>
        <v>0</v>
      </c>
      <c r="F1354" s="12">
        <f>LOOKUP(426030400,[1]PlanCuentas!$A$2:$A$6092,[1]PlanCuentas!R$2:R$6092)</f>
        <v>0</v>
      </c>
      <c r="G1354" s="12">
        <f>LOOKUP(426030500,[1]PlanCuentas!$A$2:$A$6092,[1]PlanCuentas!R$2:R$6092)</f>
        <v>0</v>
      </c>
      <c r="H1354" s="12">
        <f>LOOKUP(426030600,[1]PlanCuentas!$A$2:$A$6092,[1]PlanCuentas!R$2:R$6092)</f>
        <v>0</v>
      </c>
      <c r="I1354" s="12">
        <f>LOOKUP(426030700,[1]PlanCuentas!$A$2:$A$6092,[1]PlanCuentas!R$2:R$6092)</f>
        <v>0</v>
      </c>
      <c r="J1354" s="12">
        <f>LOOKUP(426030800,[1]PlanCuentas!$A$2:$A$6092,[1]PlanCuentas!R$2:R$6092)</f>
        <v>0</v>
      </c>
      <c r="K1354" s="12">
        <f>LOOKUP(426030900,[1]PlanCuentas!$A$2:$A$6092,[1]PlanCuentas!R$2:R$6092)</f>
        <v>0</v>
      </c>
      <c r="L1354" s="12">
        <f>LOOKUP(426031000,[1]PlanCuentas!$A$2:$A$6092,[1]PlanCuentas!R$2:R$6092)</f>
        <v>0</v>
      </c>
      <c r="M1354" s="12">
        <f>LOOKUP(426031100,[1]PlanCuentas!$A$2:$A$6092,[1]PlanCuentas!R$2:R$6092)</f>
        <v>0</v>
      </c>
      <c r="N1354" s="12">
        <f>LOOKUP(426031200,[1]PlanCuentas!$A$2:$A$6092,[1]PlanCuentas!R$2:R$6092)</f>
        <v>0</v>
      </c>
      <c r="O1354" s="12">
        <f>LOOKUP(426031300,[1]PlanCuentas!$A$2:$A$6092,[1]PlanCuentas!R$2:R$6092)</f>
        <v>0</v>
      </c>
      <c r="P1354" s="12">
        <f>LOOKUP(426032000,[1]PlanCuentas!$A$2:$A$6092,[1]PlanCuentas!R$2:R$6092)</f>
        <v>0</v>
      </c>
      <c r="Q1354" s="13">
        <f t="shared" si="64"/>
        <v>0</v>
      </c>
    </row>
    <row r="1355" spans="1:17" x14ac:dyDescent="0.2">
      <c r="A1355" s="10">
        <v>17</v>
      </c>
      <c r="B1355" s="11" t="str">
        <f>[1]Aseguradoras!B18</f>
        <v>Intercontinental de Seguros y Reaseguros S.A.</v>
      </c>
      <c r="C1355" s="12">
        <f>LOOKUP(426030100,[1]PlanCuentas!$A$2:$A$6092,[1]PlanCuentas!S$2:S$6092)</f>
        <v>0</v>
      </c>
      <c r="D1355" s="12">
        <f>LOOKUP(426030200,[1]PlanCuentas!$A$2:$A$6092,[1]PlanCuentas!S$2:S$6092)</f>
        <v>0</v>
      </c>
      <c r="E1355" s="12">
        <f>LOOKUP(426030300,[1]PlanCuentas!$A$2:$A$6092,[1]PlanCuentas!S$2:S$6092)</f>
        <v>0</v>
      </c>
      <c r="F1355" s="12">
        <f>LOOKUP(426030400,[1]PlanCuentas!$A$2:$A$6092,[1]PlanCuentas!S$2:S$6092)</f>
        <v>0</v>
      </c>
      <c r="G1355" s="12">
        <f>LOOKUP(426030500,[1]PlanCuentas!$A$2:$A$6092,[1]PlanCuentas!S$2:S$6092)</f>
        <v>0</v>
      </c>
      <c r="H1355" s="12">
        <f>LOOKUP(426030600,[1]PlanCuentas!$A$2:$A$6092,[1]PlanCuentas!S$2:S$6092)</f>
        <v>0</v>
      </c>
      <c r="I1355" s="12">
        <f>LOOKUP(426030700,[1]PlanCuentas!$A$2:$A$6092,[1]PlanCuentas!S$2:S$6092)</f>
        <v>0</v>
      </c>
      <c r="J1355" s="12">
        <f>LOOKUP(426030800,[1]PlanCuentas!$A$2:$A$6092,[1]PlanCuentas!S$2:S$6092)</f>
        <v>0</v>
      </c>
      <c r="K1355" s="12">
        <f>LOOKUP(426030900,[1]PlanCuentas!$A$2:$A$6092,[1]PlanCuentas!S$2:S$6092)</f>
        <v>0</v>
      </c>
      <c r="L1355" s="12">
        <f>LOOKUP(426031000,[1]PlanCuentas!$A$2:$A$6092,[1]PlanCuentas!S$2:S$6092)</f>
        <v>0</v>
      </c>
      <c r="M1355" s="12">
        <f>LOOKUP(426031100,[1]PlanCuentas!$A$2:$A$6092,[1]PlanCuentas!S$2:S$6092)</f>
        <v>0</v>
      </c>
      <c r="N1355" s="12">
        <f>LOOKUP(426031200,[1]PlanCuentas!$A$2:$A$6092,[1]PlanCuentas!S$2:S$6092)</f>
        <v>0</v>
      </c>
      <c r="O1355" s="12">
        <f>LOOKUP(426031300,[1]PlanCuentas!$A$2:$A$6092,[1]PlanCuentas!S$2:S$6092)</f>
        <v>0</v>
      </c>
      <c r="P1355" s="12">
        <f>LOOKUP(426032000,[1]PlanCuentas!$A$2:$A$6092,[1]PlanCuentas!S$2:S$6092)</f>
        <v>0</v>
      </c>
      <c r="Q1355" s="13">
        <f t="shared" si="64"/>
        <v>0</v>
      </c>
    </row>
    <row r="1356" spans="1:17" x14ac:dyDescent="0.2">
      <c r="A1356" s="10">
        <v>18</v>
      </c>
      <c r="B1356" s="11" t="str">
        <f>[1]Aseguradoras!B19</f>
        <v>Seguridad S.A Compañía de Seguros</v>
      </c>
      <c r="C1356" s="12">
        <f>LOOKUP(426030100,[1]PlanCuentas!$A$2:$A$6092,[1]PlanCuentas!T$2:T$6092)</f>
        <v>0</v>
      </c>
      <c r="D1356" s="12">
        <f>LOOKUP(426030200,[1]PlanCuentas!$A$2:$A$6092,[1]PlanCuentas!T$2:T$6092)</f>
        <v>0</v>
      </c>
      <c r="E1356" s="12">
        <f>LOOKUP(426030300,[1]PlanCuentas!$A$2:$A$6092,[1]PlanCuentas!T$2:T$6092)</f>
        <v>0</v>
      </c>
      <c r="F1356" s="12">
        <f>LOOKUP(426030400,[1]PlanCuentas!$A$2:$A$6092,[1]PlanCuentas!T$2:T$6092)</f>
        <v>0</v>
      </c>
      <c r="G1356" s="12">
        <f>LOOKUP(426030500,[1]PlanCuentas!$A$2:$A$6092,[1]PlanCuentas!T$2:T$6092)</f>
        <v>0</v>
      </c>
      <c r="H1356" s="12">
        <f>LOOKUP(426030600,[1]PlanCuentas!$A$2:$A$6092,[1]PlanCuentas!T$2:T$6092)</f>
        <v>0</v>
      </c>
      <c r="I1356" s="12">
        <f>LOOKUP(426030700,[1]PlanCuentas!$A$2:$A$6092,[1]PlanCuentas!T$2:T$6092)</f>
        <v>0</v>
      </c>
      <c r="J1356" s="12">
        <f>LOOKUP(426030800,[1]PlanCuentas!$A$2:$A$6092,[1]PlanCuentas!T$2:T$6092)</f>
        <v>0</v>
      </c>
      <c r="K1356" s="12">
        <f>LOOKUP(426030900,[1]PlanCuentas!$A$2:$A$6092,[1]PlanCuentas!T$2:T$6092)</f>
        <v>0</v>
      </c>
      <c r="L1356" s="12">
        <f>LOOKUP(426031000,[1]PlanCuentas!$A$2:$A$6092,[1]PlanCuentas!T$2:T$6092)</f>
        <v>0</v>
      </c>
      <c r="M1356" s="12">
        <f>LOOKUP(426031100,[1]PlanCuentas!$A$2:$A$6092,[1]PlanCuentas!T$2:T$6092)</f>
        <v>0</v>
      </c>
      <c r="N1356" s="12">
        <f>LOOKUP(426031200,[1]PlanCuentas!$A$2:$A$6092,[1]PlanCuentas!T$2:T$6092)</f>
        <v>0</v>
      </c>
      <c r="O1356" s="12">
        <f>LOOKUP(426031300,[1]PlanCuentas!$A$2:$A$6092,[1]PlanCuentas!T$2:T$6092)</f>
        <v>0</v>
      </c>
      <c r="P1356" s="12">
        <f>LOOKUP(426032000,[1]PlanCuentas!$A$2:$A$6092,[1]PlanCuentas!T$2:T$6092)</f>
        <v>10052632</v>
      </c>
      <c r="Q1356" s="13">
        <f t="shared" si="64"/>
        <v>10052632</v>
      </c>
    </row>
    <row r="1357" spans="1:17" x14ac:dyDescent="0.2">
      <c r="A1357" s="10">
        <v>19</v>
      </c>
      <c r="B1357" s="11" t="str">
        <f>[1]Aseguradoras!B20</f>
        <v>Universo de Seguros y Reaseguros S.A.</v>
      </c>
      <c r="C1357" s="12">
        <f>LOOKUP(426030100,[1]PlanCuentas!$A$2:$A$6092,[1]PlanCuentas!U$2:U$6092)</f>
        <v>0</v>
      </c>
      <c r="D1357" s="12">
        <f>LOOKUP(426030200,[1]PlanCuentas!$A$2:$A$6092,[1]PlanCuentas!U$2:U$6092)</f>
        <v>0</v>
      </c>
      <c r="E1357" s="12">
        <f>LOOKUP(426030300,[1]PlanCuentas!$A$2:$A$6092,[1]PlanCuentas!U$2:U$6092)</f>
        <v>0</v>
      </c>
      <c r="F1357" s="12">
        <f>LOOKUP(426030400,[1]PlanCuentas!$A$2:$A$6092,[1]PlanCuentas!U$2:U$6092)</f>
        <v>0</v>
      </c>
      <c r="G1357" s="12">
        <f>LOOKUP(426030500,[1]PlanCuentas!$A$2:$A$6092,[1]PlanCuentas!U$2:U$6092)</f>
        <v>0</v>
      </c>
      <c r="H1357" s="12">
        <f>LOOKUP(426030600,[1]PlanCuentas!$A$2:$A$6092,[1]PlanCuentas!U$2:U$6092)</f>
        <v>0</v>
      </c>
      <c r="I1357" s="12">
        <f>LOOKUP(426030700,[1]PlanCuentas!$A$2:$A$6092,[1]PlanCuentas!U$2:U$6092)</f>
        <v>0</v>
      </c>
      <c r="J1357" s="12">
        <f>LOOKUP(426030800,[1]PlanCuentas!$A$2:$A$6092,[1]PlanCuentas!U$2:U$6092)</f>
        <v>0</v>
      </c>
      <c r="K1357" s="12">
        <f>LOOKUP(426030900,[1]PlanCuentas!$A$2:$A$6092,[1]PlanCuentas!U$2:U$6092)</f>
        <v>0</v>
      </c>
      <c r="L1357" s="12">
        <f>LOOKUP(426031000,[1]PlanCuentas!$A$2:$A$6092,[1]PlanCuentas!U$2:U$6092)</f>
        <v>0</v>
      </c>
      <c r="M1357" s="12">
        <f>LOOKUP(426031100,[1]PlanCuentas!$A$2:$A$6092,[1]PlanCuentas!U$2:U$6092)</f>
        <v>0</v>
      </c>
      <c r="N1357" s="12">
        <f>LOOKUP(426031200,[1]PlanCuentas!$A$2:$A$6092,[1]PlanCuentas!U$2:U$6092)</f>
        <v>0</v>
      </c>
      <c r="O1357" s="12">
        <f>LOOKUP(426031300,[1]PlanCuentas!$A$2:$A$6092,[1]PlanCuentas!U$2:U$6092)</f>
        <v>0</v>
      </c>
      <c r="P1357" s="12">
        <f>LOOKUP(426032000,[1]PlanCuentas!$A$2:$A$6092,[1]PlanCuentas!U$2:U$6092)</f>
        <v>0</v>
      </c>
      <c r="Q1357" s="13">
        <f t="shared" si="64"/>
        <v>0</v>
      </c>
    </row>
    <row r="1358" spans="1:17" x14ac:dyDescent="0.2">
      <c r="A1358" s="10">
        <v>20</v>
      </c>
      <c r="B1358" s="11" t="str">
        <f>[1]Aseguradoras!B21</f>
        <v>Aseguradora Yacyreta S.A de Seguros y Reaseguros</v>
      </c>
      <c r="C1358" s="12">
        <f>LOOKUP(426030100,[1]PlanCuentas!$A$2:$A$6092,[1]PlanCuentas!V$2:V$6092)</f>
        <v>4561444</v>
      </c>
      <c r="D1358" s="12">
        <f>LOOKUP(426030200,[1]PlanCuentas!$A$2:$A$6092,[1]PlanCuentas!V$2:V$6092)</f>
        <v>3416763</v>
      </c>
      <c r="E1358" s="12">
        <f>LOOKUP(426030300,[1]PlanCuentas!$A$2:$A$6092,[1]PlanCuentas!V$2:V$6092)</f>
        <v>408524</v>
      </c>
      <c r="F1358" s="12">
        <f>LOOKUP(426030400,[1]PlanCuentas!$A$2:$A$6092,[1]PlanCuentas!V$2:V$6092)</f>
        <v>623280</v>
      </c>
      <c r="G1358" s="12">
        <f>LOOKUP(426030500,[1]PlanCuentas!$A$2:$A$6092,[1]PlanCuentas!V$2:V$6092)</f>
        <v>0</v>
      </c>
      <c r="H1358" s="12">
        <f>LOOKUP(426030600,[1]PlanCuentas!$A$2:$A$6092,[1]PlanCuentas!V$2:V$6092)</f>
        <v>0</v>
      </c>
      <c r="I1358" s="12">
        <f>LOOKUP(426030700,[1]PlanCuentas!$A$2:$A$6092,[1]PlanCuentas!V$2:V$6092)</f>
        <v>0</v>
      </c>
      <c r="J1358" s="12">
        <f>LOOKUP(426030800,[1]PlanCuentas!$A$2:$A$6092,[1]PlanCuentas!V$2:V$6092)</f>
        <v>0</v>
      </c>
      <c r="K1358" s="12">
        <f>LOOKUP(426030900,[1]PlanCuentas!$A$2:$A$6092,[1]PlanCuentas!V$2:V$6092)</f>
        <v>1769800</v>
      </c>
      <c r="L1358" s="12">
        <f>LOOKUP(426031000,[1]PlanCuentas!$A$2:$A$6092,[1]PlanCuentas!V$2:V$6092)</f>
        <v>0</v>
      </c>
      <c r="M1358" s="12">
        <f>LOOKUP(426031100,[1]PlanCuentas!$A$2:$A$6092,[1]PlanCuentas!V$2:V$6092)</f>
        <v>0</v>
      </c>
      <c r="N1358" s="12">
        <f>LOOKUP(426031200,[1]PlanCuentas!$A$2:$A$6092,[1]PlanCuentas!V$2:V$6092)</f>
        <v>0</v>
      </c>
      <c r="O1358" s="12">
        <f>LOOKUP(426031300,[1]PlanCuentas!$A$2:$A$6092,[1]PlanCuentas!V$2:V$6092)</f>
        <v>0</v>
      </c>
      <c r="P1358" s="12">
        <f>LOOKUP(426032000,[1]PlanCuentas!$A$2:$A$6092,[1]PlanCuentas!V$2:V$6092)</f>
        <v>0</v>
      </c>
      <c r="Q1358" s="13">
        <f t="shared" si="64"/>
        <v>10779811</v>
      </c>
    </row>
    <row r="1359" spans="1:17" x14ac:dyDescent="0.2">
      <c r="A1359" s="10">
        <v>21</v>
      </c>
      <c r="B1359" s="11" t="str">
        <f>[1]Aseguradoras!B22</f>
        <v>La Agricola S.A de Seguros y Reaseguros</v>
      </c>
      <c r="C1359" s="12">
        <f>LOOKUP(426030100,[1]PlanCuentas!$A$2:$A$6092,[1]PlanCuentas!W$2:W$6092)</f>
        <v>82623</v>
      </c>
      <c r="D1359" s="12">
        <f>LOOKUP(426030200,[1]PlanCuentas!$A$2:$A$6092,[1]PlanCuentas!W$2:W$6092)</f>
        <v>0</v>
      </c>
      <c r="E1359" s="12">
        <f>LOOKUP(426030300,[1]PlanCuentas!$A$2:$A$6092,[1]PlanCuentas!W$2:W$6092)</f>
        <v>0</v>
      </c>
      <c r="F1359" s="12">
        <f>LOOKUP(426030400,[1]PlanCuentas!$A$2:$A$6092,[1]PlanCuentas!W$2:W$6092)</f>
        <v>2635731</v>
      </c>
      <c r="G1359" s="12">
        <f>LOOKUP(426030500,[1]PlanCuentas!$A$2:$A$6092,[1]PlanCuentas!W$2:W$6092)</f>
        <v>0</v>
      </c>
      <c r="H1359" s="12">
        <f>LOOKUP(426030600,[1]PlanCuentas!$A$2:$A$6092,[1]PlanCuentas!W$2:W$6092)</f>
        <v>0</v>
      </c>
      <c r="I1359" s="12">
        <f>LOOKUP(426030700,[1]PlanCuentas!$A$2:$A$6092,[1]PlanCuentas!W$2:W$6092)</f>
        <v>0</v>
      </c>
      <c r="J1359" s="12">
        <f>LOOKUP(426030800,[1]PlanCuentas!$A$2:$A$6092,[1]PlanCuentas!W$2:W$6092)</f>
        <v>0</v>
      </c>
      <c r="K1359" s="12">
        <f>LOOKUP(426030900,[1]PlanCuentas!$A$2:$A$6092,[1]PlanCuentas!W$2:W$6092)</f>
        <v>0</v>
      </c>
      <c r="L1359" s="12">
        <f>LOOKUP(426031000,[1]PlanCuentas!$A$2:$A$6092,[1]PlanCuentas!W$2:W$6092)</f>
        <v>1964628</v>
      </c>
      <c r="M1359" s="12">
        <f>LOOKUP(426031100,[1]PlanCuentas!$A$2:$A$6092,[1]PlanCuentas!W$2:W$6092)</f>
        <v>0</v>
      </c>
      <c r="N1359" s="12">
        <f>LOOKUP(426031200,[1]PlanCuentas!$A$2:$A$6092,[1]PlanCuentas!W$2:W$6092)</f>
        <v>0</v>
      </c>
      <c r="O1359" s="12">
        <f>LOOKUP(426031300,[1]PlanCuentas!$A$2:$A$6092,[1]PlanCuentas!W$2:W$6092)</f>
        <v>0</v>
      </c>
      <c r="P1359" s="12">
        <f>LOOKUP(426032000,[1]PlanCuentas!$A$2:$A$6092,[1]PlanCuentas!W$2:W$6092)</f>
        <v>0</v>
      </c>
      <c r="Q1359" s="13">
        <f t="shared" si="64"/>
        <v>4682982</v>
      </c>
    </row>
    <row r="1360" spans="1:17" x14ac:dyDescent="0.2">
      <c r="A1360" s="10">
        <v>22</v>
      </c>
      <c r="B1360" s="11" t="str">
        <f>[1]Aseguradoras!B23</f>
        <v>Grupo General de Seguros y Reaseguros S.A.</v>
      </c>
      <c r="C1360" s="12">
        <f>LOOKUP(426030100,[1]PlanCuentas!$A$2:$A$6092,[1]PlanCuentas!X$2:X$6092)</f>
        <v>35415845</v>
      </c>
      <c r="D1360" s="12">
        <f>LOOKUP(426030200,[1]PlanCuentas!$A$2:$A$6092,[1]PlanCuentas!X$2:X$6092)</f>
        <v>11105562</v>
      </c>
      <c r="E1360" s="12">
        <f>LOOKUP(426030300,[1]PlanCuentas!$A$2:$A$6092,[1]PlanCuentas!X$2:X$6092)</f>
        <v>0</v>
      </c>
      <c r="F1360" s="12">
        <f>LOOKUP(426030400,[1]PlanCuentas!$A$2:$A$6092,[1]PlanCuentas!X$2:X$6092)</f>
        <v>19607295</v>
      </c>
      <c r="G1360" s="12">
        <f>LOOKUP(426030500,[1]PlanCuentas!$A$2:$A$6092,[1]PlanCuentas!X$2:X$6092)</f>
        <v>0</v>
      </c>
      <c r="H1360" s="12">
        <f>LOOKUP(426030600,[1]PlanCuentas!$A$2:$A$6092,[1]PlanCuentas!X$2:X$6092)</f>
        <v>4087279</v>
      </c>
      <c r="I1360" s="12">
        <f>LOOKUP(426030700,[1]PlanCuentas!$A$2:$A$6092,[1]PlanCuentas!X$2:X$6092)</f>
        <v>1986376</v>
      </c>
      <c r="J1360" s="12">
        <f>LOOKUP(426030800,[1]PlanCuentas!$A$2:$A$6092,[1]PlanCuentas!X$2:X$6092)</f>
        <v>0</v>
      </c>
      <c r="K1360" s="12">
        <f>LOOKUP(426030900,[1]PlanCuentas!$A$2:$A$6092,[1]PlanCuentas!X$2:X$6092)</f>
        <v>0</v>
      </c>
      <c r="L1360" s="12">
        <f>LOOKUP(426031000,[1]PlanCuentas!$A$2:$A$6092,[1]PlanCuentas!X$2:X$6092)</f>
        <v>0</v>
      </c>
      <c r="M1360" s="12">
        <f>LOOKUP(426031100,[1]PlanCuentas!$A$2:$A$6092,[1]PlanCuentas!X$2:X$6092)</f>
        <v>657506</v>
      </c>
      <c r="N1360" s="12">
        <f>LOOKUP(426031200,[1]PlanCuentas!$A$2:$A$6092,[1]PlanCuentas!X$2:X$6092)</f>
        <v>19911411</v>
      </c>
      <c r="O1360" s="12">
        <f>LOOKUP(426031300,[1]PlanCuentas!$A$2:$A$6092,[1]PlanCuentas!X$2:X$6092)</f>
        <v>4337635</v>
      </c>
      <c r="P1360" s="12">
        <f>LOOKUP(426032000,[1]PlanCuentas!$A$2:$A$6092,[1]PlanCuentas!X$2:X$6092)</f>
        <v>0</v>
      </c>
      <c r="Q1360" s="13">
        <f t="shared" si="64"/>
        <v>97108909</v>
      </c>
    </row>
    <row r="1361" spans="1:22" x14ac:dyDescent="0.2">
      <c r="A1361" s="10">
        <v>23</v>
      </c>
      <c r="B1361" s="11" t="str">
        <f>[1]Aseguradoras!B24</f>
        <v>Alfa S.A de Seguros y Reaseguros</v>
      </c>
      <c r="C1361" s="12">
        <f>LOOKUP(426030100,[1]PlanCuentas!$A$2:$A$6092,[1]PlanCuentas!Y$2:Y$6092)</f>
        <v>395238</v>
      </c>
      <c r="D1361" s="12">
        <f>LOOKUP(426030200,[1]PlanCuentas!$A$2:$A$6092,[1]PlanCuentas!Y$2:Y$6092)</f>
        <v>117479</v>
      </c>
      <c r="E1361" s="12">
        <f>LOOKUP(426030300,[1]PlanCuentas!$A$2:$A$6092,[1]PlanCuentas!Y$2:Y$6092)</f>
        <v>75101</v>
      </c>
      <c r="F1361" s="12">
        <f>LOOKUP(426030400,[1]PlanCuentas!$A$2:$A$6092,[1]PlanCuentas!Y$2:Y$6092)</f>
        <v>27612679</v>
      </c>
      <c r="G1361" s="12">
        <f>LOOKUP(426030500,[1]PlanCuentas!$A$2:$A$6092,[1]PlanCuentas!Y$2:Y$6092)</f>
        <v>0</v>
      </c>
      <c r="H1361" s="12">
        <f>LOOKUP(426030600,[1]PlanCuentas!$A$2:$A$6092,[1]PlanCuentas!Y$2:Y$6092)</f>
        <v>385458</v>
      </c>
      <c r="I1361" s="12">
        <f>LOOKUP(426030700,[1]PlanCuentas!$A$2:$A$6092,[1]PlanCuentas!Y$2:Y$6092)</f>
        <v>0</v>
      </c>
      <c r="J1361" s="12">
        <f>LOOKUP(426030800,[1]PlanCuentas!$A$2:$A$6092,[1]PlanCuentas!Y$2:Y$6092)</f>
        <v>0</v>
      </c>
      <c r="K1361" s="12">
        <f>LOOKUP(426030900,[1]PlanCuentas!$A$2:$A$6092,[1]PlanCuentas!Y$2:Y$6092)</f>
        <v>507293</v>
      </c>
      <c r="L1361" s="12">
        <f>LOOKUP(426031000,[1]PlanCuentas!$A$2:$A$6092,[1]PlanCuentas!Y$2:Y$6092)</f>
        <v>45315</v>
      </c>
      <c r="M1361" s="12">
        <f>LOOKUP(426031100,[1]PlanCuentas!$A$2:$A$6092,[1]PlanCuentas!Y$2:Y$6092)</f>
        <v>0</v>
      </c>
      <c r="N1361" s="12">
        <f>LOOKUP(426031200,[1]PlanCuentas!$A$2:$A$6092,[1]PlanCuentas!Y$2:Y$6092)</f>
        <v>0</v>
      </c>
      <c r="O1361" s="12">
        <f>LOOKUP(426031300,[1]PlanCuentas!$A$2:$A$6092,[1]PlanCuentas!Y$2:Y$6092)</f>
        <v>14889</v>
      </c>
      <c r="P1361" s="12">
        <f>LOOKUP(426032000,[1]PlanCuentas!$A$2:$A$6092,[1]PlanCuentas!Y$2:Y$6092)</f>
        <v>0</v>
      </c>
      <c r="Q1361" s="13">
        <f t="shared" si="64"/>
        <v>29153452</v>
      </c>
    </row>
    <row r="1362" spans="1:22" x14ac:dyDescent="0.2">
      <c r="A1362" s="10">
        <v>24</v>
      </c>
      <c r="B1362" s="11" t="str">
        <f>[1]Aseguradoras!B25</f>
        <v>Cenit de Seguros S.A.</v>
      </c>
      <c r="C1362" s="12">
        <f>LOOKUP(426030100,[1]PlanCuentas!$A$2:$A$6092,[1]PlanCuentas!Z$2:Z$6092)</f>
        <v>0</v>
      </c>
      <c r="D1362" s="12">
        <f>LOOKUP(426030200,[1]PlanCuentas!$A$2:$A$6092,[1]PlanCuentas!Z$2:Z$6092)</f>
        <v>0</v>
      </c>
      <c r="E1362" s="12">
        <f>LOOKUP(426030300,[1]PlanCuentas!$A$2:$A$6092,[1]PlanCuentas!Z$2:Z$6092)</f>
        <v>0</v>
      </c>
      <c r="F1362" s="12">
        <f>LOOKUP(426030400,[1]PlanCuentas!$A$2:$A$6092,[1]PlanCuentas!Z$2:Z$6092)</f>
        <v>0</v>
      </c>
      <c r="G1362" s="12">
        <f>LOOKUP(426030500,[1]PlanCuentas!$A$2:$A$6092,[1]PlanCuentas!Z$2:Z$6092)</f>
        <v>0</v>
      </c>
      <c r="H1362" s="12">
        <f>LOOKUP(426030600,[1]PlanCuentas!$A$2:$A$6092,[1]PlanCuentas!Z$2:Z$6092)</f>
        <v>0</v>
      </c>
      <c r="I1362" s="12">
        <f>LOOKUP(426030700,[1]PlanCuentas!$A$2:$A$6092,[1]PlanCuentas!Z$2:Z$6092)</f>
        <v>0</v>
      </c>
      <c r="J1362" s="12">
        <f>LOOKUP(426030800,[1]PlanCuentas!$A$2:$A$6092,[1]PlanCuentas!Z$2:Z$6092)</f>
        <v>0</v>
      </c>
      <c r="K1362" s="12">
        <f>LOOKUP(426030900,[1]PlanCuentas!$A$2:$A$6092,[1]PlanCuentas!Z$2:Z$6092)</f>
        <v>0</v>
      </c>
      <c r="L1362" s="12">
        <f>LOOKUP(426031000,[1]PlanCuentas!$A$2:$A$6092,[1]PlanCuentas!Z$2:Z$6092)</f>
        <v>0</v>
      </c>
      <c r="M1362" s="12">
        <f>LOOKUP(426031100,[1]PlanCuentas!$A$2:$A$6092,[1]PlanCuentas!Z$2:Z$6092)</f>
        <v>0</v>
      </c>
      <c r="N1362" s="12">
        <f>LOOKUP(426031200,[1]PlanCuentas!$A$2:$A$6092,[1]PlanCuentas!Z$2:Z$6092)</f>
        <v>0</v>
      </c>
      <c r="O1362" s="12">
        <f>LOOKUP(426031300,[1]PlanCuentas!$A$2:$A$6092,[1]PlanCuentas!Z$2:Z$6092)</f>
        <v>0</v>
      </c>
      <c r="P1362" s="12">
        <f>LOOKUP(426032000,[1]PlanCuentas!$A$2:$A$6092,[1]PlanCuentas!Z$2:Z$6092)</f>
        <v>0</v>
      </c>
      <c r="Q1362" s="13">
        <f t="shared" si="64"/>
        <v>0</v>
      </c>
    </row>
    <row r="1363" spans="1:22" x14ac:dyDescent="0.2">
      <c r="A1363" s="10">
        <v>25</v>
      </c>
      <c r="B1363" s="11" t="str">
        <f>[1]Aseguradoras!B26</f>
        <v>La Meridional Paraguaya S.A de Seguros</v>
      </c>
      <c r="C1363" s="12">
        <f>LOOKUP(426030100,[1]PlanCuentas!$A$2:$A$6092,[1]PlanCuentas!AA$2:AA$6092)</f>
        <v>527302</v>
      </c>
      <c r="D1363" s="12">
        <f>LOOKUP(426030200,[1]PlanCuentas!$A$2:$A$6092,[1]PlanCuentas!AA$2:AA$6092)</f>
        <v>0</v>
      </c>
      <c r="E1363" s="12">
        <f>LOOKUP(426030300,[1]PlanCuentas!$A$2:$A$6092,[1]PlanCuentas!AA$2:AA$6092)</f>
        <v>64809</v>
      </c>
      <c r="F1363" s="12">
        <f>LOOKUP(426030400,[1]PlanCuentas!$A$2:$A$6092,[1]PlanCuentas!AA$2:AA$6092)</f>
        <v>22898956</v>
      </c>
      <c r="G1363" s="12">
        <f>LOOKUP(426030500,[1]PlanCuentas!$A$2:$A$6092,[1]PlanCuentas!AA$2:AA$6092)</f>
        <v>0</v>
      </c>
      <c r="H1363" s="12">
        <f>LOOKUP(426030600,[1]PlanCuentas!$A$2:$A$6092,[1]PlanCuentas!AA$2:AA$6092)</f>
        <v>120085</v>
      </c>
      <c r="I1363" s="12">
        <f>LOOKUP(426030700,[1]PlanCuentas!$A$2:$A$6092,[1]PlanCuentas!AA$2:AA$6092)</f>
        <v>0</v>
      </c>
      <c r="J1363" s="12">
        <f>LOOKUP(426030800,[1]PlanCuentas!$A$2:$A$6092,[1]PlanCuentas!AA$2:AA$6092)</f>
        <v>0</v>
      </c>
      <c r="K1363" s="12">
        <f>LOOKUP(426030900,[1]PlanCuentas!$A$2:$A$6092,[1]PlanCuentas!AA$2:AA$6092)</f>
        <v>379283</v>
      </c>
      <c r="L1363" s="12">
        <f>LOOKUP(426031000,[1]PlanCuentas!$A$2:$A$6092,[1]PlanCuentas!AA$2:AA$6092)</f>
        <v>45315</v>
      </c>
      <c r="M1363" s="12">
        <f>LOOKUP(426031100,[1]PlanCuentas!$A$2:$A$6092,[1]PlanCuentas!AA$2:AA$6092)</f>
        <v>0</v>
      </c>
      <c r="N1363" s="12">
        <f>LOOKUP(426031200,[1]PlanCuentas!$A$2:$A$6092,[1]PlanCuentas!AA$2:AA$6092)</f>
        <v>0</v>
      </c>
      <c r="O1363" s="12">
        <f>LOOKUP(426031300,[1]PlanCuentas!$A$2:$A$6092,[1]PlanCuentas!AA$2:AA$6092)</f>
        <v>0</v>
      </c>
      <c r="P1363" s="12">
        <f>LOOKUP(426032000,[1]PlanCuentas!$A$2:$A$6092,[1]PlanCuentas!AA$2:AA$6092)</f>
        <v>0</v>
      </c>
      <c r="Q1363" s="13">
        <f t="shared" si="64"/>
        <v>24035750</v>
      </c>
    </row>
    <row r="1364" spans="1:22" x14ac:dyDescent="0.2">
      <c r="A1364" s="10">
        <v>26</v>
      </c>
      <c r="B1364" s="11" t="str">
        <f>[1]Aseguradoras!B27</f>
        <v>Aseguradora Del Este S.A de Seguros y Reaseguros</v>
      </c>
      <c r="C1364" s="12">
        <f>LOOKUP(426030100,[1]PlanCuentas!$A$2:$A$6092,[1]PlanCuentas!AB$2:AB$6092)</f>
        <v>97730568</v>
      </c>
      <c r="D1364" s="12">
        <f>LOOKUP(426030200,[1]PlanCuentas!$A$2:$A$6092,[1]PlanCuentas!AB$2:AB$6092)</f>
        <v>5250336</v>
      </c>
      <c r="E1364" s="12">
        <f>LOOKUP(426030300,[1]PlanCuentas!$A$2:$A$6092,[1]PlanCuentas!AB$2:AB$6092)</f>
        <v>9895962</v>
      </c>
      <c r="F1364" s="12">
        <f>LOOKUP(426030400,[1]PlanCuentas!$A$2:$A$6092,[1]PlanCuentas!AB$2:AB$6092)</f>
        <v>176778963</v>
      </c>
      <c r="G1364" s="12">
        <f>LOOKUP(426030500,[1]PlanCuentas!$A$2:$A$6092,[1]PlanCuentas!AB$2:AB$6092)</f>
        <v>0</v>
      </c>
      <c r="H1364" s="12">
        <f>LOOKUP(426030600,[1]PlanCuentas!$A$2:$A$6092,[1]PlanCuentas!AB$2:AB$6092)</f>
        <v>20068481</v>
      </c>
      <c r="I1364" s="12">
        <f>LOOKUP(426030700,[1]PlanCuentas!$A$2:$A$6092,[1]PlanCuentas!AB$2:AB$6092)</f>
        <v>3168849</v>
      </c>
      <c r="J1364" s="12">
        <f>LOOKUP(426030800,[1]PlanCuentas!$A$2:$A$6092,[1]PlanCuentas!AB$2:AB$6092)</f>
        <v>0</v>
      </c>
      <c r="K1364" s="12">
        <f>LOOKUP(426030900,[1]PlanCuentas!$A$2:$A$6092,[1]PlanCuentas!AB$2:AB$6092)</f>
        <v>18265505</v>
      </c>
      <c r="L1364" s="12">
        <f>LOOKUP(426031000,[1]PlanCuentas!$A$2:$A$6092,[1]PlanCuentas!AB$2:AB$6092)</f>
        <v>2536874</v>
      </c>
      <c r="M1364" s="12">
        <f>LOOKUP(426031100,[1]PlanCuentas!$A$2:$A$6092,[1]PlanCuentas!AB$2:AB$6092)</f>
        <v>13288170</v>
      </c>
      <c r="N1364" s="12">
        <f>LOOKUP(426031200,[1]PlanCuentas!$A$2:$A$6092,[1]PlanCuentas!AB$2:AB$6092)</f>
        <v>61689829</v>
      </c>
      <c r="O1364" s="12">
        <f>LOOKUP(426031300,[1]PlanCuentas!$A$2:$A$6092,[1]PlanCuentas!AB$2:AB$6092)</f>
        <v>1089599</v>
      </c>
      <c r="P1364" s="12">
        <f>LOOKUP(426032000,[1]PlanCuentas!$A$2:$A$6092,[1]PlanCuentas!AB$2:AB$6092)</f>
        <v>7090500</v>
      </c>
      <c r="Q1364" s="13">
        <f t="shared" si="64"/>
        <v>416853636</v>
      </c>
    </row>
    <row r="1365" spans="1:22" x14ac:dyDescent="0.2">
      <c r="A1365" s="10">
        <v>27</v>
      </c>
      <c r="B1365" s="11" t="str">
        <f>[1]Aseguradoras!B28</f>
        <v>Imperio S.A de Seguros y Reaseguros</v>
      </c>
      <c r="C1365" s="12">
        <f>LOOKUP(426030100,[1]PlanCuentas!$A$2:$A$6092,[1]PlanCuentas!AC$2:AC$6092)</f>
        <v>0</v>
      </c>
      <c r="D1365" s="12">
        <f>LOOKUP(426030200,[1]PlanCuentas!$A$2:$A$6092,[1]PlanCuentas!AC$2:AC$6092)</f>
        <v>0</v>
      </c>
      <c r="E1365" s="12">
        <f>LOOKUP(426030300,[1]PlanCuentas!$A$2:$A$6092,[1]PlanCuentas!AC$2:AC$6092)</f>
        <v>0</v>
      </c>
      <c r="F1365" s="12">
        <f>LOOKUP(426030400,[1]PlanCuentas!$A$2:$A$6092,[1]PlanCuentas!AC$2:AC$6092)</f>
        <v>0</v>
      </c>
      <c r="G1365" s="12">
        <f>LOOKUP(426030500,[1]PlanCuentas!$A$2:$A$6092,[1]PlanCuentas!AC$2:AC$6092)</f>
        <v>0</v>
      </c>
      <c r="H1365" s="12">
        <f>LOOKUP(426030600,[1]PlanCuentas!$A$2:$A$6092,[1]PlanCuentas!AC$2:AC$6092)</f>
        <v>0</v>
      </c>
      <c r="I1365" s="12">
        <f>LOOKUP(426030700,[1]PlanCuentas!$A$2:$A$6092,[1]PlanCuentas!AC$2:AC$6092)</f>
        <v>0</v>
      </c>
      <c r="J1365" s="12">
        <f>LOOKUP(426030800,[1]PlanCuentas!$A$2:$A$6092,[1]PlanCuentas!AC$2:AC$6092)</f>
        <v>0</v>
      </c>
      <c r="K1365" s="12">
        <f>LOOKUP(426030900,[1]PlanCuentas!$A$2:$A$6092,[1]PlanCuentas!AC$2:AC$6092)</f>
        <v>0</v>
      </c>
      <c r="L1365" s="12">
        <f>LOOKUP(426031000,[1]PlanCuentas!$A$2:$A$6092,[1]PlanCuentas!AC$2:AC$6092)</f>
        <v>0</v>
      </c>
      <c r="M1365" s="12">
        <f>LOOKUP(426031100,[1]PlanCuentas!$A$2:$A$6092,[1]PlanCuentas!AC$2:AC$6092)</f>
        <v>0</v>
      </c>
      <c r="N1365" s="12">
        <f>LOOKUP(426031200,[1]PlanCuentas!$A$2:$A$6092,[1]PlanCuentas!AC$2:AC$6092)</f>
        <v>0</v>
      </c>
      <c r="O1365" s="12">
        <f>LOOKUP(426031300,[1]PlanCuentas!$A$2:$A$6092,[1]PlanCuentas!AC$2:AC$6092)</f>
        <v>0</v>
      </c>
      <c r="P1365" s="12">
        <f>LOOKUP(426032000,[1]PlanCuentas!$A$2:$A$6092,[1]PlanCuentas!AC$2:AC$6092)</f>
        <v>0</v>
      </c>
      <c r="Q1365" s="13">
        <f t="shared" si="64"/>
        <v>0</v>
      </c>
    </row>
    <row r="1366" spans="1:22" x14ac:dyDescent="0.2">
      <c r="A1366" s="10">
        <v>28</v>
      </c>
      <c r="B1366" s="11" t="str">
        <f>[1]Aseguradoras!B29</f>
        <v>Regional S.A de Seguros y Reaseguros</v>
      </c>
      <c r="C1366" s="12">
        <f>LOOKUP(426030100,[1]PlanCuentas!$A$2:$A$6092,[1]PlanCuentas!AD$2:AD$6092)</f>
        <v>6747562</v>
      </c>
      <c r="D1366" s="12">
        <f>LOOKUP(426030200,[1]PlanCuentas!$A$2:$A$6092,[1]PlanCuentas!AD$2:AD$6092)</f>
        <v>991254</v>
      </c>
      <c r="E1366" s="12">
        <f>LOOKUP(426030300,[1]PlanCuentas!$A$2:$A$6092,[1]PlanCuentas!AD$2:AD$6092)</f>
        <v>0</v>
      </c>
      <c r="F1366" s="12">
        <f>LOOKUP(426030400,[1]PlanCuentas!$A$2:$A$6092,[1]PlanCuentas!AD$2:AD$6092)</f>
        <v>0</v>
      </c>
      <c r="G1366" s="12">
        <f>LOOKUP(426030500,[1]PlanCuentas!$A$2:$A$6092,[1]PlanCuentas!AD$2:AD$6092)</f>
        <v>0</v>
      </c>
      <c r="H1366" s="12">
        <f>LOOKUP(426030600,[1]PlanCuentas!$A$2:$A$6092,[1]PlanCuentas!AD$2:AD$6092)</f>
        <v>225041</v>
      </c>
      <c r="I1366" s="12">
        <f>LOOKUP(426030700,[1]PlanCuentas!$A$2:$A$6092,[1]PlanCuentas!AD$2:AD$6092)</f>
        <v>0</v>
      </c>
      <c r="J1366" s="12">
        <f>LOOKUP(426030800,[1]PlanCuentas!$A$2:$A$6092,[1]PlanCuentas!AD$2:AD$6092)</f>
        <v>0</v>
      </c>
      <c r="K1366" s="12">
        <f>LOOKUP(426030900,[1]PlanCuentas!$A$2:$A$6092,[1]PlanCuentas!AD$2:AD$6092)</f>
        <v>0</v>
      </c>
      <c r="L1366" s="12">
        <f>LOOKUP(426031000,[1]PlanCuentas!$A$2:$A$6092,[1]PlanCuentas!AD$2:AD$6092)</f>
        <v>3243182</v>
      </c>
      <c r="M1366" s="12">
        <f>LOOKUP(426031100,[1]PlanCuentas!$A$2:$A$6092,[1]PlanCuentas!AD$2:AD$6092)</f>
        <v>0</v>
      </c>
      <c r="N1366" s="12">
        <f>LOOKUP(426031200,[1]PlanCuentas!$A$2:$A$6092,[1]PlanCuentas!AD$2:AD$6092)</f>
        <v>0</v>
      </c>
      <c r="O1366" s="12">
        <f>LOOKUP(426031300,[1]PlanCuentas!$A$2:$A$6092,[1]PlanCuentas!AD$2:AD$6092)</f>
        <v>7155193</v>
      </c>
      <c r="P1366" s="12">
        <f>LOOKUP(426032000,[1]PlanCuentas!$A$2:$A$6092,[1]PlanCuentas!AD$2:AD$6092)</f>
        <v>0</v>
      </c>
      <c r="Q1366" s="13">
        <f t="shared" si="64"/>
        <v>18362232</v>
      </c>
    </row>
    <row r="1367" spans="1:22" s="37" customFormat="1" x14ac:dyDescent="0.2">
      <c r="A1367" s="10">
        <v>29</v>
      </c>
      <c r="B1367" s="11" t="str">
        <f>[1]Aseguradoras!B30</f>
        <v>Mapfre Paraguay Compañía de Seguros S.A.</v>
      </c>
      <c r="C1367" s="12">
        <f>LOOKUP(426030100,[1]PlanCuentas!$A$2:$A$6092,[1]PlanCuentas!AE$2:AE$6092)</f>
        <v>6774193</v>
      </c>
      <c r="D1367" s="12">
        <f>LOOKUP(426030200,[1]PlanCuentas!$A$2:$A$6092,[1]PlanCuentas!AE$2:AE$6092)</f>
        <v>0</v>
      </c>
      <c r="E1367" s="12">
        <f>LOOKUP(426030300,[1]PlanCuentas!$A$2:$A$6092,[1]PlanCuentas!AE$2:AE$6092)</f>
        <v>0</v>
      </c>
      <c r="F1367" s="12">
        <f>LOOKUP(426030400,[1]PlanCuentas!$A$2:$A$6092,[1]PlanCuentas!AE$2:AE$6092)</f>
        <v>0</v>
      </c>
      <c r="G1367" s="12">
        <f>LOOKUP(426030500,[1]PlanCuentas!$A$2:$A$6092,[1]PlanCuentas!AE$2:AE$6092)</f>
        <v>0</v>
      </c>
      <c r="H1367" s="12">
        <f>LOOKUP(426030600,[1]PlanCuentas!$A$2:$A$6092,[1]PlanCuentas!AE$2:AE$6092)</f>
        <v>0</v>
      </c>
      <c r="I1367" s="12">
        <f>LOOKUP(426030700,[1]PlanCuentas!$A$2:$A$6092,[1]PlanCuentas!AE$2:AE$6092)</f>
        <v>0</v>
      </c>
      <c r="J1367" s="12">
        <f>LOOKUP(426030800,[1]PlanCuentas!$A$2:$A$6092,[1]PlanCuentas!AE$2:AE$6092)</f>
        <v>0</v>
      </c>
      <c r="K1367" s="12">
        <f>LOOKUP(426030900,[1]PlanCuentas!$A$2:$A$6092,[1]PlanCuentas!AE$2:AE$6092)</f>
        <v>0</v>
      </c>
      <c r="L1367" s="12">
        <f>LOOKUP(426031000,[1]PlanCuentas!$A$2:$A$6092,[1]PlanCuentas!AE$2:AE$6092)</f>
        <v>0</v>
      </c>
      <c r="M1367" s="12">
        <f>LOOKUP(426031100,[1]PlanCuentas!$A$2:$A$6092,[1]PlanCuentas!AE$2:AE$6092)</f>
        <v>0</v>
      </c>
      <c r="N1367" s="12">
        <f>LOOKUP(426031200,[1]PlanCuentas!$A$2:$A$6092,[1]PlanCuentas!AE$2:AE$6092)</f>
        <v>0</v>
      </c>
      <c r="O1367" s="12">
        <f>LOOKUP(426031300,[1]PlanCuentas!$A$2:$A$6092,[1]PlanCuentas!AE$2:AE$6092)</f>
        <v>0</v>
      </c>
      <c r="P1367" s="12">
        <f>LOOKUP(426032000,[1]PlanCuentas!$A$2:$A$6092,[1]PlanCuentas!AE$2:AE$6092)</f>
        <v>0</v>
      </c>
      <c r="Q1367" s="13">
        <f t="shared" si="64"/>
        <v>6774193</v>
      </c>
    </row>
    <row r="1368" spans="1:22" s="37" customFormat="1" x14ac:dyDescent="0.2">
      <c r="A1368" s="10">
        <v>30</v>
      </c>
      <c r="B1368" s="11" t="str">
        <f>[1]Aseguradoras!B31</f>
        <v>Aseguradora Tajy Propiedad Cooperativa S.A. de Seguros</v>
      </c>
      <c r="C1368" s="12">
        <f>LOOKUP(426030100,[1]PlanCuentas!$A$2:$A$6092,[1]PlanCuentas!AF$2:AF$6092)</f>
        <v>0</v>
      </c>
      <c r="D1368" s="12">
        <f>LOOKUP(426030200,[1]PlanCuentas!$A$2:$A$6092,[1]PlanCuentas!AF$2:AF$6092)</f>
        <v>0</v>
      </c>
      <c r="E1368" s="12">
        <f>LOOKUP(426030300,[1]PlanCuentas!$A$2:$A$6092,[1]PlanCuentas!AF$2:AF$6092)</f>
        <v>0</v>
      </c>
      <c r="F1368" s="12">
        <f>LOOKUP(426030400,[1]PlanCuentas!$A$2:$A$6092,[1]PlanCuentas!AF$2:AF$6092)</f>
        <v>9415800</v>
      </c>
      <c r="G1368" s="12">
        <f>LOOKUP(426030500,[1]PlanCuentas!$A$2:$A$6092,[1]PlanCuentas!AF$2:AF$6092)</f>
        <v>0</v>
      </c>
      <c r="H1368" s="12">
        <f>LOOKUP(426030600,[1]PlanCuentas!$A$2:$A$6092,[1]PlanCuentas!AF$2:AF$6092)</f>
        <v>0</v>
      </c>
      <c r="I1368" s="12">
        <f>LOOKUP(426030700,[1]PlanCuentas!$A$2:$A$6092,[1]PlanCuentas!AF$2:AF$6092)</f>
        <v>0</v>
      </c>
      <c r="J1368" s="12">
        <f>LOOKUP(426030800,[1]PlanCuentas!$A$2:$A$6092,[1]PlanCuentas!AF$2:AF$6092)</f>
        <v>0</v>
      </c>
      <c r="K1368" s="12">
        <f>LOOKUP(426030900,[1]PlanCuentas!$A$2:$A$6092,[1]PlanCuentas!AF$2:AF$6092)</f>
        <v>0</v>
      </c>
      <c r="L1368" s="12">
        <f>LOOKUP(426031000,[1]PlanCuentas!$A$2:$A$6092,[1]PlanCuentas!AF$2:AF$6092)</f>
        <v>0</v>
      </c>
      <c r="M1368" s="12">
        <f>LOOKUP(426031100,[1]PlanCuentas!$A$2:$A$6092,[1]PlanCuentas!AF$2:AF$6092)</f>
        <v>0</v>
      </c>
      <c r="N1368" s="12">
        <f>LOOKUP(426031200,[1]PlanCuentas!$A$2:$A$6092,[1]PlanCuentas!AF$2:AF$6092)</f>
        <v>0</v>
      </c>
      <c r="O1368" s="12">
        <f>LOOKUP(426031300,[1]PlanCuentas!$A$2:$A$6092,[1]PlanCuentas!AF$2:AF$6092)</f>
        <v>0</v>
      </c>
      <c r="P1368" s="12">
        <f>LOOKUP(426032000,[1]PlanCuentas!$A$2:$A$6092,[1]PlanCuentas!AF$2:AF$6092)</f>
        <v>0</v>
      </c>
      <c r="Q1368" s="13">
        <f t="shared" si="64"/>
        <v>9415800</v>
      </c>
    </row>
    <row r="1369" spans="1:22" x14ac:dyDescent="0.2">
      <c r="A1369" s="10">
        <v>31</v>
      </c>
      <c r="B1369" s="11" t="str">
        <f>[1]Aseguradoras!B32</f>
        <v>Aseguradora del Sur S.A. Seguros Generales - ASUR</v>
      </c>
      <c r="C1369" s="12">
        <f>LOOKUP(426030100,[1]PlanCuentas!$A$2:$A$6092,[1]PlanCuentas!AG$2:AG$6092)</f>
        <v>0</v>
      </c>
      <c r="D1369" s="12">
        <f>LOOKUP(426030200,[1]PlanCuentas!$A$2:$A$6092,[1]PlanCuentas!AG$2:AG$6092)</f>
        <v>0</v>
      </c>
      <c r="E1369" s="12">
        <f>LOOKUP(426030300,[1]PlanCuentas!$A$2:$A$6092,[1]PlanCuentas!AG$2:AG$6092)</f>
        <v>0</v>
      </c>
      <c r="F1369" s="12">
        <f>LOOKUP(426030400,[1]PlanCuentas!$A$2:$A$6092,[1]PlanCuentas!AG$2:AG$6092)</f>
        <v>0</v>
      </c>
      <c r="G1369" s="12">
        <f>LOOKUP(426030500,[1]PlanCuentas!$A$2:$A$6092,[1]PlanCuentas!AG$2:AG$6092)</f>
        <v>0</v>
      </c>
      <c r="H1369" s="12">
        <f>LOOKUP(426030600,[1]PlanCuentas!$A$2:$A$6092,[1]PlanCuentas!AG$2:AG$6092)</f>
        <v>0</v>
      </c>
      <c r="I1369" s="12">
        <f>LOOKUP(426030700,[1]PlanCuentas!$A$2:$A$6092,[1]PlanCuentas!AG$2:AG$6092)</f>
        <v>0</v>
      </c>
      <c r="J1369" s="12">
        <f>LOOKUP(426030800,[1]PlanCuentas!$A$2:$A$6092,[1]PlanCuentas!AG$2:AG$6092)</f>
        <v>0</v>
      </c>
      <c r="K1369" s="12">
        <f>LOOKUP(426030900,[1]PlanCuentas!$A$2:$A$6092,[1]PlanCuentas!AG$2:AG$6092)</f>
        <v>0</v>
      </c>
      <c r="L1369" s="12">
        <f>LOOKUP(426031000,[1]PlanCuentas!$A$2:$A$6092,[1]PlanCuentas!AG$2:AG$6092)</f>
        <v>0</v>
      </c>
      <c r="M1369" s="12">
        <f>LOOKUP(426031100,[1]PlanCuentas!$A$2:$A$6092,[1]PlanCuentas!AG$2:AG$6092)</f>
        <v>0</v>
      </c>
      <c r="N1369" s="12">
        <f>LOOKUP(426031200,[1]PlanCuentas!$A$2:$A$6092,[1]PlanCuentas!AG$2:AG$6092)</f>
        <v>0</v>
      </c>
      <c r="O1369" s="12">
        <f>LOOKUP(426031300,[1]PlanCuentas!$A$2:$A$6092,[1]PlanCuentas!AG$2:AG$6092)</f>
        <v>0</v>
      </c>
      <c r="P1369" s="12">
        <f>LOOKUP(426032000,[1]PlanCuentas!$A$2:$A$6092,[1]PlanCuentas!AG$2:AG$6092)</f>
        <v>0</v>
      </c>
      <c r="Q1369" s="13">
        <f t="shared" si="64"/>
        <v>0</v>
      </c>
      <c r="R1369" s="5"/>
      <c r="S1369" s="5"/>
      <c r="T1369" s="5"/>
      <c r="U1369" s="5"/>
      <c r="V1369" s="5"/>
    </row>
    <row r="1370" spans="1:22" x14ac:dyDescent="0.2">
      <c r="A1370" s="10">
        <v>32</v>
      </c>
      <c r="B1370" s="11" t="str">
        <f>[1]Aseguradoras!B33</f>
        <v>Panal Compañía De Seguros Generales S.A.</v>
      </c>
      <c r="C1370" s="12">
        <f>LOOKUP(426030100,[1]PlanCuentas!$A$2:$A$6092,[1]PlanCuentas!AH$2:AH$6092)</f>
        <v>0</v>
      </c>
      <c r="D1370" s="12">
        <f>LOOKUP(426030200,[1]PlanCuentas!$A$2:$A$6092,[1]PlanCuentas!AH$2:AH$6092)</f>
        <v>0</v>
      </c>
      <c r="E1370" s="12">
        <f>LOOKUP(426030300,[1]PlanCuentas!$A$2:$A$6092,[1]PlanCuentas!AH$2:AH$6092)</f>
        <v>0</v>
      </c>
      <c r="F1370" s="12">
        <f>LOOKUP(426030400,[1]PlanCuentas!$A$2:$A$6092,[1]PlanCuentas!AH$2:AH$6092)</f>
        <v>0</v>
      </c>
      <c r="G1370" s="12">
        <f>LOOKUP(426030500,[1]PlanCuentas!$A$2:$A$6092,[1]PlanCuentas!AH$2:AH$6092)</f>
        <v>0</v>
      </c>
      <c r="H1370" s="12">
        <f>LOOKUP(426030600,[1]PlanCuentas!$A$2:$A$6092,[1]PlanCuentas!AH$2:AH$6092)</f>
        <v>0</v>
      </c>
      <c r="I1370" s="12">
        <f>LOOKUP(426030700,[1]PlanCuentas!$A$2:$A$6092,[1]PlanCuentas!AH$2:AH$6092)</f>
        <v>0</v>
      </c>
      <c r="J1370" s="12">
        <f>LOOKUP(426030800,[1]PlanCuentas!$A$2:$A$6092,[1]PlanCuentas!AH$2:AH$6092)</f>
        <v>0</v>
      </c>
      <c r="K1370" s="12">
        <f>LOOKUP(426030900,[1]PlanCuentas!$A$2:$A$6092,[1]PlanCuentas!AH$2:AH$6092)</f>
        <v>0</v>
      </c>
      <c r="L1370" s="12">
        <f>LOOKUP(426031000,[1]PlanCuentas!$A$2:$A$6092,[1]PlanCuentas!AH$2:AH$6092)</f>
        <v>0</v>
      </c>
      <c r="M1370" s="12">
        <f>LOOKUP(426031100,[1]PlanCuentas!$A$2:$A$6092,[1]PlanCuentas!AH$2:AH$6092)</f>
        <v>0</v>
      </c>
      <c r="N1370" s="12">
        <f>LOOKUP(426031200,[1]PlanCuentas!$A$2:$A$6092,[1]PlanCuentas!AH$2:AH$6092)</f>
        <v>0</v>
      </c>
      <c r="O1370" s="12">
        <f>LOOKUP(426031300,[1]PlanCuentas!$A$2:$A$6092,[1]PlanCuentas!AH$2:AH$6092)</f>
        <v>0</v>
      </c>
      <c r="P1370" s="12">
        <f>LOOKUP(426032000,[1]PlanCuentas!$A$2:$A$6092,[1]PlanCuentas!AH$2:AH$6092)</f>
        <v>0</v>
      </c>
      <c r="Q1370" s="13">
        <f t="shared" si="64"/>
        <v>0</v>
      </c>
    </row>
    <row r="1371" spans="1:22" x14ac:dyDescent="0.2">
      <c r="A1371" s="14">
        <v>33</v>
      </c>
      <c r="B1371" s="19" t="str">
        <f>[1]Aseguradoras!B34</f>
        <v>Sancor Seguros del Paraguay S.A.</v>
      </c>
      <c r="C1371" s="12">
        <f>LOOKUP(426030100,[1]PlanCuentas!$A$2:$A$6092,[1]PlanCuentas!AI$2:AI$6092)</f>
        <v>0</v>
      </c>
      <c r="D1371" s="12">
        <f>LOOKUP(426030200,[1]PlanCuentas!$A$2:$A$6092,[1]PlanCuentas!AI$2:AI$6092)</f>
        <v>0</v>
      </c>
      <c r="E1371" s="12">
        <f>LOOKUP(426030300,[1]PlanCuentas!$A$2:$A$6092,[1]PlanCuentas!AI$2:AI$6092)</f>
        <v>0</v>
      </c>
      <c r="F1371" s="12">
        <f>LOOKUP(426030400,[1]PlanCuentas!$A$2:$A$6092,[1]PlanCuentas!AI$2:AI$6092)</f>
        <v>0</v>
      </c>
      <c r="G1371" s="12">
        <f>LOOKUP(426030500,[1]PlanCuentas!$A$2:$A$6092,[1]PlanCuentas!AI$2:AI$6092)</f>
        <v>0</v>
      </c>
      <c r="H1371" s="12">
        <f>LOOKUP(426030600,[1]PlanCuentas!$A$2:$A$6092,[1]PlanCuentas!AI$2:AI$6092)</f>
        <v>0</v>
      </c>
      <c r="I1371" s="12">
        <f>LOOKUP(426030700,[1]PlanCuentas!$A$2:$A$6092,[1]PlanCuentas!AI$2:AI$6092)</f>
        <v>0</v>
      </c>
      <c r="J1371" s="12">
        <f>LOOKUP(426030800,[1]PlanCuentas!$A$2:$A$6092,[1]PlanCuentas!AI$2:AI$6092)</f>
        <v>0</v>
      </c>
      <c r="K1371" s="12">
        <f>LOOKUP(426030900,[1]PlanCuentas!$A$2:$A$6092,[1]PlanCuentas!AI$2:AI$6092)</f>
        <v>0</v>
      </c>
      <c r="L1371" s="12">
        <f>LOOKUP(426031000,[1]PlanCuentas!$A$2:$A$6092,[1]PlanCuentas!AI$2:AI$6092)</f>
        <v>0</v>
      </c>
      <c r="M1371" s="12">
        <f>LOOKUP(426031100,[1]PlanCuentas!$A$2:$A$6092,[1]PlanCuentas!AI$2:AI$6092)</f>
        <v>0</v>
      </c>
      <c r="N1371" s="12">
        <f>LOOKUP(426031200,[1]PlanCuentas!$A$2:$A$6092,[1]PlanCuentas!AI$2:AI$6092)</f>
        <v>0</v>
      </c>
      <c r="O1371" s="12">
        <f>LOOKUP(426031300,[1]PlanCuentas!$A$2:$A$6092,[1]PlanCuentas!AI$2:AI$6092)</f>
        <v>0</v>
      </c>
      <c r="P1371" s="12">
        <f>LOOKUP(426032000,[1]PlanCuentas!$A$2:$A$6092,[1]PlanCuentas!AI$2:AI$6092)</f>
        <v>0</v>
      </c>
      <c r="Q1371" s="13">
        <f>SUM(C1371:P1371)</f>
        <v>0</v>
      </c>
    </row>
    <row r="1372" spans="1:22" x14ac:dyDescent="0.2">
      <c r="A1372" s="14"/>
      <c r="B1372" s="15" t="s">
        <v>18</v>
      </c>
      <c r="C1372" s="17">
        <f t="shared" ref="C1372:Q1372" si="65">SUBTOTAL(109,C1339:C1371)</f>
        <v>461379756</v>
      </c>
      <c r="D1372" s="17">
        <f t="shared" si="65"/>
        <v>59729474</v>
      </c>
      <c r="E1372" s="17">
        <f t="shared" si="65"/>
        <v>10945335</v>
      </c>
      <c r="F1372" s="17">
        <f t="shared" si="65"/>
        <v>541587779</v>
      </c>
      <c r="G1372" s="17">
        <f t="shared" si="65"/>
        <v>0</v>
      </c>
      <c r="H1372" s="17">
        <f t="shared" si="65"/>
        <v>42934230</v>
      </c>
      <c r="I1372" s="17">
        <f t="shared" si="65"/>
        <v>10350502</v>
      </c>
      <c r="J1372" s="17">
        <f t="shared" si="65"/>
        <v>0</v>
      </c>
      <c r="K1372" s="17">
        <f t="shared" si="65"/>
        <v>28002383</v>
      </c>
      <c r="L1372" s="17">
        <f t="shared" si="65"/>
        <v>8905944</v>
      </c>
      <c r="M1372" s="17">
        <f t="shared" si="65"/>
        <v>18717677</v>
      </c>
      <c r="N1372" s="17">
        <f t="shared" si="65"/>
        <v>125340320</v>
      </c>
      <c r="O1372" s="17">
        <f t="shared" si="65"/>
        <v>35167478</v>
      </c>
      <c r="P1372" s="17">
        <f t="shared" si="65"/>
        <v>20770172</v>
      </c>
      <c r="Q1372" s="17">
        <f t="shared" si="65"/>
        <v>1363831050</v>
      </c>
    </row>
    <row r="1373" spans="1:22" x14ac:dyDescent="0.2"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</row>
    <row r="1374" spans="1:22" ht="28.35" customHeight="1" x14ac:dyDescent="0.2">
      <c r="A1374" s="1" t="s">
        <v>78</v>
      </c>
      <c r="B1374" s="47" t="s">
        <v>84</v>
      </c>
      <c r="C1374" s="47"/>
      <c r="D1374" s="48"/>
      <c r="E1374" s="46"/>
      <c r="F1374" s="4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</row>
    <row r="1375" spans="1:22" ht="24" x14ac:dyDescent="0.2">
      <c r="A1375" s="7" t="s">
        <v>2</v>
      </c>
      <c r="B1375" s="8" t="s">
        <v>3</v>
      </c>
      <c r="C1375" s="9" t="s">
        <v>4</v>
      </c>
      <c r="D1375" s="9" t="s">
        <v>5</v>
      </c>
      <c r="E1375" s="9" t="s">
        <v>6</v>
      </c>
      <c r="F1375" s="36" t="s">
        <v>7</v>
      </c>
      <c r="G1375" s="9" t="s">
        <v>8</v>
      </c>
      <c r="H1375" s="9" t="s">
        <v>9</v>
      </c>
      <c r="I1375" s="9" t="s">
        <v>10</v>
      </c>
      <c r="J1375" s="9" t="s">
        <v>11</v>
      </c>
      <c r="K1375" s="9" t="s">
        <v>12</v>
      </c>
      <c r="L1375" s="9" t="s">
        <v>13</v>
      </c>
      <c r="M1375" s="9" t="s">
        <v>14</v>
      </c>
      <c r="N1375" s="9" t="s">
        <v>15</v>
      </c>
      <c r="O1375" s="9" t="s">
        <v>16</v>
      </c>
      <c r="P1375" s="8" t="s">
        <v>17</v>
      </c>
      <c r="Q1375" s="8" t="s">
        <v>18</v>
      </c>
    </row>
    <row r="1376" spans="1:22" x14ac:dyDescent="0.2">
      <c r="A1376" s="10">
        <v>1</v>
      </c>
      <c r="B1376" s="11" t="str">
        <f>[1]Aseguradoras!B2</f>
        <v>El Comercio Paraguayo S.A. de Seguros</v>
      </c>
      <c r="C1376" s="12">
        <f>LOOKUP(426040100,[1]PlanCuentas!$A$2:$A$6092,[1]PlanCuentas!C$2:C$6092)</f>
        <v>0</v>
      </c>
      <c r="D1376" s="12">
        <f>LOOKUP(426040200,[1]PlanCuentas!$A$2:$A$6092,[1]PlanCuentas!C$2:C$6092)</f>
        <v>0</v>
      </c>
      <c r="E1376" s="12">
        <f>LOOKUP(426040300,[1]PlanCuentas!$A$2:$A$6092,[1]PlanCuentas!C$2:C$6092)</f>
        <v>0</v>
      </c>
      <c r="F1376" s="12">
        <f>LOOKUP(426040400,[1]PlanCuentas!$A$2:$A$6092,[1]PlanCuentas!C$2:C$6092)</f>
        <v>0</v>
      </c>
      <c r="G1376" s="12">
        <f>LOOKUP(426040500,[1]PlanCuentas!$A$2:$A$6092,[1]PlanCuentas!C$2:C$6092)</f>
        <v>0</v>
      </c>
      <c r="H1376" s="12">
        <f>LOOKUP(426040600,[1]PlanCuentas!$A$2:$A$6092,[1]PlanCuentas!C$2:C$6092)</f>
        <v>0</v>
      </c>
      <c r="I1376" s="12">
        <f>LOOKUP(426040700,[1]PlanCuentas!$A$2:$A$6092,[1]PlanCuentas!C$2:C$6092)</f>
        <v>0</v>
      </c>
      <c r="J1376" s="12">
        <f>LOOKUP(426040800,[1]PlanCuentas!$A$2:$A$6092,[1]PlanCuentas!C$2:C$6092)</f>
        <v>0</v>
      </c>
      <c r="K1376" s="12">
        <f>LOOKUP(426040900,[1]PlanCuentas!$A$2:$A$6092,[1]PlanCuentas!C$2:C$6092)</f>
        <v>0</v>
      </c>
      <c r="L1376" s="12">
        <f>LOOKUP(426041000,[1]PlanCuentas!$A$2:$A$6092,[1]PlanCuentas!C$2:C$6092)</f>
        <v>0</v>
      </c>
      <c r="M1376" s="12">
        <f>LOOKUP(426041100,[1]PlanCuentas!$A$2:$A$6092,[1]PlanCuentas!C$2:C$6092)</f>
        <v>0</v>
      </c>
      <c r="N1376" s="12">
        <f>LOOKUP(426041200,[1]PlanCuentas!$A$2:$A$6092,[1]PlanCuentas!C$2:C$6092)</f>
        <v>0</v>
      </c>
      <c r="O1376" s="12">
        <f>LOOKUP(426041300,[1]PlanCuentas!$A$2:$A$6092,[1]PlanCuentas!C$2:C$6092)</f>
        <v>0</v>
      </c>
      <c r="P1376" s="12">
        <f>LOOKUP(426042000,[1]PlanCuentas!$A$2:$A$6092,[1]PlanCuentas!C$2:C$6092)</f>
        <v>0</v>
      </c>
      <c r="Q1376" s="13">
        <f t="shared" ref="Q1376:Q1407" si="66">SUM(C1376:P1376)</f>
        <v>0</v>
      </c>
    </row>
    <row r="1377" spans="1:17" x14ac:dyDescent="0.2">
      <c r="A1377" s="10">
        <v>2</v>
      </c>
      <c r="B1377" s="11" t="str">
        <f>[1]Aseguradoras!B3</f>
        <v>La Rural S.A de Seguros</v>
      </c>
      <c r="C1377" s="12">
        <f>LOOKUP(426040100,[1]PlanCuentas!$A$2:$A$6092,[1]PlanCuentas!D$2:D$6092)</f>
        <v>0</v>
      </c>
      <c r="D1377" s="12">
        <f>LOOKUP(426040200,[1]PlanCuentas!$A$2:$A$6092,[1]PlanCuentas!D$2:D$6092)</f>
        <v>0</v>
      </c>
      <c r="E1377" s="12">
        <f>LOOKUP(426040300,[1]PlanCuentas!$A$2:$A$6092,[1]PlanCuentas!D$2:D$6092)</f>
        <v>0</v>
      </c>
      <c r="F1377" s="12">
        <f>LOOKUP(426040400,[1]PlanCuentas!$A$2:$A$6092,[1]PlanCuentas!D$2:D$6092)</f>
        <v>0</v>
      </c>
      <c r="G1377" s="12">
        <f>LOOKUP(426040500,[1]PlanCuentas!$A$2:$A$6092,[1]PlanCuentas!D$2:D$6092)</f>
        <v>0</v>
      </c>
      <c r="H1377" s="12">
        <f>LOOKUP(426040600,[1]PlanCuentas!$A$2:$A$6092,[1]PlanCuentas!D$2:D$6092)</f>
        <v>0</v>
      </c>
      <c r="I1377" s="12">
        <f>LOOKUP(426040700,[1]PlanCuentas!$A$2:$A$6092,[1]PlanCuentas!D$2:D$6092)</f>
        <v>0</v>
      </c>
      <c r="J1377" s="12">
        <f>LOOKUP(426040800,[1]PlanCuentas!$A$2:$A$6092,[1]PlanCuentas!D$2:D$6092)</f>
        <v>0</v>
      </c>
      <c r="K1377" s="12">
        <f>LOOKUP(426040900,[1]PlanCuentas!$A$2:$A$6092,[1]PlanCuentas!D$2:D$6092)</f>
        <v>0</v>
      </c>
      <c r="L1377" s="12">
        <f>LOOKUP(426041000,[1]PlanCuentas!$A$2:$A$6092,[1]PlanCuentas!D$2:D$6092)</f>
        <v>0</v>
      </c>
      <c r="M1377" s="12">
        <f>LOOKUP(426041100,[1]PlanCuentas!$A$2:$A$6092,[1]PlanCuentas!D$2:D$6092)</f>
        <v>0</v>
      </c>
      <c r="N1377" s="12">
        <f>LOOKUP(426041200,[1]PlanCuentas!$A$2:$A$6092,[1]PlanCuentas!D$2:D$6092)</f>
        <v>0</v>
      </c>
      <c r="O1377" s="12">
        <f>LOOKUP(426041300,[1]PlanCuentas!$A$2:$A$6092,[1]PlanCuentas!D$2:D$6092)</f>
        <v>0</v>
      </c>
      <c r="P1377" s="12">
        <f>LOOKUP(426042000,[1]PlanCuentas!$A$2:$A$6092,[1]PlanCuentas!D$2:D$6092)</f>
        <v>0</v>
      </c>
      <c r="Q1377" s="13">
        <f t="shared" si="66"/>
        <v>0</v>
      </c>
    </row>
    <row r="1378" spans="1:17" x14ac:dyDescent="0.2">
      <c r="A1378" s="10">
        <v>3</v>
      </c>
      <c r="B1378" s="11" t="str">
        <f>[1]Aseguradoras!B4</f>
        <v>La Paraguaya S.A de Seguros</v>
      </c>
      <c r="C1378" s="12">
        <f>LOOKUP(426040100,[1]PlanCuentas!$A$2:$A$6092,[1]PlanCuentas!E$2:E$6092)</f>
        <v>0</v>
      </c>
      <c r="D1378" s="12">
        <f>LOOKUP(426040200,[1]PlanCuentas!$A$2:$A$6092,[1]PlanCuentas!E$2:E$6092)</f>
        <v>0</v>
      </c>
      <c r="E1378" s="12">
        <f>LOOKUP(426040300,[1]PlanCuentas!$A$2:$A$6092,[1]PlanCuentas!E$2:E$6092)</f>
        <v>0</v>
      </c>
      <c r="F1378" s="12">
        <f>LOOKUP(426040400,[1]PlanCuentas!$A$2:$A$6092,[1]PlanCuentas!E$2:E$6092)</f>
        <v>0</v>
      </c>
      <c r="G1378" s="12">
        <f>LOOKUP(426040500,[1]PlanCuentas!$A$2:$A$6092,[1]PlanCuentas!E$2:E$6092)</f>
        <v>0</v>
      </c>
      <c r="H1378" s="12">
        <f>LOOKUP(426040600,[1]PlanCuentas!$A$2:$A$6092,[1]PlanCuentas!E$2:E$6092)</f>
        <v>0</v>
      </c>
      <c r="I1378" s="12">
        <f>LOOKUP(426040700,[1]PlanCuentas!$A$2:$A$6092,[1]PlanCuentas!E$2:E$6092)</f>
        <v>0</v>
      </c>
      <c r="J1378" s="12">
        <f>LOOKUP(426040800,[1]PlanCuentas!$A$2:$A$6092,[1]PlanCuentas!E$2:E$6092)</f>
        <v>0</v>
      </c>
      <c r="K1378" s="12">
        <f>LOOKUP(426040900,[1]PlanCuentas!$A$2:$A$6092,[1]PlanCuentas!E$2:E$6092)</f>
        <v>0</v>
      </c>
      <c r="L1378" s="12">
        <f>LOOKUP(426041000,[1]PlanCuentas!$A$2:$A$6092,[1]PlanCuentas!E$2:E$6092)</f>
        <v>0</v>
      </c>
      <c r="M1378" s="12">
        <f>LOOKUP(426041100,[1]PlanCuentas!$A$2:$A$6092,[1]PlanCuentas!E$2:E$6092)</f>
        <v>0</v>
      </c>
      <c r="N1378" s="12">
        <f>LOOKUP(426041200,[1]PlanCuentas!$A$2:$A$6092,[1]PlanCuentas!E$2:E$6092)</f>
        <v>0</v>
      </c>
      <c r="O1378" s="12">
        <f>LOOKUP(426041300,[1]PlanCuentas!$A$2:$A$6092,[1]PlanCuentas!E$2:E$6092)</f>
        <v>0</v>
      </c>
      <c r="P1378" s="12">
        <f>LOOKUP(426042000,[1]PlanCuentas!$A$2:$A$6092,[1]PlanCuentas!E$2:E$6092)</f>
        <v>0</v>
      </c>
      <c r="Q1378" s="13">
        <f t="shared" si="66"/>
        <v>0</v>
      </c>
    </row>
    <row r="1379" spans="1:17" x14ac:dyDescent="0.2">
      <c r="A1379" s="10">
        <v>4</v>
      </c>
      <c r="B1379" s="11" t="str">
        <f>[1]Aseguradoras!B5</f>
        <v>Seguros Generales S. A (SEGESA)</v>
      </c>
      <c r="C1379" s="12">
        <f>LOOKUP(426040100,[1]PlanCuentas!$A$2:$A$6092,[1]PlanCuentas!F$2:F$6092)</f>
        <v>0</v>
      </c>
      <c r="D1379" s="12">
        <f>LOOKUP(426040200,[1]PlanCuentas!$A$2:$A$6092,[1]PlanCuentas!F$2:F$6092)</f>
        <v>0</v>
      </c>
      <c r="E1379" s="12">
        <f>LOOKUP(426040300,[1]PlanCuentas!$A$2:$A$6092,[1]PlanCuentas!F$2:F$6092)</f>
        <v>0</v>
      </c>
      <c r="F1379" s="12">
        <f>LOOKUP(426040400,[1]PlanCuentas!$A$2:$A$6092,[1]PlanCuentas!F$2:F$6092)</f>
        <v>0</v>
      </c>
      <c r="G1379" s="12">
        <f>LOOKUP(426040500,[1]PlanCuentas!$A$2:$A$6092,[1]PlanCuentas!F$2:F$6092)</f>
        <v>0</v>
      </c>
      <c r="H1379" s="12">
        <f>LOOKUP(426040600,[1]PlanCuentas!$A$2:$A$6092,[1]PlanCuentas!F$2:F$6092)</f>
        <v>0</v>
      </c>
      <c r="I1379" s="12">
        <f>LOOKUP(426040700,[1]PlanCuentas!$A$2:$A$6092,[1]PlanCuentas!F$2:F$6092)</f>
        <v>0</v>
      </c>
      <c r="J1379" s="12">
        <f>LOOKUP(426040800,[1]PlanCuentas!$A$2:$A$6092,[1]PlanCuentas!F$2:F$6092)</f>
        <v>0</v>
      </c>
      <c r="K1379" s="12">
        <f>LOOKUP(426040900,[1]PlanCuentas!$A$2:$A$6092,[1]PlanCuentas!F$2:F$6092)</f>
        <v>0</v>
      </c>
      <c r="L1379" s="12">
        <f>LOOKUP(426041000,[1]PlanCuentas!$A$2:$A$6092,[1]PlanCuentas!F$2:F$6092)</f>
        <v>0</v>
      </c>
      <c r="M1379" s="12">
        <f>LOOKUP(426041100,[1]PlanCuentas!$A$2:$A$6092,[1]PlanCuentas!F$2:F$6092)</f>
        <v>0</v>
      </c>
      <c r="N1379" s="12">
        <f>LOOKUP(426041200,[1]PlanCuentas!$A$2:$A$6092,[1]PlanCuentas!F$2:F$6092)</f>
        <v>0</v>
      </c>
      <c r="O1379" s="12">
        <f>LOOKUP(426041300,[1]PlanCuentas!$A$2:$A$6092,[1]PlanCuentas!F$2:F$6092)</f>
        <v>0</v>
      </c>
      <c r="P1379" s="12">
        <f>LOOKUP(426042000,[1]PlanCuentas!$A$2:$A$6092,[1]PlanCuentas!F$2:F$6092)</f>
        <v>0</v>
      </c>
      <c r="Q1379" s="13">
        <f t="shared" si="66"/>
        <v>0</v>
      </c>
    </row>
    <row r="1380" spans="1:17" x14ac:dyDescent="0.2">
      <c r="A1380" s="10">
        <v>5</v>
      </c>
      <c r="B1380" s="11" t="str">
        <f>[1]Aseguradoras!B6</f>
        <v>Rumbos S.A de Seguros</v>
      </c>
      <c r="C1380" s="12">
        <f>LOOKUP(426040100,[1]PlanCuentas!$A$2:$A$6092,[1]PlanCuentas!G$2:G$6092)</f>
        <v>0</v>
      </c>
      <c r="D1380" s="12">
        <f>LOOKUP(426040200,[1]PlanCuentas!$A$2:$A$6092,[1]PlanCuentas!G$2:G$6092)</f>
        <v>0</v>
      </c>
      <c r="E1380" s="12">
        <f>LOOKUP(426040300,[1]PlanCuentas!$A$2:$A$6092,[1]PlanCuentas!G$2:G$6092)</f>
        <v>0</v>
      </c>
      <c r="F1380" s="12">
        <f>LOOKUP(426040400,[1]PlanCuentas!$A$2:$A$6092,[1]PlanCuentas!G$2:G$6092)</f>
        <v>0</v>
      </c>
      <c r="G1380" s="12">
        <f>LOOKUP(426040500,[1]PlanCuentas!$A$2:$A$6092,[1]PlanCuentas!G$2:G$6092)</f>
        <v>0</v>
      </c>
      <c r="H1380" s="12">
        <f>LOOKUP(426040600,[1]PlanCuentas!$A$2:$A$6092,[1]PlanCuentas!G$2:G$6092)</f>
        <v>0</v>
      </c>
      <c r="I1380" s="12">
        <f>LOOKUP(426040700,[1]PlanCuentas!$A$2:$A$6092,[1]PlanCuentas!G$2:G$6092)</f>
        <v>0</v>
      </c>
      <c r="J1380" s="12">
        <f>LOOKUP(426040800,[1]PlanCuentas!$A$2:$A$6092,[1]PlanCuentas!G$2:G$6092)</f>
        <v>0</v>
      </c>
      <c r="K1380" s="12">
        <f>LOOKUP(426040900,[1]PlanCuentas!$A$2:$A$6092,[1]PlanCuentas!G$2:G$6092)</f>
        <v>0</v>
      </c>
      <c r="L1380" s="12">
        <f>LOOKUP(426041000,[1]PlanCuentas!$A$2:$A$6092,[1]PlanCuentas!G$2:G$6092)</f>
        <v>0</v>
      </c>
      <c r="M1380" s="12">
        <f>LOOKUP(426041100,[1]PlanCuentas!$A$2:$A$6092,[1]PlanCuentas!G$2:G$6092)</f>
        <v>0</v>
      </c>
      <c r="N1380" s="12">
        <f>LOOKUP(426041200,[1]PlanCuentas!$A$2:$A$6092,[1]PlanCuentas!G$2:G$6092)</f>
        <v>0</v>
      </c>
      <c r="O1380" s="12">
        <f>LOOKUP(426041300,[1]PlanCuentas!$A$2:$A$6092,[1]PlanCuentas!G$2:G$6092)</f>
        <v>0</v>
      </c>
      <c r="P1380" s="12">
        <f>LOOKUP(426042000,[1]PlanCuentas!$A$2:$A$6092,[1]PlanCuentas!G$2:G$6092)</f>
        <v>0</v>
      </c>
      <c r="Q1380" s="13">
        <f t="shared" si="66"/>
        <v>0</v>
      </c>
    </row>
    <row r="1381" spans="1:17" x14ac:dyDescent="0.2">
      <c r="A1381" s="10">
        <v>6</v>
      </c>
      <c r="B1381" s="11" t="str">
        <f>[1]Aseguradoras!B7</f>
        <v>La Consolidada S.A de Seguros</v>
      </c>
      <c r="C1381" s="12">
        <f>LOOKUP(426040100,[1]PlanCuentas!$A$2:$A$6092,[1]PlanCuentas!H$2:H$6092)</f>
        <v>0</v>
      </c>
      <c r="D1381" s="12">
        <f>LOOKUP(426040200,[1]PlanCuentas!$A$2:$A$6092,[1]PlanCuentas!H$2:H$6092)</f>
        <v>0</v>
      </c>
      <c r="E1381" s="12">
        <f>LOOKUP(426040300,[1]PlanCuentas!$A$2:$A$6092,[1]PlanCuentas!H$2:H$6092)</f>
        <v>0</v>
      </c>
      <c r="F1381" s="12">
        <f>LOOKUP(426040400,[1]PlanCuentas!$A$2:$A$6092,[1]PlanCuentas!H$2:H$6092)</f>
        <v>0</v>
      </c>
      <c r="G1381" s="12">
        <f>LOOKUP(426040500,[1]PlanCuentas!$A$2:$A$6092,[1]PlanCuentas!H$2:H$6092)</f>
        <v>0</v>
      </c>
      <c r="H1381" s="12">
        <f>LOOKUP(426040600,[1]PlanCuentas!$A$2:$A$6092,[1]PlanCuentas!H$2:H$6092)</f>
        <v>0</v>
      </c>
      <c r="I1381" s="12">
        <f>LOOKUP(426040700,[1]PlanCuentas!$A$2:$A$6092,[1]PlanCuentas!H$2:H$6092)</f>
        <v>0</v>
      </c>
      <c r="J1381" s="12">
        <f>LOOKUP(426040800,[1]PlanCuentas!$A$2:$A$6092,[1]PlanCuentas!H$2:H$6092)</f>
        <v>0</v>
      </c>
      <c r="K1381" s="12">
        <f>LOOKUP(426040900,[1]PlanCuentas!$A$2:$A$6092,[1]PlanCuentas!H$2:H$6092)</f>
        <v>0</v>
      </c>
      <c r="L1381" s="12">
        <f>LOOKUP(426041000,[1]PlanCuentas!$A$2:$A$6092,[1]PlanCuentas!H$2:H$6092)</f>
        <v>0</v>
      </c>
      <c r="M1381" s="12">
        <f>LOOKUP(426041100,[1]PlanCuentas!$A$2:$A$6092,[1]PlanCuentas!H$2:H$6092)</f>
        <v>0</v>
      </c>
      <c r="N1381" s="12">
        <f>LOOKUP(426041200,[1]PlanCuentas!$A$2:$A$6092,[1]PlanCuentas!H$2:H$6092)</f>
        <v>0</v>
      </c>
      <c r="O1381" s="12">
        <f>LOOKUP(426041300,[1]PlanCuentas!$A$2:$A$6092,[1]PlanCuentas!H$2:H$6092)</f>
        <v>0</v>
      </c>
      <c r="P1381" s="12">
        <f>LOOKUP(426042000,[1]PlanCuentas!$A$2:$A$6092,[1]PlanCuentas!H$2:H$6092)</f>
        <v>0</v>
      </c>
      <c r="Q1381" s="13">
        <f t="shared" si="66"/>
        <v>0</v>
      </c>
    </row>
    <row r="1382" spans="1:17" x14ac:dyDescent="0.2">
      <c r="A1382" s="10">
        <v>7</v>
      </c>
      <c r="B1382" s="11" t="str">
        <f>[1]Aseguradoras!B8</f>
        <v>El Productor S.A de Seguros y Reaseguros</v>
      </c>
      <c r="C1382" s="12">
        <f>LOOKUP(426040100,[1]PlanCuentas!$A$2:$A$6092,[1]PlanCuentas!I$2:I$6092)</f>
        <v>0</v>
      </c>
      <c r="D1382" s="12">
        <f>LOOKUP(426040200,[1]PlanCuentas!$A$2:$A$6092,[1]PlanCuentas!I$2:I$6092)</f>
        <v>0</v>
      </c>
      <c r="E1382" s="12">
        <f>LOOKUP(426040300,[1]PlanCuentas!$A$2:$A$6092,[1]PlanCuentas!I$2:I$6092)</f>
        <v>0</v>
      </c>
      <c r="F1382" s="12">
        <f>LOOKUP(426040400,[1]PlanCuentas!$A$2:$A$6092,[1]PlanCuentas!I$2:I$6092)</f>
        <v>0</v>
      </c>
      <c r="G1382" s="12">
        <f>LOOKUP(426040500,[1]PlanCuentas!$A$2:$A$6092,[1]PlanCuentas!I$2:I$6092)</f>
        <v>0</v>
      </c>
      <c r="H1382" s="12">
        <f>LOOKUP(426040600,[1]PlanCuentas!$A$2:$A$6092,[1]PlanCuentas!I$2:I$6092)</f>
        <v>0</v>
      </c>
      <c r="I1382" s="12">
        <f>LOOKUP(426040700,[1]PlanCuentas!$A$2:$A$6092,[1]PlanCuentas!I$2:I$6092)</f>
        <v>0</v>
      </c>
      <c r="J1382" s="12">
        <f>LOOKUP(426040800,[1]PlanCuentas!$A$2:$A$6092,[1]PlanCuentas!I$2:I$6092)</f>
        <v>0</v>
      </c>
      <c r="K1382" s="12">
        <f>LOOKUP(426040900,[1]PlanCuentas!$A$2:$A$6092,[1]PlanCuentas!I$2:I$6092)</f>
        <v>0</v>
      </c>
      <c r="L1382" s="12">
        <f>LOOKUP(426041000,[1]PlanCuentas!$A$2:$A$6092,[1]PlanCuentas!I$2:I$6092)</f>
        <v>0</v>
      </c>
      <c r="M1382" s="12">
        <f>LOOKUP(426041100,[1]PlanCuentas!$A$2:$A$6092,[1]PlanCuentas!I$2:I$6092)</f>
        <v>0</v>
      </c>
      <c r="N1382" s="12">
        <f>LOOKUP(426041200,[1]PlanCuentas!$A$2:$A$6092,[1]PlanCuentas!I$2:I$6092)</f>
        <v>0</v>
      </c>
      <c r="O1382" s="12">
        <f>LOOKUP(426041300,[1]PlanCuentas!$A$2:$A$6092,[1]PlanCuentas!I$2:I$6092)</f>
        <v>0</v>
      </c>
      <c r="P1382" s="12">
        <f>LOOKUP(426042000,[1]PlanCuentas!$A$2:$A$6092,[1]PlanCuentas!I$2:I$6092)</f>
        <v>0</v>
      </c>
      <c r="Q1382" s="13">
        <f t="shared" si="66"/>
        <v>0</v>
      </c>
    </row>
    <row r="1383" spans="1:17" x14ac:dyDescent="0.2">
      <c r="A1383" s="10">
        <v>8</v>
      </c>
      <c r="B1383" s="11" t="str">
        <f>[1]Aseguradoras!B9</f>
        <v>Atalaya S.A de Seguros Generales</v>
      </c>
      <c r="C1383" s="12">
        <f>LOOKUP(426040100,[1]PlanCuentas!$A$2:$A$6092,[1]PlanCuentas!J$2:J$6092)</f>
        <v>0</v>
      </c>
      <c r="D1383" s="12">
        <f>LOOKUP(426040200,[1]PlanCuentas!$A$2:$A$6092,[1]PlanCuentas!J$2:J$6092)</f>
        <v>0</v>
      </c>
      <c r="E1383" s="12">
        <f>LOOKUP(426040300,[1]PlanCuentas!$A$2:$A$6092,[1]PlanCuentas!J$2:J$6092)</f>
        <v>0</v>
      </c>
      <c r="F1383" s="12">
        <f>LOOKUP(426040400,[1]PlanCuentas!$A$2:$A$6092,[1]PlanCuentas!J$2:J$6092)</f>
        <v>0</v>
      </c>
      <c r="G1383" s="12">
        <f>LOOKUP(426040500,[1]PlanCuentas!$A$2:$A$6092,[1]PlanCuentas!J$2:J$6092)</f>
        <v>0</v>
      </c>
      <c r="H1383" s="12">
        <f>LOOKUP(426040600,[1]PlanCuentas!$A$2:$A$6092,[1]PlanCuentas!J$2:J$6092)</f>
        <v>0</v>
      </c>
      <c r="I1383" s="12">
        <f>LOOKUP(426040700,[1]PlanCuentas!$A$2:$A$6092,[1]PlanCuentas!J$2:J$6092)</f>
        <v>0</v>
      </c>
      <c r="J1383" s="12">
        <f>LOOKUP(426040800,[1]PlanCuentas!$A$2:$A$6092,[1]PlanCuentas!J$2:J$6092)</f>
        <v>0</v>
      </c>
      <c r="K1383" s="12">
        <f>LOOKUP(426040900,[1]PlanCuentas!$A$2:$A$6092,[1]PlanCuentas!J$2:J$6092)</f>
        <v>0</v>
      </c>
      <c r="L1383" s="12">
        <f>LOOKUP(426041000,[1]PlanCuentas!$A$2:$A$6092,[1]PlanCuentas!J$2:J$6092)</f>
        <v>0</v>
      </c>
      <c r="M1383" s="12">
        <f>LOOKUP(426041100,[1]PlanCuentas!$A$2:$A$6092,[1]PlanCuentas!J$2:J$6092)</f>
        <v>0</v>
      </c>
      <c r="N1383" s="12">
        <f>LOOKUP(426041200,[1]PlanCuentas!$A$2:$A$6092,[1]PlanCuentas!J$2:J$6092)</f>
        <v>0</v>
      </c>
      <c r="O1383" s="12">
        <f>LOOKUP(426041300,[1]PlanCuentas!$A$2:$A$6092,[1]PlanCuentas!J$2:J$6092)</f>
        <v>0</v>
      </c>
      <c r="P1383" s="12">
        <f>LOOKUP(426042000,[1]PlanCuentas!$A$2:$A$6092,[1]PlanCuentas!J$2:J$6092)</f>
        <v>0</v>
      </c>
      <c r="Q1383" s="13">
        <f t="shared" si="66"/>
        <v>0</v>
      </c>
    </row>
    <row r="1384" spans="1:17" x14ac:dyDescent="0.2">
      <c r="A1384" s="10">
        <v>9</v>
      </c>
      <c r="B1384" s="11" t="str">
        <f>[1]Aseguradoras!B10</f>
        <v>La Independencia de Seguros S.A.</v>
      </c>
      <c r="C1384" s="12">
        <f>LOOKUP(426040100,[1]PlanCuentas!$A$2:$A$6092,[1]PlanCuentas!K$2:K$6092)</f>
        <v>0</v>
      </c>
      <c r="D1384" s="12">
        <f>LOOKUP(426040200,[1]PlanCuentas!$A$2:$A$6092,[1]PlanCuentas!K$2:K$6092)</f>
        <v>0</v>
      </c>
      <c r="E1384" s="12">
        <f>LOOKUP(426040300,[1]PlanCuentas!$A$2:$A$6092,[1]PlanCuentas!K$2:K$6092)</f>
        <v>0</v>
      </c>
      <c r="F1384" s="12">
        <f>LOOKUP(426040400,[1]PlanCuentas!$A$2:$A$6092,[1]PlanCuentas!K$2:K$6092)</f>
        <v>0</v>
      </c>
      <c r="G1384" s="12">
        <f>LOOKUP(426040500,[1]PlanCuentas!$A$2:$A$6092,[1]PlanCuentas!K$2:K$6092)</f>
        <v>0</v>
      </c>
      <c r="H1384" s="12">
        <f>LOOKUP(426040600,[1]PlanCuentas!$A$2:$A$6092,[1]PlanCuentas!K$2:K$6092)</f>
        <v>0</v>
      </c>
      <c r="I1384" s="12">
        <f>LOOKUP(426040700,[1]PlanCuentas!$A$2:$A$6092,[1]PlanCuentas!K$2:K$6092)</f>
        <v>0</v>
      </c>
      <c r="J1384" s="12">
        <f>LOOKUP(426040800,[1]PlanCuentas!$A$2:$A$6092,[1]PlanCuentas!K$2:K$6092)</f>
        <v>0</v>
      </c>
      <c r="K1384" s="12">
        <f>LOOKUP(426040900,[1]PlanCuentas!$A$2:$A$6092,[1]PlanCuentas!K$2:K$6092)</f>
        <v>0</v>
      </c>
      <c r="L1384" s="12">
        <f>LOOKUP(426041000,[1]PlanCuentas!$A$2:$A$6092,[1]PlanCuentas!K$2:K$6092)</f>
        <v>0</v>
      </c>
      <c r="M1384" s="12">
        <f>LOOKUP(426041100,[1]PlanCuentas!$A$2:$A$6092,[1]PlanCuentas!K$2:K$6092)</f>
        <v>0</v>
      </c>
      <c r="N1384" s="12">
        <f>LOOKUP(426041200,[1]PlanCuentas!$A$2:$A$6092,[1]PlanCuentas!K$2:K$6092)</f>
        <v>0</v>
      </c>
      <c r="O1384" s="12">
        <f>LOOKUP(426041300,[1]PlanCuentas!$A$2:$A$6092,[1]PlanCuentas!K$2:K$6092)</f>
        <v>0</v>
      </c>
      <c r="P1384" s="12">
        <f>LOOKUP(426042000,[1]PlanCuentas!$A$2:$A$6092,[1]PlanCuentas!K$2:K$6092)</f>
        <v>0</v>
      </c>
      <c r="Q1384" s="13">
        <f t="shared" si="66"/>
        <v>0</v>
      </c>
    </row>
    <row r="1385" spans="1:17" x14ac:dyDescent="0.2">
      <c r="A1385" s="10">
        <v>10</v>
      </c>
      <c r="B1385" s="11" t="str">
        <f>[1]Aseguradoras!B11</f>
        <v>Patria S.A de Seguros y Reaseguros</v>
      </c>
      <c r="C1385" s="12">
        <f>LOOKUP(426040100,[1]PlanCuentas!$A$2:$A$6092,[1]PlanCuentas!L$2:L$6092)</f>
        <v>0</v>
      </c>
      <c r="D1385" s="12">
        <f>LOOKUP(426040200,[1]PlanCuentas!$A$2:$A$6092,[1]PlanCuentas!L$2:L$6092)</f>
        <v>0</v>
      </c>
      <c r="E1385" s="12">
        <f>LOOKUP(426040300,[1]PlanCuentas!$A$2:$A$6092,[1]PlanCuentas!L$2:L$6092)</f>
        <v>0</v>
      </c>
      <c r="F1385" s="12">
        <f>LOOKUP(426040400,[1]PlanCuentas!$A$2:$A$6092,[1]PlanCuentas!L$2:L$6092)</f>
        <v>0</v>
      </c>
      <c r="G1385" s="12">
        <f>LOOKUP(426040500,[1]PlanCuentas!$A$2:$A$6092,[1]PlanCuentas!L$2:L$6092)</f>
        <v>0</v>
      </c>
      <c r="H1385" s="12">
        <f>LOOKUP(426040600,[1]PlanCuentas!$A$2:$A$6092,[1]PlanCuentas!L$2:L$6092)</f>
        <v>0</v>
      </c>
      <c r="I1385" s="12">
        <f>LOOKUP(426040700,[1]PlanCuentas!$A$2:$A$6092,[1]PlanCuentas!L$2:L$6092)</f>
        <v>0</v>
      </c>
      <c r="J1385" s="12">
        <f>LOOKUP(426040800,[1]PlanCuentas!$A$2:$A$6092,[1]PlanCuentas!L$2:L$6092)</f>
        <v>0</v>
      </c>
      <c r="K1385" s="12">
        <f>LOOKUP(426040900,[1]PlanCuentas!$A$2:$A$6092,[1]PlanCuentas!L$2:L$6092)</f>
        <v>0</v>
      </c>
      <c r="L1385" s="12">
        <f>LOOKUP(426041000,[1]PlanCuentas!$A$2:$A$6092,[1]PlanCuentas!L$2:L$6092)</f>
        <v>0</v>
      </c>
      <c r="M1385" s="12">
        <f>LOOKUP(426041100,[1]PlanCuentas!$A$2:$A$6092,[1]PlanCuentas!L$2:L$6092)</f>
        <v>0</v>
      </c>
      <c r="N1385" s="12">
        <f>LOOKUP(426041200,[1]PlanCuentas!$A$2:$A$6092,[1]PlanCuentas!L$2:L$6092)</f>
        <v>0</v>
      </c>
      <c r="O1385" s="12">
        <f>LOOKUP(426041300,[1]PlanCuentas!$A$2:$A$6092,[1]PlanCuentas!L$2:L$6092)</f>
        <v>0</v>
      </c>
      <c r="P1385" s="12">
        <f>LOOKUP(426042000,[1]PlanCuentas!$A$2:$A$6092,[1]PlanCuentas!L$2:L$6092)</f>
        <v>0</v>
      </c>
      <c r="Q1385" s="13">
        <f t="shared" si="66"/>
        <v>0</v>
      </c>
    </row>
    <row r="1386" spans="1:17" x14ac:dyDescent="0.2">
      <c r="A1386" s="10">
        <v>11</v>
      </c>
      <c r="B1386" s="11" t="str">
        <f>[1]Aseguradoras!B12</f>
        <v>Garantía S.A de Seguros y Reaseguros</v>
      </c>
      <c r="C1386" s="12">
        <f>LOOKUP(426040100,[1]PlanCuentas!$A$2:$A$6092,[1]PlanCuentas!M$2:M$6092)</f>
        <v>0</v>
      </c>
      <c r="D1386" s="12">
        <f>LOOKUP(426040200,[1]PlanCuentas!$A$2:$A$6092,[1]PlanCuentas!M$2:M$6092)</f>
        <v>0</v>
      </c>
      <c r="E1386" s="12">
        <f>LOOKUP(426040300,[1]PlanCuentas!$A$2:$A$6092,[1]PlanCuentas!M$2:M$6092)</f>
        <v>0</v>
      </c>
      <c r="F1386" s="12">
        <f>LOOKUP(426040400,[1]PlanCuentas!$A$2:$A$6092,[1]PlanCuentas!M$2:M$6092)</f>
        <v>0</v>
      </c>
      <c r="G1386" s="12">
        <f>LOOKUP(426040500,[1]PlanCuentas!$A$2:$A$6092,[1]PlanCuentas!M$2:M$6092)</f>
        <v>0</v>
      </c>
      <c r="H1386" s="12">
        <f>LOOKUP(426040600,[1]PlanCuentas!$A$2:$A$6092,[1]PlanCuentas!M$2:M$6092)</f>
        <v>0</v>
      </c>
      <c r="I1386" s="12">
        <f>LOOKUP(426040700,[1]PlanCuentas!$A$2:$A$6092,[1]PlanCuentas!M$2:M$6092)</f>
        <v>0</v>
      </c>
      <c r="J1386" s="12">
        <f>LOOKUP(426040800,[1]PlanCuentas!$A$2:$A$6092,[1]PlanCuentas!M$2:M$6092)</f>
        <v>0</v>
      </c>
      <c r="K1386" s="12">
        <f>LOOKUP(426040900,[1]PlanCuentas!$A$2:$A$6092,[1]PlanCuentas!M$2:M$6092)</f>
        <v>0</v>
      </c>
      <c r="L1386" s="12">
        <f>LOOKUP(426041000,[1]PlanCuentas!$A$2:$A$6092,[1]PlanCuentas!M$2:M$6092)</f>
        <v>0</v>
      </c>
      <c r="M1386" s="12">
        <f>LOOKUP(426041100,[1]PlanCuentas!$A$2:$A$6092,[1]PlanCuentas!M$2:M$6092)</f>
        <v>0</v>
      </c>
      <c r="N1386" s="12">
        <f>LOOKUP(426041200,[1]PlanCuentas!$A$2:$A$6092,[1]PlanCuentas!M$2:M$6092)</f>
        <v>0</v>
      </c>
      <c r="O1386" s="12">
        <f>LOOKUP(426041300,[1]PlanCuentas!$A$2:$A$6092,[1]PlanCuentas!M$2:M$6092)</f>
        <v>0</v>
      </c>
      <c r="P1386" s="12">
        <f>LOOKUP(426042000,[1]PlanCuentas!$A$2:$A$6092,[1]PlanCuentas!M$2:M$6092)</f>
        <v>0</v>
      </c>
      <c r="Q1386" s="13">
        <f t="shared" si="66"/>
        <v>0</v>
      </c>
    </row>
    <row r="1387" spans="1:17" x14ac:dyDescent="0.2">
      <c r="A1387" s="10">
        <v>12</v>
      </c>
      <c r="B1387" s="11" t="str">
        <f>[1]Aseguradoras!B13</f>
        <v>Aseguradora Paraguaya S.A.</v>
      </c>
      <c r="C1387" s="12">
        <f>LOOKUP(426040100,[1]PlanCuentas!$A$2:$A$6092,[1]PlanCuentas!N$2:N$6092)</f>
        <v>0</v>
      </c>
      <c r="D1387" s="12">
        <f>LOOKUP(426040200,[1]PlanCuentas!$A$2:$A$6092,[1]PlanCuentas!N$2:N$6092)</f>
        <v>0</v>
      </c>
      <c r="E1387" s="12">
        <f>LOOKUP(426040300,[1]PlanCuentas!$A$2:$A$6092,[1]PlanCuentas!N$2:N$6092)</f>
        <v>0</v>
      </c>
      <c r="F1387" s="12">
        <f>LOOKUP(426040400,[1]PlanCuentas!$A$2:$A$6092,[1]PlanCuentas!N$2:N$6092)</f>
        <v>0</v>
      </c>
      <c r="G1387" s="12">
        <f>LOOKUP(426040500,[1]PlanCuentas!$A$2:$A$6092,[1]PlanCuentas!N$2:N$6092)</f>
        <v>0</v>
      </c>
      <c r="H1387" s="12">
        <f>LOOKUP(426040600,[1]PlanCuentas!$A$2:$A$6092,[1]PlanCuentas!N$2:N$6092)</f>
        <v>0</v>
      </c>
      <c r="I1387" s="12">
        <f>LOOKUP(426040700,[1]PlanCuentas!$A$2:$A$6092,[1]PlanCuentas!N$2:N$6092)</f>
        <v>0</v>
      </c>
      <c r="J1387" s="12">
        <f>LOOKUP(426040800,[1]PlanCuentas!$A$2:$A$6092,[1]PlanCuentas!N$2:N$6092)</f>
        <v>0</v>
      </c>
      <c r="K1387" s="12">
        <f>LOOKUP(426040900,[1]PlanCuentas!$A$2:$A$6092,[1]PlanCuentas!N$2:N$6092)</f>
        <v>0</v>
      </c>
      <c r="L1387" s="12">
        <f>LOOKUP(426041000,[1]PlanCuentas!$A$2:$A$6092,[1]PlanCuentas!N$2:N$6092)</f>
        <v>0</v>
      </c>
      <c r="M1387" s="12">
        <f>LOOKUP(426041100,[1]PlanCuentas!$A$2:$A$6092,[1]PlanCuentas!N$2:N$6092)</f>
        <v>0</v>
      </c>
      <c r="N1387" s="12">
        <f>LOOKUP(426041200,[1]PlanCuentas!$A$2:$A$6092,[1]PlanCuentas!N$2:N$6092)</f>
        <v>0</v>
      </c>
      <c r="O1387" s="12">
        <f>LOOKUP(426041300,[1]PlanCuentas!$A$2:$A$6092,[1]PlanCuentas!N$2:N$6092)</f>
        <v>0</v>
      </c>
      <c r="P1387" s="12">
        <f>LOOKUP(426042000,[1]PlanCuentas!$A$2:$A$6092,[1]PlanCuentas!N$2:N$6092)</f>
        <v>0</v>
      </c>
      <c r="Q1387" s="13">
        <f t="shared" si="66"/>
        <v>0</v>
      </c>
    </row>
    <row r="1388" spans="1:17" x14ac:dyDescent="0.2">
      <c r="A1388" s="10">
        <v>13</v>
      </c>
      <c r="B1388" s="11" t="str">
        <f>[1]Aseguradoras!B14</f>
        <v>Fénix S.A de Seguros y Reaseguros</v>
      </c>
      <c r="C1388" s="12">
        <f>LOOKUP(426040100,[1]PlanCuentas!$A$2:$A$6092,[1]PlanCuentas!O$2:O$6092)</f>
        <v>0</v>
      </c>
      <c r="D1388" s="12">
        <f>LOOKUP(426040200,[1]PlanCuentas!$A$2:$A$6092,[1]PlanCuentas!O$2:O$6092)</f>
        <v>0</v>
      </c>
      <c r="E1388" s="12">
        <f>LOOKUP(426040300,[1]PlanCuentas!$A$2:$A$6092,[1]PlanCuentas!O$2:O$6092)</f>
        <v>0</v>
      </c>
      <c r="F1388" s="12">
        <f>LOOKUP(426040400,[1]PlanCuentas!$A$2:$A$6092,[1]PlanCuentas!O$2:O$6092)</f>
        <v>0</v>
      </c>
      <c r="G1388" s="12">
        <f>LOOKUP(426040500,[1]PlanCuentas!$A$2:$A$6092,[1]PlanCuentas!O$2:O$6092)</f>
        <v>0</v>
      </c>
      <c r="H1388" s="12">
        <f>LOOKUP(426040600,[1]PlanCuentas!$A$2:$A$6092,[1]PlanCuentas!O$2:O$6092)</f>
        <v>0</v>
      </c>
      <c r="I1388" s="12">
        <f>LOOKUP(426040700,[1]PlanCuentas!$A$2:$A$6092,[1]PlanCuentas!O$2:O$6092)</f>
        <v>0</v>
      </c>
      <c r="J1388" s="12">
        <f>LOOKUP(426040800,[1]PlanCuentas!$A$2:$A$6092,[1]PlanCuentas!O$2:O$6092)</f>
        <v>0</v>
      </c>
      <c r="K1388" s="12">
        <f>LOOKUP(426040900,[1]PlanCuentas!$A$2:$A$6092,[1]PlanCuentas!O$2:O$6092)</f>
        <v>0</v>
      </c>
      <c r="L1388" s="12">
        <f>LOOKUP(426041000,[1]PlanCuentas!$A$2:$A$6092,[1]PlanCuentas!O$2:O$6092)</f>
        <v>0</v>
      </c>
      <c r="M1388" s="12">
        <f>LOOKUP(426041100,[1]PlanCuentas!$A$2:$A$6092,[1]PlanCuentas!O$2:O$6092)</f>
        <v>0</v>
      </c>
      <c r="N1388" s="12">
        <f>LOOKUP(426041200,[1]PlanCuentas!$A$2:$A$6092,[1]PlanCuentas!O$2:O$6092)</f>
        <v>0</v>
      </c>
      <c r="O1388" s="12">
        <f>LOOKUP(426041300,[1]PlanCuentas!$A$2:$A$6092,[1]PlanCuentas!O$2:O$6092)</f>
        <v>0</v>
      </c>
      <c r="P1388" s="12">
        <f>LOOKUP(426042000,[1]PlanCuentas!$A$2:$A$6092,[1]PlanCuentas!O$2:O$6092)</f>
        <v>0</v>
      </c>
      <c r="Q1388" s="13">
        <f t="shared" si="66"/>
        <v>0</v>
      </c>
    </row>
    <row r="1389" spans="1:17" x14ac:dyDescent="0.2">
      <c r="A1389" s="10">
        <v>14</v>
      </c>
      <c r="B1389" s="11" t="str">
        <f>[1]Aseguradoras!B15</f>
        <v>Central S.A de Seguros</v>
      </c>
      <c r="C1389" s="12">
        <f>LOOKUP(426040100,[1]PlanCuentas!$A$2:$A$6092,[1]PlanCuentas!P$2:P$6092)</f>
        <v>0</v>
      </c>
      <c r="D1389" s="12">
        <f>LOOKUP(426040200,[1]PlanCuentas!$A$2:$A$6092,[1]PlanCuentas!P$2:P$6092)</f>
        <v>0</v>
      </c>
      <c r="E1389" s="12">
        <f>LOOKUP(426040300,[1]PlanCuentas!$A$2:$A$6092,[1]PlanCuentas!P$2:P$6092)</f>
        <v>0</v>
      </c>
      <c r="F1389" s="12">
        <f>LOOKUP(426040400,[1]PlanCuentas!$A$2:$A$6092,[1]PlanCuentas!P$2:P$6092)</f>
        <v>0</v>
      </c>
      <c r="G1389" s="12">
        <f>LOOKUP(426040500,[1]PlanCuentas!$A$2:$A$6092,[1]PlanCuentas!P$2:P$6092)</f>
        <v>0</v>
      </c>
      <c r="H1389" s="12">
        <f>LOOKUP(426040600,[1]PlanCuentas!$A$2:$A$6092,[1]PlanCuentas!P$2:P$6092)</f>
        <v>0</v>
      </c>
      <c r="I1389" s="12">
        <f>LOOKUP(426040700,[1]PlanCuentas!$A$2:$A$6092,[1]PlanCuentas!P$2:P$6092)</f>
        <v>0</v>
      </c>
      <c r="J1389" s="12">
        <f>LOOKUP(426040800,[1]PlanCuentas!$A$2:$A$6092,[1]PlanCuentas!P$2:P$6092)</f>
        <v>0</v>
      </c>
      <c r="K1389" s="12">
        <f>LOOKUP(426040900,[1]PlanCuentas!$A$2:$A$6092,[1]PlanCuentas!P$2:P$6092)</f>
        <v>0</v>
      </c>
      <c r="L1389" s="12">
        <f>LOOKUP(426041000,[1]PlanCuentas!$A$2:$A$6092,[1]PlanCuentas!P$2:P$6092)</f>
        <v>0</v>
      </c>
      <c r="M1389" s="12">
        <f>LOOKUP(426041100,[1]PlanCuentas!$A$2:$A$6092,[1]PlanCuentas!P$2:P$6092)</f>
        <v>0</v>
      </c>
      <c r="N1389" s="12">
        <f>LOOKUP(426041200,[1]PlanCuentas!$A$2:$A$6092,[1]PlanCuentas!P$2:P$6092)</f>
        <v>0</v>
      </c>
      <c r="O1389" s="12">
        <f>LOOKUP(426041300,[1]PlanCuentas!$A$2:$A$6092,[1]PlanCuentas!P$2:P$6092)</f>
        <v>0</v>
      </c>
      <c r="P1389" s="12">
        <f>LOOKUP(426042000,[1]PlanCuentas!$A$2:$A$6092,[1]PlanCuentas!P$2:P$6092)</f>
        <v>0</v>
      </c>
      <c r="Q1389" s="13">
        <f t="shared" si="66"/>
        <v>0</v>
      </c>
    </row>
    <row r="1390" spans="1:17" x14ac:dyDescent="0.2">
      <c r="A1390" s="10">
        <v>15</v>
      </c>
      <c r="B1390" s="11" t="str">
        <f>[1]Aseguradoras!B16</f>
        <v>Seguros Chaco S.A de Seguros y Reaseguros</v>
      </c>
      <c r="C1390" s="12">
        <f>LOOKUP(426040100,[1]PlanCuentas!$A$2:$A$6092,[1]PlanCuentas!Q$2:Q$6092)</f>
        <v>0</v>
      </c>
      <c r="D1390" s="12">
        <f>LOOKUP(426040200,[1]PlanCuentas!$A$2:$A$6092,[1]PlanCuentas!Q$2:Q$6092)</f>
        <v>0</v>
      </c>
      <c r="E1390" s="12">
        <f>LOOKUP(426040300,[1]PlanCuentas!$A$2:$A$6092,[1]PlanCuentas!Q$2:Q$6092)</f>
        <v>0</v>
      </c>
      <c r="F1390" s="12">
        <f>LOOKUP(426040400,[1]PlanCuentas!$A$2:$A$6092,[1]PlanCuentas!Q$2:Q$6092)</f>
        <v>0</v>
      </c>
      <c r="G1390" s="12">
        <f>LOOKUP(426040500,[1]PlanCuentas!$A$2:$A$6092,[1]PlanCuentas!Q$2:Q$6092)</f>
        <v>0</v>
      </c>
      <c r="H1390" s="12">
        <f>LOOKUP(426040600,[1]PlanCuentas!$A$2:$A$6092,[1]PlanCuentas!Q$2:Q$6092)</f>
        <v>0</v>
      </c>
      <c r="I1390" s="12">
        <f>LOOKUP(426040700,[1]PlanCuentas!$A$2:$A$6092,[1]PlanCuentas!Q$2:Q$6092)</f>
        <v>0</v>
      </c>
      <c r="J1390" s="12">
        <f>LOOKUP(426040800,[1]PlanCuentas!$A$2:$A$6092,[1]PlanCuentas!Q$2:Q$6092)</f>
        <v>0</v>
      </c>
      <c r="K1390" s="12">
        <f>LOOKUP(426040900,[1]PlanCuentas!$A$2:$A$6092,[1]PlanCuentas!Q$2:Q$6092)</f>
        <v>0</v>
      </c>
      <c r="L1390" s="12">
        <f>LOOKUP(426041000,[1]PlanCuentas!$A$2:$A$6092,[1]PlanCuentas!Q$2:Q$6092)</f>
        <v>0</v>
      </c>
      <c r="M1390" s="12">
        <f>LOOKUP(426041100,[1]PlanCuentas!$A$2:$A$6092,[1]PlanCuentas!Q$2:Q$6092)</f>
        <v>0</v>
      </c>
      <c r="N1390" s="12">
        <f>LOOKUP(426041200,[1]PlanCuentas!$A$2:$A$6092,[1]PlanCuentas!Q$2:Q$6092)</f>
        <v>0</v>
      </c>
      <c r="O1390" s="12">
        <f>LOOKUP(426041300,[1]PlanCuentas!$A$2:$A$6092,[1]PlanCuentas!Q$2:Q$6092)</f>
        <v>0</v>
      </c>
      <c r="P1390" s="12">
        <f>LOOKUP(426042000,[1]PlanCuentas!$A$2:$A$6092,[1]PlanCuentas!Q$2:Q$6092)</f>
        <v>0</v>
      </c>
      <c r="Q1390" s="13">
        <f t="shared" si="66"/>
        <v>0</v>
      </c>
    </row>
    <row r="1391" spans="1:17" x14ac:dyDescent="0.2">
      <c r="A1391" s="10">
        <v>16</v>
      </c>
      <c r="B1391" s="11" t="str">
        <f>[1]Aseguradoras!B17</f>
        <v>El Sol Del Paraguay Compañía de Seguros y Reaseguros S.A.</v>
      </c>
      <c r="C1391" s="12">
        <f>LOOKUP(426040100,[1]PlanCuentas!$A$2:$A$6092,[1]PlanCuentas!R$2:R$6092)</f>
        <v>0</v>
      </c>
      <c r="D1391" s="12">
        <f>LOOKUP(426040200,[1]PlanCuentas!$A$2:$A$6092,[1]PlanCuentas!R$2:R$6092)</f>
        <v>0</v>
      </c>
      <c r="E1391" s="12">
        <f>LOOKUP(426040300,[1]PlanCuentas!$A$2:$A$6092,[1]PlanCuentas!R$2:R$6092)</f>
        <v>0</v>
      </c>
      <c r="F1391" s="12">
        <f>LOOKUP(426040400,[1]PlanCuentas!$A$2:$A$6092,[1]PlanCuentas!R$2:R$6092)</f>
        <v>0</v>
      </c>
      <c r="G1391" s="12">
        <f>LOOKUP(426040500,[1]PlanCuentas!$A$2:$A$6092,[1]PlanCuentas!R$2:R$6092)</f>
        <v>0</v>
      </c>
      <c r="H1391" s="12">
        <f>LOOKUP(426040600,[1]PlanCuentas!$A$2:$A$6092,[1]PlanCuentas!R$2:R$6092)</f>
        <v>0</v>
      </c>
      <c r="I1391" s="12">
        <f>LOOKUP(426040700,[1]PlanCuentas!$A$2:$A$6092,[1]PlanCuentas!R$2:R$6092)</f>
        <v>0</v>
      </c>
      <c r="J1391" s="12">
        <f>LOOKUP(426040800,[1]PlanCuentas!$A$2:$A$6092,[1]PlanCuentas!R$2:R$6092)</f>
        <v>0</v>
      </c>
      <c r="K1391" s="12">
        <f>LOOKUP(426040900,[1]PlanCuentas!$A$2:$A$6092,[1]PlanCuentas!R$2:R$6092)</f>
        <v>0</v>
      </c>
      <c r="L1391" s="12">
        <f>LOOKUP(426041000,[1]PlanCuentas!$A$2:$A$6092,[1]PlanCuentas!R$2:R$6092)</f>
        <v>0</v>
      </c>
      <c r="M1391" s="12">
        <f>LOOKUP(426041100,[1]PlanCuentas!$A$2:$A$6092,[1]PlanCuentas!R$2:R$6092)</f>
        <v>0</v>
      </c>
      <c r="N1391" s="12">
        <f>LOOKUP(426041200,[1]PlanCuentas!$A$2:$A$6092,[1]PlanCuentas!R$2:R$6092)</f>
        <v>0</v>
      </c>
      <c r="O1391" s="12">
        <f>LOOKUP(426041300,[1]PlanCuentas!$A$2:$A$6092,[1]PlanCuentas!R$2:R$6092)</f>
        <v>0</v>
      </c>
      <c r="P1391" s="12">
        <f>LOOKUP(426042000,[1]PlanCuentas!$A$2:$A$6092,[1]PlanCuentas!R$2:R$6092)</f>
        <v>0</v>
      </c>
      <c r="Q1391" s="13">
        <f t="shared" si="66"/>
        <v>0</v>
      </c>
    </row>
    <row r="1392" spans="1:17" x14ac:dyDescent="0.2">
      <c r="A1392" s="10">
        <v>17</v>
      </c>
      <c r="B1392" s="11" t="str">
        <f>[1]Aseguradoras!B18</f>
        <v>Intercontinental de Seguros y Reaseguros S.A.</v>
      </c>
      <c r="C1392" s="12">
        <f>LOOKUP(426040100,[1]PlanCuentas!$A$2:$A$6092,[1]PlanCuentas!S$2:S$6092)</f>
        <v>0</v>
      </c>
      <c r="D1392" s="12">
        <f>LOOKUP(426040200,[1]PlanCuentas!$A$2:$A$6092,[1]PlanCuentas!S$2:S$6092)</f>
        <v>0</v>
      </c>
      <c r="E1392" s="12">
        <f>LOOKUP(426040300,[1]PlanCuentas!$A$2:$A$6092,[1]PlanCuentas!S$2:S$6092)</f>
        <v>0</v>
      </c>
      <c r="F1392" s="12">
        <f>LOOKUP(426040400,[1]PlanCuentas!$A$2:$A$6092,[1]PlanCuentas!S$2:S$6092)</f>
        <v>7922723</v>
      </c>
      <c r="G1392" s="12">
        <f>LOOKUP(426040500,[1]PlanCuentas!$A$2:$A$6092,[1]PlanCuentas!S$2:S$6092)</f>
        <v>0</v>
      </c>
      <c r="H1392" s="12">
        <f>LOOKUP(426040600,[1]PlanCuentas!$A$2:$A$6092,[1]PlanCuentas!S$2:S$6092)</f>
        <v>0</v>
      </c>
      <c r="I1392" s="12">
        <f>LOOKUP(426040700,[1]PlanCuentas!$A$2:$A$6092,[1]PlanCuentas!S$2:S$6092)</f>
        <v>0</v>
      </c>
      <c r="J1392" s="12">
        <f>LOOKUP(426040800,[1]PlanCuentas!$A$2:$A$6092,[1]PlanCuentas!S$2:S$6092)</f>
        <v>0</v>
      </c>
      <c r="K1392" s="12">
        <f>LOOKUP(426040900,[1]PlanCuentas!$A$2:$A$6092,[1]PlanCuentas!S$2:S$6092)</f>
        <v>0</v>
      </c>
      <c r="L1392" s="12">
        <f>LOOKUP(426041000,[1]PlanCuentas!$A$2:$A$6092,[1]PlanCuentas!S$2:S$6092)</f>
        <v>0</v>
      </c>
      <c r="M1392" s="12">
        <f>LOOKUP(426041100,[1]PlanCuentas!$A$2:$A$6092,[1]PlanCuentas!S$2:S$6092)</f>
        <v>0</v>
      </c>
      <c r="N1392" s="12">
        <f>LOOKUP(426041200,[1]PlanCuentas!$A$2:$A$6092,[1]PlanCuentas!S$2:S$6092)</f>
        <v>0</v>
      </c>
      <c r="O1392" s="12">
        <f>LOOKUP(426041300,[1]PlanCuentas!$A$2:$A$6092,[1]PlanCuentas!S$2:S$6092)</f>
        <v>0</v>
      </c>
      <c r="P1392" s="12">
        <f>LOOKUP(426042000,[1]PlanCuentas!$A$2:$A$6092,[1]PlanCuentas!S$2:S$6092)</f>
        <v>0</v>
      </c>
      <c r="Q1392" s="13">
        <f t="shared" si="66"/>
        <v>7922723</v>
      </c>
    </row>
    <row r="1393" spans="1:27" x14ac:dyDescent="0.2">
      <c r="A1393" s="10">
        <v>18</v>
      </c>
      <c r="B1393" s="11" t="str">
        <f>[1]Aseguradoras!B19</f>
        <v>Seguridad S.A Compañía de Seguros</v>
      </c>
      <c r="C1393" s="12">
        <f>LOOKUP(426040100,[1]PlanCuentas!$A$2:$A$6092,[1]PlanCuentas!T$2:T$6092)</f>
        <v>0</v>
      </c>
      <c r="D1393" s="12">
        <f>LOOKUP(426040200,[1]PlanCuentas!$A$2:$A$6092,[1]PlanCuentas!T$2:T$6092)</f>
        <v>0</v>
      </c>
      <c r="E1393" s="12">
        <f>LOOKUP(426040300,[1]PlanCuentas!$A$2:$A$6092,[1]PlanCuentas!T$2:T$6092)</f>
        <v>0</v>
      </c>
      <c r="F1393" s="12">
        <f>LOOKUP(426040400,[1]PlanCuentas!$A$2:$A$6092,[1]PlanCuentas!T$2:T$6092)</f>
        <v>0</v>
      </c>
      <c r="G1393" s="12">
        <f>LOOKUP(426040500,[1]PlanCuentas!$A$2:$A$6092,[1]PlanCuentas!T$2:T$6092)</f>
        <v>0</v>
      </c>
      <c r="H1393" s="12">
        <f>LOOKUP(426040600,[1]PlanCuentas!$A$2:$A$6092,[1]PlanCuentas!T$2:T$6092)</f>
        <v>0</v>
      </c>
      <c r="I1393" s="12">
        <f>LOOKUP(426040700,[1]PlanCuentas!$A$2:$A$6092,[1]PlanCuentas!T$2:T$6092)</f>
        <v>0</v>
      </c>
      <c r="J1393" s="12">
        <f>LOOKUP(426040800,[1]PlanCuentas!$A$2:$A$6092,[1]PlanCuentas!T$2:T$6092)</f>
        <v>0</v>
      </c>
      <c r="K1393" s="12">
        <f>LOOKUP(426040900,[1]PlanCuentas!$A$2:$A$6092,[1]PlanCuentas!T$2:T$6092)</f>
        <v>0</v>
      </c>
      <c r="L1393" s="12">
        <f>LOOKUP(426041000,[1]PlanCuentas!$A$2:$A$6092,[1]PlanCuentas!T$2:T$6092)</f>
        <v>0</v>
      </c>
      <c r="M1393" s="12">
        <f>LOOKUP(426041100,[1]PlanCuentas!$A$2:$A$6092,[1]PlanCuentas!T$2:T$6092)</f>
        <v>0</v>
      </c>
      <c r="N1393" s="12">
        <f>LOOKUP(426041200,[1]PlanCuentas!$A$2:$A$6092,[1]PlanCuentas!T$2:T$6092)</f>
        <v>0</v>
      </c>
      <c r="O1393" s="12">
        <f>LOOKUP(426041300,[1]PlanCuentas!$A$2:$A$6092,[1]PlanCuentas!T$2:T$6092)</f>
        <v>0</v>
      </c>
      <c r="P1393" s="12">
        <f>LOOKUP(426042000,[1]PlanCuentas!$A$2:$A$6092,[1]PlanCuentas!T$2:T$6092)</f>
        <v>0</v>
      </c>
      <c r="Q1393" s="13">
        <f t="shared" si="66"/>
        <v>0</v>
      </c>
    </row>
    <row r="1394" spans="1:27" x14ac:dyDescent="0.2">
      <c r="A1394" s="10">
        <v>19</v>
      </c>
      <c r="B1394" s="11" t="str">
        <f>[1]Aseguradoras!B20</f>
        <v>Universo de Seguros y Reaseguros S.A.</v>
      </c>
      <c r="C1394" s="12">
        <f>LOOKUP(426040100,[1]PlanCuentas!$A$2:$A$6092,[1]PlanCuentas!U$2:U$6092)</f>
        <v>0</v>
      </c>
      <c r="D1394" s="12">
        <f>LOOKUP(426040200,[1]PlanCuentas!$A$2:$A$6092,[1]PlanCuentas!U$2:U$6092)</f>
        <v>0</v>
      </c>
      <c r="E1394" s="12">
        <f>LOOKUP(426040300,[1]PlanCuentas!$A$2:$A$6092,[1]PlanCuentas!U$2:U$6092)</f>
        <v>0</v>
      </c>
      <c r="F1394" s="12">
        <f>LOOKUP(426040400,[1]PlanCuentas!$A$2:$A$6092,[1]PlanCuentas!U$2:U$6092)</f>
        <v>0</v>
      </c>
      <c r="G1394" s="12">
        <f>LOOKUP(426040500,[1]PlanCuentas!$A$2:$A$6092,[1]PlanCuentas!U$2:U$6092)</f>
        <v>0</v>
      </c>
      <c r="H1394" s="12">
        <f>LOOKUP(426040600,[1]PlanCuentas!$A$2:$A$6092,[1]PlanCuentas!U$2:U$6092)</f>
        <v>0</v>
      </c>
      <c r="I1394" s="12">
        <f>LOOKUP(426040700,[1]PlanCuentas!$A$2:$A$6092,[1]PlanCuentas!U$2:U$6092)</f>
        <v>0</v>
      </c>
      <c r="J1394" s="12">
        <f>LOOKUP(426040800,[1]PlanCuentas!$A$2:$A$6092,[1]PlanCuentas!U$2:U$6092)</f>
        <v>0</v>
      </c>
      <c r="K1394" s="12">
        <f>LOOKUP(426040900,[1]PlanCuentas!$A$2:$A$6092,[1]PlanCuentas!U$2:U$6092)</f>
        <v>0</v>
      </c>
      <c r="L1394" s="12">
        <f>LOOKUP(426041000,[1]PlanCuentas!$A$2:$A$6092,[1]PlanCuentas!U$2:U$6092)</f>
        <v>0</v>
      </c>
      <c r="M1394" s="12">
        <f>LOOKUP(426041100,[1]PlanCuentas!$A$2:$A$6092,[1]PlanCuentas!U$2:U$6092)</f>
        <v>0</v>
      </c>
      <c r="N1394" s="12">
        <f>LOOKUP(426041200,[1]PlanCuentas!$A$2:$A$6092,[1]PlanCuentas!U$2:U$6092)</f>
        <v>0</v>
      </c>
      <c r="O1394" s="12">
        <f>LOOKUP(426041300,[1]PlanCuentas!$A$2:$A$6092,[1]PlanCuentas!U$2:U$6092)</f>
        <v>0</v>
      </c>
      <c r="P1394" s="12">
        <f>LOOKUP(426042000,[1]PlanCuentas!$A$2:$A$6092,[1]PlanCuentas!U$2:U$6092)</f>
        <v>0</v>
      </c>
      <c r="Q1394" s="13">
        <f t="shared" si="66"/>
        <v>0</v>
      </c>
    </row>
    <row r="1395" spans="1:27" x14ac:dyDescent="0.2">
      <c r="A1395" s="10">
        <v>20</v>
      </c>
      <c r="B1395" s="11" t="str">
        <f>[1]Aseguradoras!B21</f>
        <v>Aseguradora Yacyreta S.A de Seguros y Reaseguros</v>
      </c>
      <c r="C1395" s="12">
        <f>LOOKUP(426040100,[1]PlanCuentas!$A$2:$A$6092,[1]PlanCuentas!V$2:V$6092)</f>
        <v>0</v>
      </c>
      <c r="D1395" s="12">
        <f>LOOKUP(426040200,[1]PlanCuentas!$A$2:$A$6092,[1]PlanCuentas!V$2:V$6092)</f>
        <v>0</v>
      </c>
      <c r="E1395" s="12">
        <f>LOOKUP(426040300,[1]PlanCuentas!$A$2:$A$6092,[1]PlanCuentas!V$2:V$6092)</f>
        <v>0</v>
      </c>
      <c r="F1395" s="12">
        <f>LOOKUP(426040400,[1]PlanCuentas!$A$2:$A$6092,[1]PlanCuentas!V$2:V$6092)</f>
        <v>0</v>
      </c>
      <c r="G1395" s="12">
        <f>LOOKUP(426040500,[1]PlanCuentas!$A$2:$A$6092,[1]PlanCuentas!V$2:V$6092)</f>
        <v>0</v>
      </c>
      <c r="H1395" s="12">
        <f>LOOKUP(426040600,[1]PlanCuentas!$A$2:$A$6092,[1]PlanCuentas!V$2:V$6092)</f>
        <v>0</v>
      </c>
      <c r="I1395" s="12">
        <f>LOOKUP(426040700,[1]PlanCuentas!$A$2:$A$6092,[1]PlanCuentas!V$2:V$6092)</f>
        <v>0</v>
      </c>
      <c r="J1395" s="12">
        <f>LOOKUP(426040800,[1]PlanCuentas!$A$2:$A$6092,[1]PlanCuentas!V$2:V$6092)</f>
        <v>0</v>
      </c>
      <c r="K1395" s="12">
        <f>LOOKUP(426040900,[1]PlanCuentas!$A$2:$A$6092,[1]PlanCuentas!V$2:V$6092)</f>
        <v>0</v>
      </c>
      <c r="L1395" s="12">
        <f>LOOKUP(426041000,[1]PlanCuentas!$A$2:$A$6092,[1]PlanCuentas!V$2:V$6092)</f>
        <v>0</v>
      </c>
      <c r="M1395" s="12">
        <f>LOOKUP(426041100,[1]PlanCuentas!$A$2:$A$6092,[1]PlanCuentas!V$2:V$6092)</f>
        <v>0</v>
      </c>
      <c r="N1395" s="12">
        <f>LOOKUP(426041200,[1]PlanCuentas!$A$2:$A$6092,[1]PlanCuentas!V$2:V$6092)</f>
        <v>0</v>
      </c>
      <c r="O1395" s="12">
        <f>LOOKUP(426041300,[1]PlanCuentas!$A$2:$A$6092,[1]PlanCuentas!V$2:V$6092)</f>
        <v>0</v>
      </c>
      <c r="P1395" s="12">
        <f>LOOKUP(426042000,[1]PlanCuentas!$A$2:$A$6092,[1]PlanCuentas!V$2:V$6092)</f>
        <v>0</v>
      </c>
      <c r="Q1395" s="13">
        <f t="shared" si="66"/>
        <v>0</v>
      </c>
    </row>
    <row r="1396" spans="1:27" x14ac:dyDescent="0.2">
      <c r="A1396" s="10">
        <v>21</v>
      </c>
      <c r="B1396" s="11" t="str">
        <f>[1]Aseguradoras!B22</f>
        <v>La Agricola S.A de Seguros y Reaseguros</v>
      </c>
      <c r="C1396" s="12">
        <f>LOOKUP(426040100,[1]PlanCuentas!$A$2:$A$6092,[1]PlanCuentas!W$2:W$6092)</f>
        <v>780640</v>
      </c>
      <c r="D1396" s="12">
        <f>LOOKUP(426040200,[1]PlanCuentas!$A$2:$A$6092,[1]PlanCuentas!W$2:W$6092)</f>
        <v>0</v>
      </c>
      <c r="E1396" s="12">
        <f>LOOKUP(426040300,[1]PlanCuentas!$A$2:$A$6092,[1]PlanCuentas!W$2:W$6092)</f>
        <v>0</v>
      </c>
      <c r="F1396" s="12">
        <f>LOOKUP(426040400,[1]PlanCuentas!$A$2:$A$6092,[1]PlanCuentas!W$2:W$6092)</f>
        <v>0</v>
      </c>
      <c r="G1396" s="12">
        <f>LOOKUP(426040500,[1]PlanCuentas!$A$2:$A$6092,[1]PlanCuentas!W$2:W$6092)</f>
        <v>0</v>
      </c>
      <c r="H1396" s="12">
        <f>LOOKUP(426040600,[1]PlanCuentas!$A$2:$A$6092,[1]PlanCuentas!W$2:W$6092)</f>
        <v>0</v>
      </c>
      <c r="I1396" s="12">
        <f>LOOKUP(426040700,[1]PlanCuentas!$A$2:$A$6092,[1]PlanCuentas!W$2:W$6092)</f>
        <v>0</v>
      </c>
      <c r="J1396" s="12">
        <f>LOOKUP(426040800,[1]PlanCuentas!$A$2:$A$6092,[1]PlanCuentas!W$2:W$6092)</f>
        <v>0</v>
      </c>
      <c r="K1396" s="12">
        <f>LOOKUP(426040900,[1]PlanCuentas!$A$2:$A$6092,[1]PlanCuentas!W$2:W$6092)</f>
        <v>0</v>
      </c>
      <c r="L1396" s="12">
        <f>LOOKUP(426041000,[1]PlanCuentas!$A$2:$A$6092,[1]PlanCuentas!W$2:W$6092)</f>
        <v>0</v>
      </c>
      <c r="M1396" s="12">
        <f>LOOKUP(426041100,[1]PlanCuentas!$A$2:$A$6092,[1]PlanCuentas!W$2:W$6092)</f>
        <v>0</v>
      </c>
      <c r="N1396" s="12">
        <f>LOOKUP(426041200,[1]PlanCuentas!$A$2:$A$6092,[1]PlanCuentas!W$2:W$6092)</f>
        <v>0</v>
      </c>
      <c r="O1396" s="12">
        <f>LOOKUP(426041300,[1]PlanCuentas!$A$2:$A$6092,[1]PlanCuentas!W$2:W$6092)</f>
        <v>0</v>
      </c>
      <c r="P1396" s="12">
        <f>LOOKUP(426042000,[1]PlanCuentas!$A$2:$A$6092,[1]PlanCuentas!W$2:W$6092)</f>
        <v>0</v>
      </c>
      <c r="Q1396" s="13">
        <f t="shared" si="66"/>
        <v>780640</v>
      </c>
    </row>
    <row r="1397" spans="1:27" x14ac:dyDescent="0.2">
      <c r="A1397" s="10">
        <v>22</v>
      </c>
      <c r="B1397" s="11" t="str">
        <f>[1]Aseguradoras!B23</f>
        <v>Grupo General de Seguros y Reaseguros S.A.</v>
      </c>
      <c r="C1397" s="12">
        <f>LOOKUP(426040100,[1]PlanCuentas!$A$2:$A$6092,[1]PlanCuentas!X$2:X$6092)</f>
        <v>0</v>
      </c>
      <c r="D1397" s="12">
        <f>LOOKUP(426040200,[1]PlanCuentas!$A$2:$A$6092,[1]PlanCuentas!X$2:X$6092)</f>
        <v>0</v>
      </c>
      <c r="E1397" s="12">
        <f>LOOKUP(426040300,[1]PlanCuentas!$A$2:$A$6092,[1]PlanCuentas!X$2:X$6092)</f>
        <v>0</v>
      </c>
      <c r="F1397" s="12">
        <f>LOOKUP(426040400,[1]PlanCuentas!$A$2:$A$6092,[1]PlanCuentas!X$2:X$6092)</f>
        <v>0</v>
      </c>
      <c r="G1397" s="12">
        <f>LOOKUP(426040500,[1]PlanCuentas!$A$2:$A$6092,[1]PlanCuentas!X$2:X$6092)</f>
        <v>0</v>
      </c>
      <c r="H1397" s="12">
        <f>LOOKUP(426040600,[1]PlanCuentas!$A$2:$A$6092,[1]PlanCuentas!X$2:X$6092)</f>
        <v>0</v>
      </c>
      <c r="I1397" s="12">
        <f>LOOKUP(426040700,[1]PlanCuentas!$A$2:$A$6092,[1]PlanCuentas!X$2:X$6092)</f>
        <v>0</v>
      </c>
      <c r="J1397" s="12">
        <f>LOOKUP(426040800,[1]PlanCuentas!$A$2:$A$6092,[1]PlanCuentas!X$2:X$6092)</f>
        <v>0</v>
      </c>
      <c r="K1397" s="12">
        <f>LOOKUP(426040900,[1]PlanCuentas!$A$2:$A$6092,[1]PlanCuentas!X$2:X$6092)</f>
        <v>0</v>
      </c>
      <c r="L1397" s="12">
        <f>LOOKUP(426041000,[1]PlanCuentas!$A$2:$A$6092,[1]PlanCuentas!X$2:X$6092)</f>
        <v>0</v>
      </c>
      <c r="M1397" s="12">
        <f>LOOKUP(426041100,[1]PlanCuentas!$A$2:$A$6092,[1]PlanCuentas!X$2:X$6092)</f>
        <v>0</v>
      </c>
      <c r="N1397" s="12">
        <f>LOOKUP(426041200,[1]PlanCuentas!$A$2:$A$6092,[1]PlanCuentas!X$2:X$6092)</f>
        <v>0</v>
      </c>
      <c r="O1397" s="12">
        <f>LOOKUP(426041300,[1]PlanCuentas!$A$2:$A$6092,[1]PlanCuentas!X$2:X$6092)</f>
        <v>0</v>
      </c>
      <c r="P1397" s="12">
        <f>LOOKUP(426042000,[1]PlanCuentas!$A$2:$A$6092,[1]PlanCuentas!X$2:X$6092)</f>
        <v>0</v>
      </c>
      <c r="Q1397" s="13">
        <f t="shared" si="66"/>
        <v>0</v>
      </c>
    </row>
    <row r="1398" spans="1:27" x14ac:dyDescent="0.2">
      <c r="A1398" s="10">
        <v>23</v>
      </c>
      <c r="B1398" s="11" t="str">
        <f>[1]Aseguradoras!B24</f>
        <v>Alfa S.A de Seguros y Reaseguros</v>
      </c>
      <c r="C1398" s="12">
        <f>LOOKUP(426040100,[1]PlanCuentas!$A$2:$A$6092,[1]PlanCuentas!Y$2:Y$6092)</f>
        <v>0</v>
      </c>
      <c r="D1398" s="12">
        <f>LOOKUP(426040200,[1]PlanCuentas!$A$2:$A$6092,[1]PlanCuentas!Y$2:Y$6092)</f>
        <v>0</v>
      </c>
      <c r="E1398" s="12">
        <f>LOOKUP(426040300,[1]PlanCuentas!$A$2:$A$6092,[1]PlanCuentas!Y$2:Y$6092)</f>
        <v>0</v>
      </c>
      <c r="F1398" s="12">
        <f>LOOKUP(426040400,[1]PlanCuentas!$A$2:$A$6092,[1]PlanCuentas!Y$2:Y$6092)</f>
        <v>0</v>
      </c>
      <c r="G1398" s="12">
        <f>LOOKUP(426040500,[1]PlanCuentas!$A$2:$A$6092,[1]PlanCuentas!Y$2:Y$6092)</f>
        <v>392829</v>
      </c>
      <c r="H1398" s="12">
        <f>LOOKUP(426040600,[1]PlanCuentas!$A$2:$A$6092,[1]PlanCuentas!Y$2:Y$6092)</f>
        <v>0</v>
      </c>
      <c r="I1398" s="12">
        <f>LOOKUP(426040700,[1]PlanCuentas!$A$2:$A$6092,[1]PlanCuentas!Y$2:Y$6092)</f>
        <v>0</v>
      </c>
      <c r="J1398" s="12">
        <f>LOOKUP(426040800,[1]PlanCuentas!$A$2:$A$6092,[1]PlanCuentas!Y$2:Y$6092)</f>
        <v>0</v>
      </c>
      <c r="K1398" s="12">
        <f>LOOKUP(426040900,[1]PlanCuentas!$A$2:$A$6092,[1]PlanCuentas!Y$2:Y$6092)</f>
        <v>0</v>
      </c>
      <c r="L1398" s="12">
        <f>LOOKUP(426041000,[1]PlanCuentas!$A$2:$A$6092,[1]PlanCuentas!Y$2:Y$6092)</f>
        <v>0</v>
      </c>
      <c r="M1398" s="12">
        <f>LOOKUP(426041100,[1]PlanCuentas!$A$2:$A$6092,[1]PlanCuentas!Y$2:Y$6092)</f>
        <v>0</v>
      </c>
      <c r="N1398" s="12">
        <f>LOOKUP(426041200,[1]PlanCuentas!$A$2:$A$6092,[1]PlanCuentas!Y$2:Y$6092)</f>
        <v>0</v>
      </c>
      <c r="O1398" s="12">
        <f>LOOKUP(426041300,[1]PlanCuentas!$A$2:$A$6092,[1]PlanCuentas!Y$2:Y$6092)</f>
        <v>0</v>
      </c>
      <c r="P1398" s="12">
        <f>LOOKUP(426042000,[1]PlanCuentas!$A$2:$A$6092,[1]PlanCuentas!Y$2:Y$6092)</f>
        <v>0</v>
      </c>
      <c r="Q1398" s="13">
        <f t="shared" si="66"/>
        <v>392829</v>
      </c>
      <c r="R1398" s="5"/>
      <c r="S1398" s="5"/>
      <c r="T1398" s="5"/>
    </row>
    <row r="1399" spans="1:27" x14ac:dyDescent="0.2">
      <c r="A1399" s="10">
        <v>24</v>
      </c>
      <c r="B1399" s="11" t="str">
        <f>[1]Aseguradoras!B25</f>
        <v>Cenit de Seguros S.A.</v>
      </c>
      <c r="C1399" s="12">
        <f>LOOKUP(426040100,[1]PlanCuentas!$A$2:$A$6092,[1]PlanCuentas!Z$2:Z$6092)</f>
        <v>0</v>
      </c>
      <c r="D1399" s="12">
        <f>LOOKUP(426040200,[1]PlanCuentas!$A$2:$A$6092,[1]PlanCuentas!Z$2:Z$6092)</f>
        <v>0</v>
      </c>
      <c r="E1399" s="12">
        <f>LOOKUP(426040300,[1]PlanCuentas!$A$2:$A$6092,[1]PlanCuentas!Z$2:Z$6092)</f>
        <v>0</v>
      </c>
      <c r="F1399" s="12">
        <f>LOOKUP(426040400,[1]PlanCuentas!$A$2:$A$6092,[1]PlanCuentas!Z$2:Z$6092)</f>
        <v>0</v>
      </c>
      <c r="G1399" s="12">
        <f>LOOKUP(426040500,[1]PlanCuentas!$A$2:$A$6092,[1]PlanCuentas!Z$2:Z$6092)</f>
        <v>0</v>
      </c>
      <c r="H1399" s="12">
        <f>LOOKUP(426040600,[1]PlanCuentas!$A$2:$A$6092,[1]PlanCuentas!Z$2:Z$6092)</f>
        <v>0</v>
      </c>
      <c r="I1399" s="12">
        <f>LOOKUP(426040700,[1]PlanCuentas!$A$2:$A$6092,[1]PlanCuentas!Z$2:Z$6092)</f>
        <v>0</v>
      </c>
      <c r="J1399" s="12">
        <f>LOOKUP(426040800,[1]PlanCuentas!$A$2:$A$6092,[1]PlanCuentas!Z$2:Z$6092)</f>
        <v>0</v>
      </c>
      <c r="K1399" s="12">
        <f>LOOKUP(426040900,[1]PlanCuentas!$A$2:$A$6092,[1]PlanCuentas!Z$2:Z$6092)</f>
        <v>0</v>
      </c>
      <c r="L1399" s="12">
        <f>LOOKUP(426041000,[1]PlanCuentas!$A$2:$A$6092,[1]PlanCuentas!Z$2:Z$6092)</f>
        <v>0</v>
      </c>
      <c r="M1399" s="12">
        <f>LOOKUP(426041100,[1]PlanCuentas!$A$2:$A$6092,[1]PlanCuentas!Z$2:Z$6092)</f>
        <v>0</v>
      </c>
      <c r="N1399" s="12">
        <f>LOOKUP(426041200,[1]PlanCuentas!$A$2:$A$6092,[1]PlanCuentas!Z$2:Z$6092)</f>
        <v>0</v>
      </c>
      <c r="O1399" s="12">
        <f>LOOKUP(426041300,[1]PlanCuentas!$A$2:$A$6092,[1]PlanCuentas!Z$2:Z$6092)</f>
        <v>0</v>
      </c>
      <c r="P1399" s="12">
        <f>LOOKUP(426042000,[1]PlanCuentas!$A$2:$A$6092,[1]PlanCuentas!Z$2:Z$6092)</f>
        <v>0</v>
      </c>
      <c r="Q1399" s="13">
        <f t="shared" si="66"/>
        <v>0</v>
      </c>
      <c r="R1399" s="5"/>
      <c r="S1399" s="5"/>
      <c r="T1399" s="5"/>
    </row>
    <row r="1400" spans="1:27" x14ac:dyDescent="0.2">
      <c r="A1400" s="10">
        <v>25</v>
      </c>
      <c r="B1400" s="11" t="str">
        <f>[1]Aseguradoras!B26</f>
        <v>La Meridional Paraguaya S.A de Seguros</v>
      </c>
      <c r="C1400" s="12">
        <f>LOOKUP(426040100,[1]PlanCuentas!$A$2:$A$6092,[1]PlanCuentas!AA$2:AA$6092)</f>
        <v>0</v>
      </c>
      <c r="D1400" s="12">
        <f>LOOKUP(426040200,[1]PlanCuentas!$A$2:$A$6092,[1]PlanCuentas!AA$2:AA$6092)</f>
        <v>0</v>
      </c>
      <c r="E1400" s="12">
        <f>LOOKUP(426040300,[1]PlanCuentas!$A$2:$A$6092,[1]PlanCuentas!AA$2:AA$6092)</f>
        <v>0</v>
      </c>
      <c r="F1400" s="12">
        <f>LOOKUP(426040400,[1]PlanCuentas!$A$2:$A$6092,[1]PlanCuentas!AA$2:AA$6092)</f>
        <v>0</v>
      </c>
      <c r="G1400" s="12">
        <f>LOOKUP(426040500,[1]PlanCuentas!$A$2:$A$6092,[1]PlanCuentas!AA$2:AA$6092)</f>
        <v>0</v>
      </c>
      <c r="H1400" s="12">
        <f>LOOKUP(426040600,[1]PlanCuentas!$A$2:$A$6092,[1]PlanCuentas!AA$2:AA$6092)</f>
        <v>0</v>
      </c>
      <c r="I1400" s="12">
        <f>LOOKUP(426040700,[1]PlanCuentas!$A$2:$A$6092,[1]PlanCuentas!AA$2:AA$6092)</f>
        <v>0</v>
      </c>
      <c r="J1400" s="12">
        <f>LOOKUP(426040800,[1]PlanCuentas!$A$2:$A$6092,[1]PlanCuentas!AA$2:AA$6092)</f>
        <v>0</v>
      </c>
      <c r="K1400" s="12">
        <f>LOOKUP(426040900,[1]PlanCuentas!$A$2:$A$6092,[1]PlanCuentas!AA$2:AA$6092)</f>
        <v>0</v>
      </c>
      <c r="L1400" s="12">
        <f>LOOKUP(426041000,[1]PlanCuentas!$A$2:$A$6092,[1]PlanCuentas!AA$2:AA$6092)</f>
        <v>0</v>
      </c>
      <c r="M1400" s="12">
        <f>LOOKUP(426041100,[1]PlanCuentas!$A$2:$A$6092,[1]PlanCuentas!AA$2:AA$6092)</f>
        <v>0</v>
      </c>
      <c r="N1400" s="12">
        <f>LOOKUP(426041200,[1]PlanCuentas!$A$2:$A$6092,[1]PlanCuentas!AA$2:AA$6092)</f>
        <v>0</v>
      </c>
      <c r="O1400" s="12">
        <f>LOOKUP(426041300,[1]PlanCuentas!$A$2:$A$6092,[1]PlanCuentas!AA$2:AA$6092)</f>
        <v>0</v>
      </c>
      <c r="P1400" s="12">
        <f>LOOKUP(426042000,[1]PlanCuentas!$A$2:$A$6092,[1]PlanCuentas!AA$2:AA$6092)</f>
        <v>0</v>
      </c>
      <c r="Q1400" s="13">
        <f t="shared" si="66"/>
        <v>0</v>
      </c>
      <c r="R1400" s="5"/>
      <c r="S1400" s="5"/>
      <c r="T1400" s="5"/>
    </row>
    <row r="1401" spans="1:27" x14ac:dyDescent="0.2">
      <c r="A1401" s="10">
        <v>26</v>
      </c>
      <c r="B1401" s="11" t="str">
        <f>[1]Aseguradoras!B27</f>
        <v>Aseguradora Del Este S.A de Seguros y Reaseguros</v>
      </c>
      <c r="C1401" s="12">
        <f>LOOKUP(426040100,[1]PlanCuentas!$A$2:$A$6092,[1]PlanCuentas!AB$2:AB$6092)</f>
        <v>1207207</v>
      </c>
      <c r="D1401" s="12">
        <f>LOOKUP(426040200,[1]PlanCuentas!$A$2:$A$6092,[1]PlanCuentas!AB$2:AB$6092)</f>
        <v>0</v>
      </c>
      <c r="E1401" s="12">
        <f>LOOKUP(426040300,[1]PlanCuentas!$A$2:$A$6092,[1]PlanCuentas!AB$2:AB$6092)</f>
        <v>0</v>
      </c>
      <c r="F1401" s="12">
        <f>LOOKUP(426040400,[1]PlanCuentas!$A$2:$A$6092,[1]PlanCuentas!AB$2:AB$6092)</f>
        <v>167500</v>
      </c>
      <c r="G1401" s="12">
        <f>LOOKUP(426040500,[1]PlanCuentas!$A$2:$A$6092,[1]PlanCuentas!AB$2:AB$6092)</f>
        <v>0</v>
      </c>
      <c r="H1401" s="12">
        <f>LOOKUP(426040600,[1]PlanCuentas!$A$2:$A$6092,[1]PlanCuentas!AB$2:AB$6092)</f>
        <v>0</v>
      </c>
      <c r="I1401" s="12">
        <f>LOOKUP(426040700,[1]PlanCuentas!$A$2:$A$6092,[1]PlanCuentas!AB$2:AB$6092)</f>
        <v>0</v>
      </c>
      <c r="J1401" s="12">
        <f>LOOKUP(426040800,[1]PlanCuentas!$A$2:$A$6092,[1]PlanCuentas!AB$2:AB$6092)</f>
        <v>0</v>
      </c>
      <c r="K1401" s="12">
        <f>LOOKUP(426040900,[1]PlanCuentas!$A$2:$A$6092,[1]PlanCuentas!AB$2:AB$6092)</f>
        <v>0</v>
      </c>
      <c r="L1401" s="12">
        <f>LOOKUP(426041000,[1]PlanCuentas!$A$2:$A$6092,[1]PlanCuentas!AB$2:AB$6092)</f>
        <v>0</v>
      </c>
      <c r="M1401" s="12">
        <f>LOOKUP(426041100,[1]PlanCuentas!$A$2:$A$6092,[1]PlanCuentas!AB$2:AB$6092)</f>
        <v>0</v>
      </c>
      <c r="N1401" s="12">
        <f>LOOKUP(426041200,[1]PlanCuentas!$A$2:$A$6092,[1]PlanCuentas!AB$2:AB$6092)</f>
        <v>0</v>
      </c>
      <c r="O1401" s="12">
        <f>LOOKUP(426041300,[1]PlanCuentas!$A$2:$A$6092,[1]PlanCuentas!AB$2:AB$6092)</f>
        <v>0</v>
      </c>
      <c r="P1401" s="12">
        <f>LOOKUP(426042000,[1]PlanCuentas!$A$2:$A$6092,[1]PlanCuentas!AB$2:AB$6092)</f>
        <v>0</v>
      </c>
      <c r="Q1401" s="13">
        <f t="shared" si="66"/>
        <v>1374707</v>
      </c>
    </row>
    <row r="1402" spans="1:27" x14ac:dyDescent="0.2">
      <c r="A1402" s="10">
        <v>27</v>
      </c>
      <c r="B1402" s="11" t="str">
        <f>[1]Aseguradoras!B28</f>
        <v>Imperio S.A de Seguros y Reaseguros</v>
      </c>
      <c r="C1402" s="12">
        <f>LOOKUP(426040100,[1]PlanCuentas!$A$2:$A$6092,[1]PlanCuentas!AC$2:AC$6092)</f>
        <v>0</v>
      </c>
      <c r="D1402" s="12">
        <f>LOOKUP(426040200,[1]PlanCuentas!$A$2:$A$6092,[1]PlanCuentas!AC$2:AC$6092)</f>
        <v>0</v>
      </c>
      <c r="E1402" s="12">
        <f>LOOKUP(426040300,[1]PlanCuentas!$A$2:$A$6092,[1]PlanCuentas!AC$2:AC$6092)</f>
        <v>0</v>
      </c>
      <c r="F1402" s="12">
        <f>LOOKUP(426040400,[1]PlanCuentas!$A$2:$A$6092,[1]PlanCuentas!AC$2:AC$6092)</f>
        <v>0</v>
      </c>
      <c r="G1402" s="12">
        <f>LOOKUP(426040500,[1]PlanCuentas!$A$2:$A$6092,[1]PlanCuentas!AC$2:AC$6092)</f>
        <v>0</v>
      </c>
      <c r="H1402" s="12">
        <f>LOOKUP(426040600,[1]PlanCuentas!$A$2:$A$6092,[1]PlanCuentas!AC$2:AC$6092)</f>
        <v>0</v>
      </c>
      <c r="I1402" s="12">
        <f>LOOKUP(426040700,[1]PlanCuentas!$A$2:$A$6092,[1]PlanCuentas!AC$2:AC$6092)</f>
        <v>0</v>
      </c>
      <c r="J1402" s="12">
        <f>LOOKUP(426040800,[1]PlanCuentas!$A$2:$A$6092,[1]PlanCuentas!AC$2:AC$6092)</f>
        <v>0</v>
      </c>
      <c r="K1402" s="12">
        <f>LOOKUP(426040900,[1]PlanCuentas!$A$2:$A$6092,[1]PlanCuentas!AC$2:AC$6092)</f>
        <v>0</v>
      </c>
      <c r="L1402" s="12">
        <f>LOOKUP(426041000,[1]PlanCuentas!$A$2:$A$6092,[1]PlanCuentas!AC$2:AC$6092)</f>
        <v>0</v>
      </c>
      <c r="M1402" s="12">
        <f>LOOKUP(426041100,[1]PlanCuentas!$A$2:$A$6092,[1]PlanCuentas!AC$2:AC$6092)</f>
        <v>0</v>
      </c>
      <c r="N1402" s="12">
        <f>LOOKUP(426041200,[1]PlanCuentas!$A$2:$A$6092,[1]PlanCuentas!AC$2:AC$6092)</f>
        <v>0</v>
      </c>
      <c r="O1402" s="12">
        <f>LOOKUP(426041300,[1]PlanCuentas!$A$2:$A$6092,[1]PlanCuentas!AC$2:AC$6092)</f>
        <v>0</v>
      </c>
      <c r="P1402" s="12">
        <f>LOOKUP(426042000,[1]PlanCuentas!$A$2:$A$6092,[1]PlanCuentas!AC$2:AC$6092)</f>
        <v>0</v>
      </c>
      <c r="Q1402" s="13">
        <f t="shared" si="66"/>
        <v>0</v>
      </c>
    </row>
    <row r="1403" spans="1:27" x14ac:dyDescent="0.2">
      <c r="A1403" s="10">
        <v>28</v>
      </c>
      <c r="B1403" s="11" t="str">
        <f>[1]Aseguradoras!B29</f>
        <v>Regional S.A de Seguros y Reaseguros</v>
      </c>
      <c r="C1403" s="12">
        <f>LOOKUP(426040100,[1]PlanCuentas!$A$2:$A$6092,[1]PlanCuentas!AD$2:AD$6092)</f>
        <v>0</v>
      </c>
      <c r="D1403" s="12">
        <f>LOOKUP(426040200,[1]PlanCuentas!$A$2:$A$6092,[1]PlanCuentas!AD$2:AD$6092)</f>
        <v>0</v>
      </c>
      <c r="E1403" s="12">
        <f>LOOKUP(426040300,[1]PlanCuentas!$A$2:$A$6092,[1]PlanCuentas!AD$2:AD$6092)</f>
        <v>0</v>
      </c>
      <c r="F1403" s="12">
        <f>LOOKUP(426040400,[1]PlanCuentas!$A$2:$A$6092,[1]PlanCuentas!AD$2:AD$6092)</f>
        <v>0</v>
      </c>
      <c r="G1403" s="12">
        <f>LOOKUP(426040500,[1]PlanCuentas!$A$2:$A$6092,[1]PlanCuentas!AD$2:AD$6092)</f>
        <v>0</v>
      </c>
      <c r="H1403" s="12">
        <f>LOOKUP(426040600,[1]PlanCuentas!$A$2:$A$6092,[1]PlanCuentas!AD$2:AD$6092)</f>
        <v>0</v>
      </c>
      <c r="I1403" s="12">
        <f>LOOKUP(426040700,[1]PlanCuentas!$A$2:$A$6092,[1]PlanCuentas!AD$2:AD$6092)</f>
        <v>0</v>
      </c>
      <c r="J1403" s="12">
        <f>LOOKUP(426040800,[1]PlanCuentas!$A$2:$A$6092,[1]PlanCuentas!AD$2:AD$6092)</f>
        <v>0</v>
      </c>
      <c r="K1403" s="12">
        <f>LOOKUP(426040900,[1]PlanCuentas!$A$2:$A$6092,[1]PlanCuentas!AD$2:AD$6092)</f>
        <v>0</v>
      </c>
      <c r="L1403" s="12">
        <f>LOOKUP(426041000,[1]PlanCuentas!$A$2:$A$6092,[1]PlanCuentas!AD$2:AD$6092)</f>
        <v>0</v>
      </c>
      <c r="M1403" s="12">
        <f>LOOKUP(426041100,[1]PlanCuentas!$A$2:$A$6092,[1]PlanCuentas!AD$2:AD$6092)</f>
        <v>0</v>
      </c>
      <c r="N1403" s="12">
        <f>LOOKUP(426041200,[1]PlanCuentas!$A$2:$A$6092,[1]PlanCuentas!AD$2:AD$6092)</f>
        <v>0</v>
      </c>
      <c r="O1403" s="12">
        <f>LOOKUP(426041300,[1]PlanCuentas!$A$2:$A$6092,[1]PlanCuentas!AD$2:AD$6092)</f>
        <v>0</v>
      </c>
      <c r="P1403" s="12">
        <f>LOOKUP(426042000,[1]PlanCuentas!$A$2:$A$6092,[1]PlanCuentas!AD$2:AD$6092)</f>
        <v>0</v>
      </c>
      <c r="Q1403" s="13">
        <f t="shared" si="66"/>
        <v>0</v>
      </c>
    </row>
    <row r="1404" spans="1:27" s="37" customFormat="1" x14ac:dyDescent="0.2">
      <c r="A1404" s="10">
        <v>29</v>
      </c>
      <c r="B1404" s="11" t="str">
        <f>[1]Aseguradoras!B30</f>
        <v>Mapfre Paraguay Compañía de Seguros S.A.</v>
      </c>
      <c r="C1404" s="12">
        <f>LOOKUP(426040100,[1]PlanCuentas!$A$2:$A$6092,[1]PlanCuentas!AE$2:AE$6092)</f>
        <v>0</v>
      </c>
      <c r="D1404" s="12">
        <f>LOOKUP(426040200,[1]PlanCuentas!$A$2:$A$6092,[1]PlanCuentas!AE$2:AE$6092)</f>
        <v>0</v>
      </c>
      <c r="E1404" s="12">
        <f>LOOKUP(426040300,[1]PlanCuentas!$A$2:$A$6092,[1]PlanCuentas!AE$2:AE$6092)</f>
        <v>0</v>
      </c>
      <c r="F1404" s="12">
        <f>LOOKUP(426040400,[1]PlanCuentas!$A$2:$A$6092,[1]PlanCuentas!AE$2:AE$6092)</f>
        <v>0</v>
      </c>
      <c r="G1404" s="12">
        <f>LOOKUP(426040500,[1]PlanCuentas!$A$2:$A$6092,[1]PlanCuentas!AE$2:AE$6092)</f>
        <v>0</v>
      </c>
      <c r="H1404" s="12">
        <f>LOOKUP(426040600,[1]PlanCuentas!$A$2:$A$6092,[1]PlanCuentas!AE$2:AE$6092)</f>
        <v>0</v>
      </c>
      <c r="I1404" s="12">
        <f>LOOKUP(426040700,[1]PlanCuentas!$A$2:$A$6092,[1]PlanCuentas!AE$2:AE$6092)</f>
        <v>0</v>
      </c>
      <c r="J1404" s="12">
        <f>LOOKUP(426040800,[1]PlanCuentas!$A$2:$A$6092,[1]PlanCuentas!AE$2:AE$6092)</f>
        <v>0</v>
      </c>
      <c r="K1404" s="12">
        <f>LOOKUP(426040900,[1]PlanCuentas!$A$2:$A$6092,[1]PlanCuentas!AE$2:AE$6092)</f>
        <v>0</v>
      </c>
      <c r="L1404" s="12">
        <f>LOOKUP(426041000,[1]PlanCuentas!$A$2:$A$6092,[1]PlanCuentas!AE$2:AE$6092)</f>
        <v>0</v>
      </c>
      <c r="M1404" s="12">
        <f>LOOKUP(426041100,[1]PlanCuentas!$A$2:$A$6092,[1]PlanCuentas!AE$2:AE$6092)</f>
        <v>0</v>
      </c>
      <c r="N1404" s="12">
        <f>LOOKUP(426041200,[1]PlanCuentas!$A$2:$A$6092,[1]PlanCuentas!AE$2:AE$6092)</f>
        <v>0</v>
      </c>
      <c r="O1404" s="12">
        <f>LOOKUP(426041300,[1]PlanCuentas!$A$2:$A$6092,[1]PlanCuentas!AE$2:AE$6092)</f>
        <v>0</v>
      </c>
      <c r="P1404" s="12">
        <f>LOOKUP(426042000,[1]PlanCuentas!$A$2:$A$6092,[1]PlanCuentas!AE$2:AE$6092)</f>
        <v>0</v>
      </c>
      <c r="Q1404" s="13">
        <f t="shared" si="66"/>
        <v>0</v>
      </c>
    </row>
    <row r="1405" spans="1:27" x14ac:dyDescent="0.2">
      <c r="A1405" s="10">
        <v>30</v>
      </c>
      <c r="B1405" s="11" t="str">
        <f>[1]Aseguradoras!B31</f>
        <v>Aseguradora Tajy Propiedad Cooperativa S.A. de Seguros</v>
      </c>
      <c r="C1405" s="12">
        <f>LOOKUP(426040100,[1]PlanCuentas!$A$2:$A$6092,[1]PlanCuentas!AF$2:AF$6092)</f>
        <v>0</v>
      </c>
      <c r="D1405" s="12">
        <f>LOOKUP(426040200,[1]PlanCuentas!$A$2:$A$6092,[1]PlanCuentas!AF$2:AF$6092)</f>
        <v>0</v>
      </c>
      <c r="E1405" s="12">
        <f>LOOKUP(426040300,[1]PlanCuentas!$A$2:$A$6092,[1]PlanCuentas!AF$2:AF$6092)</f>
        <v>0</v>
      </c>
      <c r="F1405" s="12">
        <f>LOOKUP(426040400,[1]PlanCuentas!$A$2:$A$6092,[1]PlanCuentas!AF$2:AF$6092)</f>
        <v>0</v>
      </c>
      <c r="G1405" s="12">
        <f>LOOKUP(426040500,[1]PlanCuentas!$A$2:$A$6092,[1]PlanCuentas!AF$2:AF$6092)</f>
        <v>0</v>
      </c>
      <c r="H1405" s="12">
        <f>LOOKUP(426040600,[1]PlanCuentas!$A$2:$A$6092,[1]PlanCuentas!AF$2:AF$6092)</f>
        <v>0</v>
      </c>
      <c r="I1405" s="12">
        <f>LOOKUP(426040700,[1]PlanCuentas!$A$2:$A$6092,[1]PlanCuentas!AF$2:AF$6092)</f>
        <v>0</v>
      </c>
      <c r="J1405" s="12">
        <f>LOOKUP(426040800,[1]PlanCuentas!$A$2:$A$6092,[1]PlanCuentas!AF$2:AF$6092)</f>
        <v>0</v>
      </c>
      <c r="K1405" s="12">
        <f>LOOKUP(426040900,[1]PlanCuentas!$A$2:$A$6092,[1]PlanCuentas!AF$2:AF$6092)</f>
        <v>0</v>
      </c>
      <c r="L1405" s="12">
        <f>LOOKUP(426041000,[1]PlanCuentas!$A$2:$A$6092,[1]PlanCuentas!AF$2:AF$6092)</f>
        <v>0</v>
      </c>
      <c r="M1405" s="12">
        <f>LOOKUP(426041100,[1]PlanCuentas!$A$2:$A$6092,[1]PlanCuentas!AF$2:AF$6092)</f>
        <v>0</v>
      </c>
      <c r="N1405" s="12">
        <f>LOOKUP(426041200,[1]PlanCuentas!$A$2:$A$6092,[1]PlanCuentas!AF$2:AF$6092)</f>
        <v>0</v>
      </c>
      <c r="O1405" s="12">
        <f>LOOKUP(426041300,[1]PlanCuentas!$A$2:$A$6092,[1]PlanCuentas!AF$2:AF$6092)</f>
        <v>0</v>
      </c>
      <c r="P1405" s="12">
        <f>LOOKUP(426042000,[1]PlanCuentas!$A$2:$A$6092,[1]PlanCuentas!AF$2:AF$6092)</f>
        <v>0</v>
      </c>
      <c r="Q1405" s="13">
        <f t="shared" si="66"/>
        <v>0</v>
      </c>
    </row>
    <row r="1406" spans="1:27" x14ac:dyDescent="0.2">
      <c r="A1406" s="10">
        <v>31</v>
      </c>
      <c r="B1406" s="11" t="str">
        <f>[1]Aseguradoras!B32</f>
        <v>Aseguradora del Sur S.A. Seguros Generales - ASUR</v>
      </c>
      <c r="C1406" s="12">
        <f>LOOKUP(426040100,[1]PlanCuentas!$A$2:$A$6092,[1]PlanCuentas!AG$2:AG$6092)</f>
        <v>0</v>
      </c>
      <c r="D1406" s="12">
        <f>LOOKUP(426040200,[1]PlanCuentas!$A$2:$A$6092,[1]PlanCuentas!AG$2:AG$6092)</f>
        <v>0</v>
      </c>
      <c r="E1406" s="12">
        <f>LOOKUP(426040300,[1]PlanCuentas!$A$2:$A$6092,[1]PlanCuentas!AG$2:AG$6092)</f>
        <v>0</v>
      </c>
      <c r="F1406" s="12">
        <f>LOOKUP(426040400,[1]PlanCuentas!$A$2:$A$6092,[1]PlanCuentas!AG$2:AG$6092)</f>
        <v>0</v>
      </c>
      <c r="G1406" s="12">
        <f>LOOKUP(426040500,[1]PlanCuentas!$A$2:$A$6092,[1]PlanCuentas!AG$2:AG$6092)</f>
        <v>0</v>
      </c>
      <c r="H1406" s="12">
        <f>LOOKUP(426040600,[1]PlanCuentas!$A$2:$A$6092,[1]PlanCuentas!AG$2:AG$6092)</f>
        <v>0</v>
      </c>
      <c r="I1406" s="12">
        <f>LOOKUP(426040700,[1]PlanCuentas!$A$2:$A$6092,[1]PlanCuentas!AG$2:AG$6092)</f>
        <v>0</v>
      </c>
      <c r="J1406" s="12">
        <f>LOOKUP(426040800,[1]PlanCuentas!$A$2:$A$6092,[1]PlanCuentas!AG$2:AG$6092)</f>
        <v>0</v>
      </c>
      <c r="K1406" s="12">
        <f>LOOKUP(426040900,[1]PlanCuentas!$A$2:$A$6092,[1]PlanCuentas!AG$2:AG$6092)</f>
        <v>0</v>
      </c>
      <c r="L1406" s="12">
        <f>LOOKUP(426041000,[1]PlanCuentas!$A$2:$A$6092,[1]PlanCuentas!AG$2:AG$6092)</f>
        <v>0</v>
      </c>
      <c r="M1406" s="12">
        <f>LOOKUP(426041100,[1]PlanCuentas!$A$2:$A$6092,[1]PlanCuentas!AG$2:AG$6092)</f>
        <v>0</v>
      </c>
      <c r="N1406" s="12">
        <f>LOOKUP(426041200,[1]PlanCuentas!$A$2:$A$6092,[1]PlanCuentas!AG$2:AG$6092)</f>
        <v>0</v>
      </c>
      <c r="O1406" s="12">
        <f>LOOKUP(426041300,[1]PlanCuentas!$A$2:$A$6092,[1]PlanCuentas!AG$2:AG$6092)</f>
        <v>0</v>
      </c>
      <c r="P1406" s="12">
        <f>LOOKUP(426042000,[1]PlanCuentas!$A$2:$A$6092,[1]PlanCuentas!AG$2:AG$6092)</f>
        <v>0</v>
      </c>
      <c r="Q1406" s="13">
        <f t="shared" si="66"/>
        <v>0</v>
      </c>
      <c r="R1406" s="5"/>
      <c r="S1406" s="5"/>
      <c r="T1406" s="5"/>
      <c r="U1406" s="5"/>
      <c r="V1406" s="5"/>
      <c r="W1406" s="5"/>
      <c r="X1406" s="5"/>
      <c r="Y1406" s="5"/>
      <c r="Z1406" s="5"/>
      <c r="AA1406" s="5"/>
    </row>
    <row r="1407" spans="1:27" x14ac:dyDescent="0.2">
      <c r="A1407" s="10">
        <v>32</v>
      </c>
      <c r="B1407" s="11" t="str">
        <f>[1]Aseguradoras!B33</f>
        <v>Panal Compañía De Seguros Generales S.A.</v>
      </c>
      <c r="C1407" s="12">
        <f>LOOKUP(426040100,[1]PlanCuentas!$A$2:$A$6092,[1]PlanCuentas!AH$2:AH$6092)</f>
        <v>0</v>
      </c>
      <c r="D1407" s="12">
        <f>LOOKUP(426040200,[1]PlanCuentas!$A$2:$A$6092,[1]PlanCuentas!AH$2:AH$6092)</f>
        <v>0</v>
      </c>
      <c r="E1407" s="12">
        <f>LOOKUP(426040300,[1]PlanCuentas!$A$2:$A$6092,[1]PlanCuentas!AH$2:AH$6092)</f>
        <v>0</v>
      </c>
      <c r="F1407" s="12">
        <f>LOOKUP(426040400,[1]PlanCuentas!$A$2:$A$6092,[1]PlanCuentas!AH$2:AH$6092)</f>
        <v>0</v>
      </c>
      <c r="G1407" s="12">
        <f>LOOKUP(426040500,[1]PlanCuentas!$A$2:$A$6092,[1]PlanCuentas!AH$2:AH$6092)</f>
        <v>0</v>
      </c>
      <c r="H1407" s="12">
        <f>LOOKUP(426040600,[1]PlanCuentas!$A$2:$A$6092,[1]PlanCuentas!AH$2:AH$6092)</f>
        <v>0</v>
      </c>
      <c r="I1407" s="12">
        <f>LOOKUP(426040700,[1]PlanCuentas!$A$2:$A$6092,[1]PlanCuentas!AH$2:AH$6092)</f>
        <v>0</v>
      </c>
      <c r="J1407" s="12">
        <f>LOOKUP(426040800,[1]PlanCuentas!$A$2:$A$6092,[1]PlanCuentas!AH$2:AH$6092)</f>
        <v>0</v>
      </c>
      <c r="K1407" s="12">
        <f>LOOKUP(426040900,[1]PlanCuentas!$A$2:$A$6092,[1]PlanCuentas!AH$2:AH$6092)</f>
        <v>0</v>
      </c>
      <c r="L1407" s="12">
        <f>LOOKUP(426041000,[1]PlanCuentas!$A$2:$A$6092,[1]PlanCuentas!AH$2:AH$6092)</f>
        <v>0</v>
      </c>
      <c r="M1407" s="12">
        <f>LOOKUP(426041100,[1]PlanCuentas!$A$2:$A$6092,[1]PlanCuentas!AH$2:AH$6092)</f>
        <v>0</v>
      </c>
      <c r="N1407" s="12">
        <f>LOOKUP(426041200,[1]PlanCuentas!$A$2:$A$6092,[1]PlanCuentas!AH$2:AH$6092)</f>
        <v>0</v>
      </c>
      <c r="O1407" s="12">
        <f>LOOKUP(426041300,[1]PlanCuentas!$A$2:$A$6092,[1]PlanCuentas!AH$2:AH$6092)</f>
        <v>0</v>
      </c>
      <c r="P1407" s="12">
        <f>LOOKUP(426042000,[1]PlanCuentas!$A$2:$A$6092,[1]PlanCuentas!AH$2:AH$6092)</f>
        <v>0</v>
      </c>
      <c r="Q1407" s="13">
        <f t="shared" si="66"/>
        <v>0</v>
      </c>
    </row>
    <row r="1408" spans="1:27" x14ac:dyDescent="0.2">
      <c r="A1408" s="14">
        <v>33</v>
      </c>
      <c r="B1408" s="19" t="str">
        <f>[1]Aseguradoras!B34</f>
        <v>Sancor Seguros del Paraguay S.A.</v>
      </c>
      <c r="C1408" s="12">
        <f>LOOKUP(426040100,[1]PlanCuentas!$A$2:$A$6092,[1]PlanCuentas!AI$2:AI$6092)</f>
        <v>0</v>
      </c>
      <c r="D1408" s="12">
        <f>LOOKUP(426040200,[1]PlanCuentas!$A$2:$A$6092,[1]PlanCuentas!AI$2:AI$6092)</f>
        <v>0</v>
      </c>
      <c r="E1408" s="12">
        <f>LOOKUP(426040300,[1]PlanCuentas!$A$2:$A$6092,[1]PlanCuentas!AI$2:AI$6092)</f>
        <v>0</v>
      </c>
      <c r="F1408" s="12">
        <f>LOOKUP(426040400,[1]PlanCuentas!$A$2:$A$6092,[1]PlanCuentas!AI$2:AI$6092)</f>
        <v>0</v>
      </c>
      <c r="G1408" s="12">
        <f>LOOKUP(426040500,[1]PlanCuentas!$A$2:$A$6092,[1]PlanCuentas!AI$2:AI$6092)</f>
        <v>0</v>
      </c>
      <c r="H1408" s="12">
        <f>LOOKUP(426040600,[1]PlanCuentas!$A$2:$A$6092,[1]PlanCuentas!AI$2:AI$6092)</f>
        <v>0</v>
      </c>
      <c r="I1408" s="12">
        <f>LOOKUP(426040700,[1]PlanCuentas!$A$2:$A$6092,[1]PlanCuentas!AI$2:AI$6092)</f>
        <v>0</v>
      </c>
      <c r="J1408" s="12">
        <f>LOOKUP(426040800,[1]PlanCuentas!$A$2:$A$6092,[1]PlanCuentas!AI$2:AI$6092)</f>
        <v>0</v>
      </c>
      <c r="K1408" s="12">
        <f>LOOKUP(426040900,[1]PlanCuentas!$A$2:$A$6092,[1]PlanCuentas!AI$2:AI$6092)</f>
        <v>0</v>
      </c>
      <c r="L1408" s="12">
        <f>LOOKUP(426041000,[1]PlanCuentas!$A$2:$A$6092,[1]PlanCuentas!AI$2:AI$6092)</f>
        <v>0</v>
      </c>
      <c r="M1408" s="12">
        <f>LOOKUP(426041100,[1]PlanCuentas!$A$2:$A$6092,[1]PlanCuentas!AI$2:AI$6092)</f>
        <v>0</v>
      </c>
      <c r="N1408" s="12">
        <f>LOOKUP(426041200,[1]PlanCuentas!$A$2:$A$6092,[1]PlanCuentas!AI$2:AI$6092)</f>
        <v>0</v>
      </c>
      <c r="O1408" s="12">
        <f>LOOKUP(426041300,[1]PlanCuentas!$A$2:$A$6092,[1]PlanCuentas!AI$2:AI$6092)</f>
        <v>0</v>
      </c>
      <c r="P1408" s="12">
        <f>LOOKUP(426042000,[1]PlanCuentas!$A$2:$A$6092,[1]PlanCuentas!AI$2:AI$6092)</f>
        <v>0</v>
      </c>
      <c r="Q1408" s="13">
        <f>SUM(C1408:P1408)</f>
        <v>0</v>
      </c>
    </row>
    <row r="1409" spans="1:17" x14ac:dyDescent="0.2">
      <c r="A1409" s="14"/>
      <c r="B1409" s="15" t="s">
        <v>18</v>
      </c>
      <c r="C1409" s="17">
        <f t="shared" ref="C1409:Q1409" si="67">SUBTOTAL(109,C1376:C1408)</f>
        <v>1987847</v>
      </c>
      <c r="D1409" s="17">
        <f t="shared" si="67"/>
        <v>0</v>
      </c>
      <c r="E1409" s="17">
        <f t="shared" si="67"/>
        <v>0</v>
      </c>
      <c r="F1409" s="17">
        <f t="shared" si="67"/>
        <v>8090223</v>
      </c>
      <c r="G1409" s="17">
        <f t="shared" si="67"/>
        <v>392829</v>
      </c>
      <c r="H1409" s="17">
        <f t="shared" si="67"/>
        <v>0</v>
      </c>
      <c r="I1409" s="17">
        <f t="shared" si="67"/>
        <v>0</v>
      </c>
      <c r="J1409" s="17">
        <f t="shared" si="67"/>
        <v>0</v>
      </c>
      <c r="K1409" s="17">
        <f t="shared" si="67"/>
        <v>0</v>
      </c>
      <c r="L1409" s="17">
        <f t="shared" si="67"/>
        <v>0</v>
      </c>
      <c r="M1409" s="17">
        <f t="shared" si="67"/>
        <v>0</v>
      </c>
      <c r="N1409" s="17">
        <f t="shared" si="67"/>
        <v>0</v>
      </c>
      <c r="O1409" s="17">
        <f t="shared" si="67"/>
        <v>0</v>
      </c>
      <c r="P1409" s="17">
        <f t="shared" si="67"/>
        <v>0</v>
      </c>
      <c r="Q1409" s="17">
        <f t="shared" si="67"/>
        <v>10470899</v>
      </c>
    </row>
    <row r="1410" spans="1:17" x14ac:dyDescent="0.2"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</row>
    <row r="1411" spans="1:17" ht="28.35" customHeight="1" x14ac:dyDescent="0.2">
      <c r="A1411" s="1" t="s">
        <v>78</v>
      </c>
      <c r="B1411" s="47" t="s">
        <v>85</v>
      </c>
      <c r="C1411" s="47"/>
      <c r="D1411" s="48"/>
      <c r="E1411" s="46"/>
      <c r="F1411" s="4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</row>
    <row r="1412" spans="1:17" ht="24" x14ac:dyDescent="0.2">
      <c r="A1412" s="7" t="s">
        <v>2</v>
      </c>
      <c r="B1412" s="8" t="s">
        <v>3</v>
      </c>
      <c r="C1412" s="9" t="s">
        <v>4</v>
      </c>
      <c r="D1412" s="9" t="s">
        <v>5</v>
      </c>
      <c r="E1412" s="9" t="s">
        <v>6</v>
      </c>
      <c r="F1412" s="36" t="s">
        <v>7</v>
      </c>
      <c r="G1412" s="9" t="s">
        <v>8</v>
      </c>
      <c r="H1412" s="9" t="s">
        <v>9</v>
      </c>
      <c r="I1412" s="9" t="s">
        <v>10</v>
      </c>
      <c r="J1412" s="9" t="s">
        <v>11</v>
      </c>
      <c r="K1412" s="9" t="s">
        <v>12</v>
      </c>
      <c r="L1412" s="9" t="s">
        <v>13</v>
      </c>
      <c r="M1412" s="9" t="s">
        <v>14</v>
      </c>
      <c r="N1412" s="9" t="s">
        <v>15</v>
      </c>
      <c r="O1412" s="9" t="s">
        <v>16</v>
      </c>
      <c r="P1412" s="8" t="s">
        <v>17</v>
      </c>
      <c r="Q1412" s="8" t="s">
        <v>18</v>
      </c>
    </row>
    <row r="1413" spans="1:17" x14ac:dyDescent="0.2">
      <c r="A1413" s="10">
        <v>1</v>
      </c>
      <c r="B1413" s="11" t="str">
        <f>[1]Aseguradoras!B2</f>
        <v>El Comercio Paraguayo S.A. de Seguros</v>
      </c>
      <c r="C1413" s="12">
        <f>LOOKUP(426050100,[1]PlanCuentas!$A$2:$A$6092,[1]PlanCuentas!C$2:C$6092)</f>
        <v>0</v>
      </c>
      <c r="D1413" s="12">
        <f>LOOKUP(426050200,[1]PlanCuentas!$A$2:$A$6092,[1]PlanCuentas!C$2:C$6092)</f>
        <v>0</v>
      </c>
      <c r="E1413" s="12">
        <f>LOOKUP(426050300,[1]PlanCuentas!$A$2:$A$6092,[1]PlanCuentas!C$2:C$6092)</f>
        <v>0</v>
      </c>
      <c r="F1413" s="12">
        <f>LOOKUP(426050400,[1]PlanCuentas!$A$2:$A$6092,[1]PlanCuentas!C$2:C$6092)</f>
        <v>0</v>
      </c>
      <c r="G1413" s="12">
        <f>LOOKUP(426050500,[1]PlanCuentas!$A$2:$A$6092,[1]PlanCuentas!C$2:C$6092)</f>
        <v>0</v>
      </c>
      <c r="H1413" s="12">
        <f>LOOKUP(426050600,[1]PlanCuentas!$A$2:$A$6092,[1]PlanCuentas!C$2:C$6092)</f>
        <v>0</v>
      </c>
      <c r="I1413" s="12">
        <f>LOOKUP(426050700,[1]PlanCuentas!$A$2:$A$6092,[1]PlanCuentas!C$2:C$6092)</f>
        <v>0</v>
      </c>
      <c r="J1413" s="12">
        <f>LOOKUP(426050800,[1]PlanCuentas!$A$2:$A$6092,[1]PlanCuentas!C$2:C$6092)</f>
        <v>0</v>
      </c>
      <c r="K1413" s="12">
        <f>LOOKUP(426050900,[1]PlanCuentas!$A$2:$A$6092,[1]PlanCuentas!C$2:C$6092)</f>
        <v>0</v>
      </c>
      <c r="L1413" s="12">
        <f>LOOKUP(426051000,[1]PlanCuentas!$A$2:$A$6092,[1]PlanCuentas!C$2:C$6092)</f>
        <v>0</v>
      </c>
      <c r="M1413" s="12">
        <f>LOOKUP(426051100,[1]PlanCuentas!$A$2:$A$6092,[1]PlanCuentas!C$2:C$6092)</f>
        <v>0</v>
      </c>
      <c r="N1413" s="12">
        <f>LOOKUP(426051200,[1]PlanCuentas!$A$2:$A$6092,[1]PlanCuentas!C$2:C$6092)</f>
        <v>0</v>
      </c>
      <c r="O1413" s="12">
        <f>LOOKUP(426051300,[1]PlanCuentas!$A$2:$A$6092,[1]PlanCuentas!C$2:C$6092)</f>
        <v>0</v>
      </c>
      <c r="P1413" s="12">
        <f>LOOKUP(426052000,[1]PlanCuentas!$A$2:$A$6092,[1]PlanCuentas!C$2:C$6092)</f>
        <v>0</v>
      </c>
      <c r="Q1413" s="13">
        <f t="shared" ref="Q1413:Q1444" si="68">SUM(C1413:P1413)</f>
        <v>0</v>
      </c>
    </row>
    <row r="1414" spans="1:17" x14ac:dyDescent="0.2">
      <c r="A1414" s="10">
        <v>2</v>
      </c>
      <c r="B1414" s="11" t="str">
        <f>[1]Aseguradoras!B3</f>
        <v>La Rural S.A de Seguros</v>
      </c>
      <c r="C1414" s="12">
        <f>LOOKUP(426050100,[1]PlanCuentas!$A$2:$A$6092,[1]PlanCuentas!D$2:D$6092)</f>
        <v>0</v>
      </c>
      <c r="D1414" s="12">
        <f>LOOKUP(426050200,[1]PlanCuentas!$A$2:$A$6092,[1]PlanCuentas!D$2:D$6092)</f>
        <v>0</v>
      </c>
      <c r="E1414" s="12">
        <f>LOOKUP(426050300,[1]PlanCuentas!$A$2:$A$6092,[1]PlanCuentas!D$2:D$6092)</f>
        <v>0</v>
      </c>
      <c r="F1414" s="12">
        <f>LOOKUP(426050400,[1]PlanCuentas!$A$2:$A$6092,[1]PlanCuentas!D$2:D$6092)</f>
        <v>0</v>
      </c>
      <c r="G1414" s="12">
        <f>LOOKUP(426050500,[1]PlanCuentas!$A$2:$A$6092,[1]PlanCuentas!D$2:D$6092)</f>
        <v>0</v>
      </c>
      <c r="H1414" s="12">
        <f>LOOKUP(426050600,[1]PlanCuentas!$A$2:$A$6092,[1]PlanCuentas!D$2:D$6092)</f>
        <v>0</v>
      </c>
      <c r="I1414" s="12">
        <f>LOOKUP(426050700,[1]PlanCuentas!$A$2:$A$6092,[1]PlanCuentas!D$2:D$6092)</f>
        <v>0</v>
      </c>
      <c r="J1414" s="12">
        <f>LOOKUP(426050800,[1]PlanCuentas!$A$2:$A$6092,[1]PlanCuentas!D$2:D$6092)</f>
        <v>0</v>
      </c>
      <c r="K1414" s="12">
        <f>LOOKUP(426050900,[1]PlanCuentas!$A$2:$A$6092,[1]PlanCuentas!D$2:D$6092)</f>
        <v>0</v>
      </c>
      <c r="L1414" s="12">
        <f>LOOKUP(426051000,[1]PlanCuentas!$A$2:$A$6092,[1]PlanCuentas!D$2:D$6092)</f>
        <v>0</v>
      </c>
      <c r="M1414" s="12">
        <f>LOOKUP(426051100,[1]PlanCuentas!$A$2:$A$6092,[1]PlanCuentas!D$2:D$6092)</f>
        <v>0</v>
      </c>
      <c r="N1414" s="12">
        <f>LOOKUP(426051200,[1]PlanCuentas!$A$2:$A$6092,[1]PlanCuentas!D$2:D$6092)</f>
        <v>0</v>
      </c>
      <c r="O1414" s="12">
        <f>LOOKUP(426051300,[1]PlanCuentas!$A$2:$A$6092,[1]PlanCuentas!D$2:D$6092)</f>
        <v>0</v>
      </c>
      <c r="P1414" s="12">
        <f>LOOKUP(426052000,[1]PlanCuentas!$A$2:$A$6092,[1]PlanCuentas!D$2:D$6092)</f>
        <v>0</v>
      </c>
      <c r="Q1414" s="13">
        <f t="shared" si="68"/>
        <v>0</v>
      </c>
    </row>
    <row r="1415" spans="1:17" x14ac:dyDescent="0.2">
      <c r="A1415" s="10">
        <v>3</v>
      </c>
      <c r="B1415" s="11" t="str">
        <f>[1]Aseguradoras!B4</f>
        <v>La Paraguaya S.A de Seguros</v>
      </c>
      <c r="C1415" s="12">
        <f>LOOKUP(426050100,[1]PlanCuentas!$A$2:$A$6092,[1]PlanCuentas!E$2:E$6092)</f>
        <v>0</v>
      </c>
      <c r="D1415" s="12">
        <f>LOOKUP(426050200,[1]PlanCuentas!$A$2:$A$6092,[1]PlanCuentas!E$2:E$6092)</f>
        <v>0</v>
      </c>
      <c r="E1415" s="12">
        <f>LOOKUP(426050300,[1]PlanCuentas!$A$2:$A$6092,[1]PlanCuentas!E$2:E$6092)</f>
        <v>0</v>
      </c>
      <c r="F1415" s="12">
        <f>LOOKUP(426050400,[1]PlanCuentas!$A$2:$A$6092,[1]PlanCuentas!E$2:E$6092)</f>
        <v>0</v>
      </c>
      <c r="G1415" s="12">
        <f>LOOKUP(426050500,[1]PlanCuentas!$A$2:$A$6092,[1]PlanCuentas!E$2:E$6092)</f>
        <v>0</v>
      </c>
      <c r="H1415" s="12">
        <f>LOOKUP(426050600,[1]PlanCuentas!$A$2:$A$6092,[1]PlanCuentas!E$2:E$6092)</f>
        <v>0</v>
      </c>
      <c r="I1415" s="12">
        <f>LOOKUP(426050700,[1]PlanCuentas!$A$2:$A$6092,[1]PlanCuentas!E$2:E$6092)</f>
        <v>0</v>
      </c>
      <c r="J1415" s="12">
        <f>LOOKUP(426050800,[1]PlanCuentas!$A$2:$A$6092,[1]PlanCuentas!E$2:E$6092)</f>
        <v>0</v>
      </c>
      <c r="K1415" s="12">
        <f>LOOKUP(426050900,[1]PlanCuentas!$A$2:$A$6092,[1]PlanCuentas!E$2:E$6092)</f>
        <v>0</v>
      </c>
      <c r="L1415" s="12">
        <f>LOOKUP(426051000,[1]PlanCuentas!$A$2:$A$6092,[1]PlanCuentas!E$2:E$6092)</f>
        <v>0</v>
      </c>
      <c r="M1415" s="12">
        <f>LOOKUP(426051100,[1]PlanCuentas!$A$2:$A$6092,[1]PlanCuentas!E$2:E$6092)</f>
        <v>0</v>
      </c>
      <c r="N1415" s="12">
        <f>LOOKUP(426051200,[1]PlanCuentas!$A$2:$A$6092,[1]PlanCuentas!E$2:E$6092)</f>
        <v>0</v>
      </c>
      <c r="O1415" s="12">
        <f>LOOKUP(426051300,[1]PlanCuentas!$A$2:$A$6092,[1]PlanCuentas!E$2:E$6092)</f>
        <v>0</v>
      </c>
      <c r="P1415" s="12">
        <f>LOOKUP(426052000,[1]PlanCuentas!$A$2:$A$6092,[1]PlanCuentas!E$2:E$6092)</f>
        <v>0</v>
      </c>
      <c r="Q1415" s="13">
        <f t="shared" si="68"/>
        <v>0</v>
      </c>
    </row>
    <row r="1416" spans="1:17" x14ac:dyDescent="0.2">
      <c r="A1416" s="10">
        <v>4</v>
      </c>
      <c r="B1416" s="11" t="str">
        <f>[1]Aseguradoras!B5</f>
        <v>Seguros Generales S. A (SEGESA)</v>
      </c>
      <c r="C1416" s="12">
        <f>LOOKUP(426050100,[1]PlanCuentas!$A$2:$A$6092,[1]PlanCuentas!F$2:F$6092)</f>
        <v>0</v>
      </c>
      <c r="D1416" s="12">
        <f>LOOKUP(426050200,[1]PlanCuentas!$A$2:$A$6092,[1]PlanCuentas!F$2:F$6092)</f>
        <v>0</v>
      </c>
      <c r="E1416" s="12">
        <f>LOOKUP(426050300,[1]PlanCuentas!$A$2:$A$6092,[1]PlanCuentas!F$2:F$6092)</f>
        <v>0</v>
      </c>
      <c r="F1416" s="12">
        <f>LOOKUP(426050400,[1]PlanCuentas!$A$2:$A$6092,[1]PlanCuentas!F$2:F$6092)</f>
        <v>0</v>
      </c>
      <c r="G1416" s="12">
        <f>LOOKUP(426050500,[1]PlanCuentas!$A$2:$A$6092,[1]PlanCuentas!F$2:F$6092)</f>
        <v>0</v>
      </c>
      <c r="H1416" s="12">
        <f>LOOKUP(426050600,[1]PlanCuentas!$A$2:$A$6092,[1]PlanCuentas!F$2:F$6092)</f>
        <v>0</v>
      </c>
      <c r="I1416" s="12">
        <f>LOOKUP(426050700,[1]PlanCuentas!$A$2:$A$6092,[1]PlanCuentas!F$2:F$6092)</f>
        <v>0</v>
      </c>
      <c r="J1416" s="12">
        <f>LOOKUP(426050800,[1]PlanCuentas!$A$2:$A$6092,[1]PlanCuentas!F$2:F$6092)</f>
        <v>0</v>
      </c>
      <c r="K1416" s="12">
        <f>LOOKUP(426050900,[1]PlanCuentas!$A$2:$A$6092,[1]PlanCuentas!F$2:F$6092)</f>
        <v>0</v>
      </c>
      <c r="L1416" s="12">
        <f>LOOKUP(426051000,[1]PlanCuentas!$A$2:$A$6092,[1]PlanCuentas!F$2:F$6092)</f>
        <v>0</v>
      </c>
      <c r="M1416" s="12">
        <f>LOOKUP(426051100,[1]PlanCuentas!$A$2:$A$6092,[1]PlanCuentas!F$2:F$6092)</f>
        <v>0</v>
      </c>
      <c r="N1416" s="12">
        <f>LOOKUP(426051200,[1]PlanCuentas!$A$2:$A$6092,[1]PlanCuentas!F$2:F$6092)</f>
        <v>0</v>
      </c>
      <c r="O1416" s="12">
        <f>LOOKUP(426051300,[1]PlanCuentas!$A$2:$A$6092,[1]PlanCuentas!F$2:F$6092)</f>
        <v>0</v>
      </c>
      <c r="P1416" s="12">
        <f>LOOKUP(426052000,[1]PlanCuentas!$A$2:$A$6092,[1]PlanCuentas!F$2:F$6092)</f>
        <v>0</v>
      </c>
      <c r="Q1416" s="13">
        <f t="shared" si="68"/>
        <v>0</v>
      </c>
    </row>
    <row r="1417" spans="1:17" x14ac:dyDescent="0.2">
      <c r="A1417" s="10">
        <v>5</v>
      </c>
      <c r="B1417" s="11" t="str">
        <f>[1]Aseguradoras!B6</f>
        <v>Rumbos S.A de Seguros</v>
      </c>
      <c r="C1417" s="12">
        <f>LOOKUP(426050100,[1]PlanCuentas!$A$2:$A$6092,[1]PlanCuentas!G$2:G$6092)</f>
        <v>0</v>
      </c>
      <c r="D1417" s="12">
        <f>LOOKUP(426050200,[1]PlanCuentas!$A$2:$A$6092,[1]PlanCuentas!G$2:G$6092)</f>
        <v>0</v>
      </c>
      <c r="E1417" s="12">
        <f>LOOKUP(426050300,[1]PlanCuentas!$A$2:$A$6092,[1]PlanCuentas!G$2:G$6092)</f>
        <v>0</v>
      </c>
      <c r="F1417" s="12">
        <f>LOOKUP(426050400,[1]PlanCuentas!$A$2:$A$6092,[1]PlanCuentas!G$2:G$6092)</f>
        <v>0</v>
      </c>
      <c r="G1417" s="12">
        <f>LOOKUP(426050500,[1]PlanCuentas!$A$2:$A$6092,[1]PlanCuentas!G$2:G$6092)</f>
        <v>0</v>
      </c>
      <c r="H1417" s="12">
        <f>LOOKUP(426050600,[1]PlanCuentas!$A$2:$A$6092,[1]PlanCuentas!G$2:G$6092)</f>
        <v>0</v>
      </c>
      <c r="I1417" s="12">
        <f>LOOKUP(426050700,[1]PlanCuentas!$A$2:$A$6092,[1]PlanCuentas!G$2:G$6092)</f>
        <v>0</v>
      </c>
      <c r="J1417" s="12">
        <f>LOOKUP(426050800,[1]PlanCuentas!$A$2:$A$6092,[1]PlanCuentas!G$2:G$6092)</f>
        <v>0</v>
      </c>
      <c r="K1417" s="12">
        <f>LOOKUP(426050900,[1]PlanCuentas!$A$2:$A$6092,[1]PlanCuentas!G$2:G$6092)</f>
        <v>0</v>
      </c>
      <c r="L1417" s="12">
        <f>LOOKUP(426051000,[1]PlanCuentas!$A$2:$A$6092,[1]PlanCuentas!G$2:G$6092)</f>
        <v>0</v>
      </c>
      <c r="M1417" s="12">
        <f>LOOKUP(426051100,[1]PlanCuentas!$A$2:$A$6092,[1]PlanCuentas!G$2:G$6092)</f>
        <v>0</v>
      </c>
      <c r="N1417" s="12">
        <f>LOOKUP(426051200,[1]PlanCuentas!$A$2:$A$6092,[1]PlanCuentas!G$2:G$6092)</f>
        <v>0</v>
      </c>
      <c r="O1417" s="12">
        <f>LOOKUP(426051300,[1]PlanCuentas!$A$2:$A$6092,[1]PlanCuentas!G$2:G$6092)</f>
        <v>0</v>
      </c>
      <c r="P1417" s="12">
        <f>LOOKUP(426052000,[1]PlanCuentas!$A$2:$A$6092,[1]PlanCuentas!G$2:G$6092)</f>
        <v>0</v>
      </c>
      <c r="Q1417" s="13">
        <f t="shared" si="68"/>
        <v>0</v>
      </c>
    </row>
    <row r="1418" spans="1:17" x14ac:dyDescent="0.2">
      <c r="A1418" s="10">
        <v>6</v>
      </c>
      <c r="B1418" s="11" t="str">
        <f>[1]Aseguradoras!B7</f>
        <v>La Consolidada S.A de Seguros</v>
      </c>
      <c r="C1418" s="12">
        <f>LOOKUP(426050100,[1]PlanCuentas!$A$2:$A$6092,[1]PlanCuentas!H$2:H$6092)</f>
        <v>0</v>
      </c>
      <c r="D1418" s="12">
        <f>LOOKUP(426050200,[1]PlanCuentas!$A$2:$A$6092,[1]PlanCuentas!H$2:H$6092)</f>
        <v>0</v>
      </c>
      <c r="E1418" s="12">
        <f>LOOKUP(426050300,[1]PlanCuentas!$A$2:$A$6092,[1]PlanCuentas!H$2:H$6092)</f>
        <v>0</v>
      </c>
      <c r="F1418" s="12">
        <f>LOOKUP(426050400,[1]PlanCuentas!$A$2:$A$6092,[1]PlanCuentas!H$2:H$6092)</f>
        <v>0</v>
      </c>
      <c r="G1418" s="12">
        <f>LOOKUP(426050500,[1]PlanCuentas!$A$2:$A$6092,[1]PlanCuentas!H$2:H$6092)</f>
        <v>0</v>
      </c>
      <c r="H1418" s="12">
        <f>LOOKUP(426050600,[1]PlanCuentas!$A$2:$A$6092,[1]PlanCuentas!H$2:H$6092)</f>
        <v>0</v>
      </c>
      <c r="I1418" s="12">
        <f>LOOKUP(426050700,[1]PlanCuentas!$A$2:$A$6092,[1]PlanCuentas!H$2:H$6092)</f>
        <v>0</v>
      </c>
      <c r="J1418" s="12">
        <f>LOOKUP(426050800,[1]PlanCuentas!$A$2:$A$6092,[1]PlanCuentas!H$2:H$6092)</f>
        <v>0</v>
      </c>
      <c r="K1418" s="12">
        <f>LOOKUP(426050900,[1]PlanCuentas!$A$2:$A$6092,[1]PlanCuentas!H$2:H$6092)</f>
        <v>0</v>
      </c>
      <c r="L1418" s="12">
        <f>LOOKUP(426051000,[1]PlanCuentas!$A$2:$A$6092,[1]PlanCuentas!H$2:H$6092)</f>
        <v>0</v>
      </c>
      <c r="M1418" s="12">
        <f>LOOKUP(426051100,[1]PlanCuentas!$A$2:$A$6092,[1]PlanCuentas!H$2:H$6092)</f>
        <v>0</v>
      </c>
      <c r="N1418" s="12">
        <f>LOOKUP(426051200,[1]PlanCuentas!$A$2:$A$6092,[1]PlanCuentas!H$2:H$6092)</f>
        <v>0</v>
      </c>
      <c r="O1418" s="12">
        <f>LOOKUP(426051300,[1]PlanCuentas!$A$2:$A$6092,[1]PlanCuentas!H$2:H$6092)</f>
        <v>0</v>
      </c>
      <c r="P1418" s="12">
        <f>LOOKUP(426052000,[1]PlanCuentas!$A$2:$A$6092,[1]PlanCuentas!H$2:H$6092)</f>
        <v>0</v>
      </c>
      <c r="Q1418" s="13">
        <f t="shared" si="68"/>
        <v>0</v>
      </c>
    </row>
    <row r="1419" spans="1:17" x14ac:dyDescent="0.2">
      <c r="A1419" s="10">
        <v>7</v>
      </c>
      <c r="B1419" s="11" t="str">
        <f>[1]Aseguradoras!B8</f>
        <v>El Productor S.A de Seguros y Reaseguros</v>
      </c>
      <c r="C1419" s="12">
        <f>LOOKUP(426050100,[1]PlanCuentas!$A$2:$A$6092,[1]PlanCuentas!I$2:I$6092)</f>
        <v>0</v>
      </c>
      <c r="D1419" s="12">
        <f>LOOKUP(426050200,[1]PlanCuentas!$A$2:$A$6092,[1]PlanCuentas!I$2:I$6092)</f>
        <v>0</v>
      </c>
      <c r="E1419" s="12">
        <f>LOOKUP(426050300,[1]PlanCuentas!$A$2:$A$6092,[1]PlanCuentas!I$2:I$6092)</f>
        <v>0</v>
      </c>
      <c r="F1419" s="12">
        <f>LOOKUP(426050400,[1]PlanCuentas!$A$2:$A$6092,[1]PlanCuentas!I$2:I$6092)</f>
        <v>0</v>
      </c>
      <c r="G1419" s="12">
        <f>LOOKUP(426050500,[1]PlanCuentas!$A$2:$A$6092,[1]PlanCuentas!I$2:I$6092)</f>
        <v>0</v>
      </c>
      <c r="H1419" s="12">
        <f>LOOKUP(426050600,[1]PlanCuentas!$A$2:$A$6092,[1]PlanCuentas!I$2:I$6092)</f>
        <v>0</v>
      </c>
      <c r="I1419" s="12">
        <f>LOOKUP(426050700,[1]PlanCuentas!$A$2:$A$6092,[1]PlanCuentas!I$2:I$6092)</f>
        <v>0</v>
      </c>
      <c r="J1419" s="12">
        <f>LOOKUP(426050800,[1]PlanCuentas!$A$2:$A$6092,[1]PlanCuentas!I$2:I$6092)</f>
        <v>0</v>
      </c>
      <c r="K1419" s="12">
        <f>LOOKUP(426050900,[1]PlanCuentas!$A$2:$A$6092,[1]PlanCuentas!I$2:I$6092)</f>
        <v>0</v>
      </c>
      <c r="L1419" s="12">
        <f>LOOKUP(426051000,[1]PlanCuentas!$A$2:$A$6092,[1]PlanCuentas!I$2:I$6092)</f>
        <v>0</v>
      </c>
      <c r="M1419" s="12">
        <f>LOOKUP(426051100,[1]PlanCuentas!$A$2:$A$6092,[1]PlanCuentas!I$2:I$6092)</f>
        <v>0</v>
      </c>
      <c r="N1419" s="12">
        <f>LOOKUP(426051200,[1]PlanCuentas!$A$2:$A$6092,[1]PlanCuentas!I$2:I$6092)</f>
        <v>0</v>
      </c>
      <c r="O1419" s="12">
        <f>LOOKUP(426051300,[1]PlanCuentas!$A$2:$A$6092,[1]PlanCuentas!I$2:I$6092)</f>
        <v>0</v>
      </c>
      <c r="P1419" s="12">
        <f>LOOKUP(426052000,[1]PlanCuentas!$A$2:$A$6092,[1]PlanCuentas!I$2:I$6092)</f>
        <v>0</v>
      </c>
      <c r="Q1419" s="13">
        <f t="shared" si="68"/>
        <v>0</v>
      </c>
    </row>
    <row r="1420" spans="1:17" x14ac:dyDescent="0.2">
      <c r="A1420" s="10">
        <v>8</v>
      </c>
      <c r="B1420" s="11" t="str">
        <f>[1]Aseguradoras!B9</f>
        <v>Atalaya S.A de Seguros Generales</v>
      </c>
      <c r="C1420" s="12">
        <f>LOOKUP(426050100,[1]PlanCuentas!$A$2:$A$6092,[1]PlanCuentas!J$2:J$6092)</f>
        <v>0</v>
      </c>
      <c r="D1420" s="12">
        <f>LOOKUP(426050200,[1]PlanCuentas!$A$2:$A$6092,[1]PlanCuentas!J$2:J$6092)</f>
        <v>0</v>
      </c>
      <c r="E1420" s="12">
        <f>LOOKUP(426050300,[1]PlanCuentas!$A$2:$A$6092,[1]PlanCuentas!J$2:J$6092)</f>
        <v>0</v>
      </c>
      <c r="F1420" s="12">
        <f>LOOKUP(426050400,[1]PlanCuentas!$A$2:$A$6092,[1]PlanCuentas!J$2:J$6092)</f>
        <v>0</v>
      </c>
      <c r="G1420" s="12">
        <f>LOOKUP(426050500,[1]PlanCuentas!$A$2:$A$6092,[1]PlanCuentas!J$2:J$6092)</f>
        <v>0</v>
      </c>
      <c r="H1420" s="12">
        <f>LOOKUP(426050600,[1]PlanCuentas!$A$2:$A$6092,[1]PlanCuentas!J$2:J$6092)</f>
        <v>0</v>
      </c>
      <c r="I1420" s="12">
        <f>LOOKUP(426050700,[1]PlanCuentas!$A$2:$A$6092,[1]PlanCuentas!J$2:J$6092)</f>
        <v>0</v>
      </c>
      <c r="J1420" s="12">
        <f>LOOKUP(426050800,[1]PlanCuentas!$A$2:$A$6092,[1]PlanCuentas!J$2:J$6092)</f>
        <v>0</v>
      </c>
      <c r="K1420" s="12">
        <f>LOOKUP(426050900,[1]PlanCuentas!$A$2:$A$6092,[1]PlanCuentas!J$2:J$6092)</f>
        <v>0</v>
      </c>
      <c r="L1420" s="12">
        <f>LOOKUP(426051000,[1]PlanCuentas!$A$2:$A$6092,[1]PlanCuentas!J$2:J$6092)</f>
        <v>0</v>
      </c>
      <c r="M1420" s="12">
        <f>LOOKUP(426051100,[1]PlanCuentas!$A$2:$A$6092,[1]PlanCuentas!J$2:J$6092)</f>
        <v>0</v>
      </c>
      <c r="N1420" s="12">
        <f>LOOKUP(426051200,[1]PlanCuentas!$A$2:$A$6092,[1]PlanCuentas!J$2:J$6092)</f>
        <v>0</v>
      </c>
      <c r="O1420" s="12">
        <f>LOOKUP(426051300,[1]PlanCuentas!$A$2:$A$6092,[1]PlanCuentas!J$2:J$6092)</f>
        <v>0</v>
      </c>
      <c r="P1420" s="12">
        <f>LOOKUP(426052000,[1]PlanCuentas!$A$2:$A$6092,[1]PlanCuentas!J$2:J$6092)</f>
        <v>0</v>
      </c>
      <c r="Q1420" s="13">
        <f t="shared" si="68"/>
        <v>0</v>
      </c>
    </row>
    <row r="1421" spans="1:17" x14ac:dyDescent="0.2">
      <c r="A1421" s="10">
        <v>9</v>
      </c>
      <c r="B1421" s="11" t="str">
        <f>[1]Aseguradoras!B10</f>
        <v>La Independencia de Seguros S.A.</v>
      </c>
      <c r="C1421" s="12">
        <f>LOOKUP(426050100,[1]PlanCuentas!$A$2:$A$6092,[1]PlanCuentas!K$2:K$6092)</f>
        <v>0</v>
      </c>
      <c r="D1421" s="12">
        <f>LOOKUP(426050200,[1]PlanCuentas!$A$2:$A$6092,[1]PlanCuentas!K$2:K$6092)</f>
        <v>0</v>
      </c>
      <c r="E1421" s="12">
        <f>LOOKUP(426050300,[1]PlanCuentas!$A$2:$A$6092,[1]PlanCuentas!K$2:K$6092)</f>
        <v>0</v>
      </c>
      <c r="F1421" s="12">
        <f>LOOKUP(426050400,[1]PlanCuentas!$A$2:$A$6092,[1]PlanCuentas!K$2:K$6092)</f>
        <v>0</v>
      </c>
      <c r="G1421" s="12">
        <f>LOOKUP(426050500,[1]PlanCuentas!$A$2:$A$6092,[1]PlanCuentas!K$2:K$6092)</f>
        <v>0</v>
      </c>
      <c r="H1421" s="12">
        <f>LOOKUP(426050600,[1]PlanCuentas!$A$2:$A$6092,[1]PlanCuentas!K$2:K$6092)</f>
        <v>0</v>
      </c>
      <c r="I1421" s="12">
        <f>LOOKUP(426050700,[1]PlanCuentas!$A$2:$A$6092,[1]PlanCuentas!K$2:K$6092)</f>
        <v>0</v>
      </c>
      <c r="J1421" s="12">
        <f>LOOKUP(426050800,[1]PlanCuentas!$A$2:$A$6092,[1]PlanCuentas!K$2:K$6092)</f>
        <v>0</v>
      </c>
      <c r="K1421" s="12">
        <f>LOOKUP(426050900,[1]PlanCuentas!$A$2:$A$6092,[1]PlanCuentas!K$2:K$6092)</f>
        <v>0</v>
      </c>
      <c r="L1421" s="12">
        <f>LOOKUP(426051000,[1]PlanCuentas!$A$2:$A$6092,[1]PlanCuentas!K$2:K$6092)</f>
        <v>0</v>
      </c>
      <c r="M1421" s="12">
        <f>LOOKUP(426051100,[1]PlanCuentas!$A$2:$A$6092,[1]PlanCuentas!K$2:K$6092)</f>
        <v>0</v>
      </c>
      <c r="N1421" s="12">
        <f>LOOKUP(426051200,[1]PlanCuentas!$A$2:$A$6092,[1]PlanCuentas!K$2:K$6092)</f>
        <v>0</v>
      </c>
      <c r="O1421" s="12">
        <f>LOOKUP(426051300,[1]PlanCuentas!$A$2:$A$6092,[1]PlanCuentas!K$2:K$6092)</f>
        <v>0</v>
      </c>
      <c r="P1421" s="12">
        <f>LOOKUP(426052000,[1]PlanCuentas!$A$2:$A$6092,[1]PlanCuentas!K$2:K$6092)</f>
        <v>0</v>
      </c>
      <c r="Q1421" s="13">
        <f t="shared" si="68"/>
        <v>0</v>
      </c>
    </row>
    <row r="1422" spans="1:17" x14ac:dyDescent="0.2">
      <c r="A1422" s="10">
        <v>10</v>
      </c>
      <c r="B1422" s="11" t="str">
        <f>[1]Aseguradoras!B11</f>
        <v>Patria S.A de Seguros y Reaseguros</v>
      </c>
      <c r="C1422" s="12">
        <f>LOOKUP(426050100,[1]PlanCuentas!$A$2:$A$6092,[1]PlanCuentas!L$2:L$6092)</f>
        <v>0</v>
      </c>
      <c r="D1422" s="12">
        <f>LOOKUP(426050200,[1]PlanCuentas!$A$2:$A$6092,[1]PlanCuentas!L$2:L$6092)</f>
        <v>0</v>
      </c>
      <c r="E1422" s="12">
        <f>LOOKUP(426050300,[1]PlanCuentas!$A$2:$A$6092,[1]PlanCuentas!L$2:L$6092)</f>
        <v>0</v>
      </c>
      <c r="F1422" s="12">
        <f>LOOKUP(426050400,[1]PlanCuentas!$A$2:$A$6092,[1]PlanCuentas!L$2:L$6092)</f>
        <v>0</v>
      </c>
      <c r="G1422" s="12">
        <f>LOOKUP(426050500,[1]PlanCuentas!$A$2:$A$6092,[1]PlanCuentas!L$2:L$6092)</f>
        <v>0</v>
      </c>
      <c r="H1422" s="12">
        <f>LOOKUP(426050600,[1]PlanCuentas!$A$2:$A$6092,[1]PlanCuentas!L$2:L$6092)</f>
        <v>0</v>
      </c>
      <c r="I1422" s="12">
        <f>LOOKUP(426050700,[1]PlanCuentas!$A$2:$A$6092,[1]PlanCuentas!L$2:L$6092)</f>
        <v>0</v>
      </c>
      <c r="J1422" s="12">
        <f>LOOKUP(426050800,[1]PlanCuentas!$A$2:$A$6092,[1]PlanCuentas!L$2:L$6092)</f>
        <v>0</v>
      </c>
      <c r="K1422" s="12">
        <f>LOOKUP(426050900,[1]PlanCuentas!$A$2:$A$6092,[1]PlanCuentas!L$2:L$6092)</f>
        <v>0</v>
      </c>
      <c r="L1422" s="12">
        <f>LOOKUP(426051000,[1]PlanCuentas!$A$2:$A$6092,[1]PlanCuentas!L$2:L$6092)</f>
        <v>0</v>
      </c>
      <c r="M1422" s="12">
        <f>LOOKUP(426051100,[1]PlanCuentas!$A$2:$A$6092,[1]PlanCuentas!L$2:L$6092)</f>
        <v>0</v>
      </c>
      <c r="N1422" s="12">
        <f>LOOKUP(426051200,[1]PlanCuentas!$A$2:$A$6092,[1]PlanCuentas!L$2:L$6092)</f>
        <v>0</v>
      </c>
      <c r="O1422" s="12">
        <f>LOOKUP(426051300,[1]PlanCuentas!$A$2:$A$6092,[1]PlanCuentas!L$2:L$6092)</f>
        <v>0</v>
      </c>
      <c r="P1422" s="12">
        <f>LOOKUP(426052000,[1]PlanCuentas!$A$2:$A$6092,[1]PlanCuentas!L$2:L$6092)</f>
        <v>0</v>
      </c>
      <c r="Q1422" s="13">
        <f t="shared" si="68"/>
        <v>0</v>
      </c>
    </row>
    <row r="1423" spans="1:17" x14ac:dyDescent="0.2">
      <c r="A1423" s="10">
        <v>11</v>
      </c>
      <c r="B1423" s="11" t="str">
        <f>[1]Aseguradoras!B12</f>
        <v>Garantía S.A de Seguros y Reaseguros</v>
      </c>
      <c r="C1423" s="12">
        <f>LOOKUP(426050100,[1]PlanCuentas!$A$2:$A$6092,[1]PlanCuentas!M$2:M$6092)</f>
        <v>0</v>
      </c>
      <c r="D1423" s="12">
        <f>LOOKUP(426050200,[1]PlanCuentas!$A$2:$A$6092,[1]PlanCuentas!M$2:M$6092)</f>
        <v>0</v>
      </c>
      <c r="E1423" s="12">
        <f>LOOKUP(426050300,[1]PlanCuentas!$A$2:$A$6092,[1]PlanCuentas!M$2:M$6092)</f>
        <v>0</v>
      </c>
      <c r="F1423" s="12">
        <f>LOOKUP(426050400,[1]PlanCuentas!$A$2:$A$6092,[1]PlanCuentas!M$2:M$6092)</f>
        <v>0</v>
      </c>
      <c r="G1423" s="12">
        <f>LOOKUP(426050500,[1]PlanCuentas!$A$2:$A$6092,[1]PlanCuentas!M$2:M$6092)</f>
        <v>0</v>
      </c>
      <c r="H1423" s="12">
        <f>LOOKUP(426050600,[1]PlanCuentas!$A$2:$A$6092,[1]PlanCuentas!M$2:M$6092)</f>
        <v>0</v>
      </c>
      <c r="I1423" s="12">
        <f>LOOKUP(426050700,[1]PlanCuentas!$A$2:$A$6092,[1]PlanCuentas!M$2:M$6092)</f>
        <v>0</v>
      </c>
      <c r="J1423" s="12">
        <f>LOOKUP(426050800,[1]PlanCuentas!$A$2:$A$6092,[1]PlanCuentas!M$2:M$6092)</f>
        <v>0</v>
      </c>
      <c r="K1423" s="12">
        <f>LOOKUP(426050900,[1]PlanCuentas!$A$2:$A$6092,[1]PlanCuentas!M$2:M$6092)</f>
        <v>0</v>
      </c>
      <c r="L1423" s="12">
        <f>LOOKUP(426051000,[1]PlanCuentas!$A$2:$A$6092,[1]PlanCuentas!M$2:M$6092)</f>
        <v>0</v>
      </c>
      <c r="M1423" s="12">
        <f>LOOKUP(426051100,[1]PlanCuentas!$A$2:$A$6092,[1]PlanCuentas!M$2:M$6092)</f>
        <v>0</v>
      </c>
      <c r="N1423" s="12">
        <f>LOOKUP(426051200,[1]PlanCuentas!$A$2:$A$6092,[1]PlanCuentas!M$2:M$6092)</f>
        <v>0</v>
      </c>
      <c r="O1423" s="12">
        <f>LOOKUP(426051300,[1]PlanCuentas!$A$2:$A$6092,[1]PlanCuentas!M$2:M$6092)</f>
        <v>0</v>
      </c>
      <c r="P1423" s="12">
        <f>LOOKUP(426052000,[1]PlanCuentas!$A$2:$A$6092,[1]PlanCuentas!M$2:M$6092)</f>
        <v>0</v>
      </c>
      <c r="Q1423" s="13">
        <f t="shared" si="68"/>
        <v>0</v>
      </c>
    </row>
    <row r="1424" spans="1:17" x14ac:dyDescent="0.2">
      <c r="A1424" s="10">
        <v>12</v>
      </c>
      <c r="B1424" s="11" t="str">
        <f>[1]Aseguradoras!B13</f>
        <v>Aseguradora Paraguaya S.A.</v>
      </c>
      <c r="C1424" s="12">
        <f>LOOKUP(426050100,[1]PlanCuentas!$A$2:$A$6092,[1]PlanCuentas!N$2:N$6092)</f>
        <v>0</v>
      </c>
      <c r="D1424" s="12">
        <f>LOOKUP(426050200,[1]PlanCuentas!$A$2:$A$6092,[1]PlanCuentas!N$2:N$6092)</f>
        <v>0</v>
      </c>
      <c r="E1424" s="12">
        <f>LOOKUP(426050300,[1]PlanCuentas!$A$2:$A$6092,[1]PlanCuentas!N$2:N$6092)</f>
        <v>0</v>
      </c>
      <c r="F1424" s="12">
        <f>LOOKUP(426050400,[1]PlanCuentas!$A$2:$A$6092,[1]PlanCuentas!N$2:N$6092)</f>
        <v>0</v>
      </c>
      <c r="G1424" s="12">
        <f>LOOKUP(426050500,[1]PlanCuentas!$A$2:$A$6092,[1]PlanCuentas!N$2:N$6092)</f>
        <v>0</v>
      </c>
      <c r="H1424" s="12">
        <f>LOOKUP(426050600,[1]PlanCuentas!$A$2:$A$6092,[1]PlanCuentas!N$2:N$6092)</f>
        <v>0</v>
      </c>
      <c r="I1424" s="12">
        <f>LOOKUP(426050700,[1]PlanCuentas!$A$2:$A$6092,[1]PlanCuentas!N$2:N$6092)</f>
        <v>0</v>
      </c>
      <c r="J1424" s="12">
        <f>LOOKUP(426050800,[1]PlanCuentas!$A$2:$A$6092,[1]PlanCuentas!N$2:N$6092)</f>
        <v>0</v>
      </c>
      <c r="K1424" s="12">
        <f>LOOKUP(426050900,[1]PlanCuentas!$A$2:$A$6092,[1]PlanCuentas!N$2:N$6092)</f>
        <v>0</v>
      </c>
      <c r="L1424" s="12">
        <f>LOOKUP(426051000,[1]PlanCuentas!$A$2:$A$6092,[1]PlanCuentas!N$2:N$6092)</f>
        <v>0</v>
      </c>
      <c r="M1424" s="12">
        <f>LOOKUP(426051100,[1]PlanCuentas!$A$2:$A$6092,[1]PlanCuentas!N$2:N$6092)</f>
        <v>0</v>
      </c>
      <c r="N1424" s="12">
        <f>LOOKUP(426051200,[1]PlanCuentas!$A$2:$A$6092,[1]PlanCuentas!N$2:N$6092)</f>
        <v>0</v>
      </c>
      <c r="O1424" s="12">
        <f>LOOKUP(426051300,[1]PlanCuentas!$A$2:$A$6092,[1]PlanCuentas!N$2:N$6092)</f>
        <v>0</v>
      </c>
      <c r="P1424" s="12">
        <f>LOOKUP(426052000,[1]PlanCuentas!$A$2:$A$6092,[1]PlanCuentas!N$2:N$6092)</f>
        <v>0</v>
      </c>
      <c r="Q1424" s="13">
        <f t="shared" si="68"/>
        <v>0</v>
      </c>
    </row>
    <row r="1425" spans="1:17" x14ac:dyDescent="0.2">
      <c r="A1425" s="10">
        <v>13</v>
      </c>
      <c r="B1425" s="11" t="str">
        <f>[1]Aseguradoras!B14</f>
        <v>Fénix S.A de Seguros y Reaseguros</v>
      </c>
      <c r="C1425" s="12">
        <f>LOOKUP(426050100,[1]PlanCuentas!$A$2:$A$6092,[1]PlanCuentas!O$2:O$6092)</f>
        <v>0</v>
      </c>
      <c r="D1425" s="12">
        <f>LOOKUP(426050200,[1]PlanCuentas!$A$2:$A$6092,[1]PlanCuentas!O$2:O$6092)</f>
        <v>0</v>
      </c>
      <c r="E1425" s="12">
        <f>LOOKUP(426050300,[1]PlanCuentas!$A$2:$A$6092,[1]PlanCuentas!O$2:O$6092)</f>
        <v>0</v>
      </c>
      <c r="F1425" s="12">
        <f>LOOKUP(426050400,[1]PlanCuentas!$A$2:$A$6092,[1]PlanCuentas!O$2:O$6092)</f>
        <v>0</v>
      </c>
      <c r="G1425" s="12">
        <f>LOOKUP(426050500,[1]PlanCuentas!$A$2:$A$6092,[1]PlanCuentas!O$2:O$6092)</f>
        <v>0</v>
      </c>
      <c r="H1425" s="12">
        <f>LOOKUP(426050600,[1]PlanCuentas!$A$2:$A$6092,[1]PlanCuentas!O$2:O$6092)</f>
        <v>0</v>
      </c>
      <c r="I1425" s="12">
        <f>LOOKUP(426050700,[1]PlanCuentas!$A$2:$A$6092,[1]PlanCuentas!O$2:O$6092)</f>
        <v>0</v>
      </c>
      <c r="J1425" s="12">
        <f>LOOKUP(426050800,[1]PlanCuentas!$A$2:$A$6092,[1]PlanCuentas!O$2:O$6092)</f>
        <v>0</v>
      </c>
      <c r="K1425" s="12">
        <f>LOOKUP(426050900,[1]PlanCuentas!$A$2:$A$6092,[1]PlanCuentas!O$2:O$6092)</f>
        <v>0</v>
      </c>
      <c r="L1425" s="12">
        <f>LOOKUP(426051000,[1]PlanCuentas!$A$2:$A$6092,[1]PlanCuentas!O$2:O$6092)</f>
        <v>0</v>
      </c>
      <c r="M1425" s="12">
        <f>LOOKUP(426051100,[1]PlanCuentas!$A$2:$A$6092,[1]PlanCuentas!O$2:O$6092)</f>
        <v>0</v>
      </c>
      <c r="N1425" s="12">
        <f>LOOKUP(426051200,[1]PlanCuentas!$A$2:$A$6092,[1]PlanCuentas!O$2:O$6092)</f>
        <v>0</v>
      </c>
      <c r="O1425" s="12">
        <f>LOOKUP(426051300,[1]PlanCuentas!$A$2:$A$6092,[1]PlanCuentas!O$2:O$6092)</f>
        <v>0</v>
      </c>
      <c r="P1425" s="12">
        <f>LOOKUP(426052000,[1]PlanCuentas!$A$2:$A$6092,[1]PlanCuentas!O$2:O$6092)</f>
        <v>0</v>
      </c>
      <c r="Q1425" s="13">
        <f t="shared" si="68"/>
        <v>0</v>
      </c>
    </row>
    <row r="1426" spans="1:17" x14ac:dyDescent="0.2">
      <c r="A1426" s="10">
        <v>14</v>
      </c>
      <c r="B1426" s="11" t="str">
        <f>[1]Aseguradoras!B15</f>
        <v>Central S.A de Seguros</v>
      </c>
      <c r="C1426" s="12">
        <f>LOOKUP(426050100,[1]PlanCuentas!$A$2:$A$6092,[1]PlanCuentas!P$2:P$6092)</f>
        <v>0</v>
      </c>
      <c r="D1426" s="12">
        <f>LOOKUP(426050200,[1]PlanCuentas!$A$2:$A$6092,[1]PlanCuentas!P$2:P$6092)</f>
        <v>0</v>
      </c>
      <c r="E1426" s="12">
        <f>LOOKUP(426050300,[1]PlanCuentas!$A$2:$A$6092,[1]PlanCuentas!P$2:P$6092)</f>
        <v>0</v>
      </c>
      <c r="F1426" s="12">
        <f>LOOKUP(426050400,[1]PlanCuentas!$A$2:$A$6092,[1]PlanCuentas!P$2:P$6092)</f>
        <v>0</v>
      </c>
      <c r="G1426" s="12">
        <f>LOOKUP(426050500,[1]PlanCuentas!$A$2:$A$6092,[1]PlanCuentas!P$2:P$6092)</f>
        <v>0</v>
      </c>
      <c r="H1426" s="12">
        <f>LOOKUP(426050600,[1]PlanCuentas!$A$2:$A$6092,[1]PlanCuentas!P$2:P$6092)</f>
        <v>0</v>
      </c>
      <c r="I1426" s="12">
        <f>LOOKUP(426050700,[1]PlanCuentas!$A$2:$A$6092,[1]PlanCuentas!P$2:P$6092)</f>
        <v>0</v>
      </c>
      <c r="J1426" s="12">
        <f>LOOKUP(426050800,[1]PlanCuentas!$A$2:$A$6092,[1]PlanCuentas!P$2:P$6092)</f>
        <v>0</v>
      </c>
      <c r="K1426" s="12">
        <f>LOOKUP(426050900,[1]PlanCuentas!$A$2:$A$6092,[1]PlanCuentas!P$2:P$6092)</f>
        <v>0</v>
      </c>
      <c r="L1426" s="12">
        <f>LOOKUP(426051000,[1]PlanCuentas!$A$2:$A$6092,[1]PlanCuentas!P$2:P$6092)</f>
        <v>0</v>
      </c>
      <c r="M1426" s="12">
        <f>LOOKUP(426051100,[1]PlanCuentas!$A$2:$A$6092,[1]PlanCuentas!P$2:P$6092)</f>
        <v>0</v>
      </c>
      <c r="N1426" s="12">
        <f>LOOKUP(426051200,[1]PlanCuentas!$A$2:$A$6092,[1]PlanCuentas!P$2:P$6092)</f>
        <v>0</v>
      </c>
      <c r="O1426" s="12">
        <f>LOOKUP(426051300,[1]PlanCuentas!$A$2:$A$6092,[1]PlanCuentas!P$2:P$6092)</f>
        <v>0</v>
      </c>
      <c r="P1426" s="12">
        <f>LOOKUP(426052000,[1]PlanCuentas!$A$2:$A$6092,[1]PlanCuentas!P$2:P$6092)</f>
        <v>0</v>
      </c>
      <c r="Q1426" s="13">
        <f t="shared" si="68"/>
        <v>0</v>
      </c>
    </row>
    <row r="1427" spans="1:17" x14ac:dyDescent="0.2">
      <c r="A1427" s="10">
        <v>15</v>
      </c>
      <c r="B1427" s="11" t="str">
        <f>[1]Aseguradoras!B16</f>
        <v>Seguros Chaco S.A de Seguros y Reaseguros</v>
      </c>
      <c r="C1427" s="12">
        <f>LOOKUP(426050100,[1]PlanCuentas!$A$2:$A$6092,[1]PlanCuentas!Q$2:Q$6092)</f>
        <v>0</v>
      </c>
      <c r="D1427" s="12">
        <f>LOOKUP(426050200,[1]PlanCuentas!$A$2:$A$6092,[1]PlanCuentas!Q$2:Q$6092)</f>
        <v>0</v>
      </c>
      <c r="E1427" s="12">
        <f>LOOKUP(426050300,[1]PlanCuentas!$A$2:$A$6092,[1]PlanCuentas!Q$2:Q$6092)</f>
        <v>0</v>
      </c>
      <c r="F1427" s="12">
        <f>LOOKUP(426050400,[1]PlanCuentas!$A$2:$A$6092,[1]PlanCuentas!Q$2:Q$6092)</f>
        <v>0</v>
      </c>
      <c r="G1427" s="12">
        <f>LOOKUP(426050500,[1]PlanCuentas!$A$2:$A$6092,[1]PlanCuentas!Q$2:Q$6092)</f>
        <v>0</v>
      </c>
      <c r="H1427" s="12">
        <f>LOOKUP(426050600,[1]PlanCuentas!$A$2:$A$6092,[1]PlanCuentas!Q$2:Q$6092)</f>
        <v>0</v>
      </c>
      <c r="I1427" s="12">
        <f>LOOKUP(426050700,[1]PlanCuentas!$A$2:$A$6092,[1]PlanCuentas!Q$2:Q$6092)</f>
        <v>0</v>
      </c>
      <c r="J1427" s="12">
        <f>LOOKUP(426050800,[1]PlanCuentas!$A$2:$A$6092,[1]PlanCuentas!Q$2:Q$6092)</f>
        <v>0</v>
      </c>
      <c r="K1427" s="12">
        <f>LOOKUP(426050900,[1]PlanCuentas!$A$2:$A$6092,[1]PlanCuentas!Q$2:Q$6092)</f>
        <v>0</v>
      </c>
      <c r="L1427" s="12">
        <f>LOOKUP(426051000,[1]PlanCuentas!$A$2:$A$6092,[1]PlanCuentas!Q$2:Q$6092)</f>
        <v>0</v>
      </c>
      <c r="M1427" s="12">
        <f>LOOKUP(426051100,[1]PlanCuentas!$A$2:$A$6092,[1]PlanCuentas!Q$2:Q$6092)</f>
        <v>0</v>
      </c>
      <c r="N1427" s="12">
        <f>LOOKUP(426051200,[1]PlanCuentas!$A$2:$A$6092,[1]PlanCuentas!Q$2:Q$6092)</f>
        <v>0</v>
      </c>
      <c r="O1427" s="12">
        <f>LOOKUP(426051300,[1]PlanCuentas!$A$2:$A$6092,[1]PlanCuentas!Q$2:Q$6092)</f>
        <v>0</v>
      </c>
      <c r="P1427" s="12">
        <f>LOOKUP(426052000,[1]PlanCuentas!$A$2:$A$6092,[1]PlanCuentas!Q$2:Q$6092)</f>
        <v>0</v>
      </c>
      <c r="Q1427" s="13">
        <f t="shared" si="68"/>
        <v>0</v>
      </c>
    </row>
    <row r="1428" spans="1:17" x14ac:dyDescent="0.2">
      <c r="A1428" s="10">
        <v>16</v>
      </c>
      <c r="B1428" s="11" t="str">
        <f>[1]Aseguradoras!B17</f>
        <v>El Sol Del Paraguay Compañía de Seguros y Reaseguros S.A.</v>
      </c>
      <c r="C1428" s="12">
        <f>LOOKUP(426050100,[1]PlanCuentas!$A$2:$A$6092,[1]PlanCuentas!R$2:R$6092)</f>
        <v>0</v>
      </c>
      <c r="D1428" s="12">
        <f>LOOKUP(426050200,[1]PlanCuentas!$A$2:$A$6092,[1]PlanCuentas!R$2:R$6092)</f>
        <v>0</v>
      </c>
      <c r="E1428" s="12">
        <f>LOOKUP(426050300,[1]PlanCuentas!$A$2:$A$6092,[1]PlanCuentas!R$2:R$6092)</f>
        <v>0</v>
      </c>
      <c r="F1428" s="12">
        <f>LOOKUP(426050400,[1]PlanCuentas!$A$2:$A$6092,[1]PlanCuentas!R$2:R$6092)</f>
        <v>0</v>
      </c>
      <c r="G1428" s="12">
        <f>LOOKUP(426050500,[1]PlanCuentas!$A$2:$A$6092,[1]PlanCuentas!R$2:R$6092)</f>
        <v>0</v>
      </c>
      <c r="H1428" s="12">
        <f>LOOKUP(426050600,[1]PlanCuentas!$A$2:$A$6092,[1]PlanCuentas!R$2:R$6092)</f>
        <v>0</v>
      </c>
      <c r="I1428" s="12">
        <f>LOOKUP(426050700,[1]PlanCuentas!$A$2:$A$6092,[1]PlanCuentas!R$2:R$6092)</f>
        <v>0</v>
      </c>
      <c r="J1428" s="12">
        <f>LOOKUP(426050800,[1]PlanCuentas!$A$2:$A$6092,[1]PlanCuentas!R$2:R$6092)</f>
        <v>0</v>
      </c>
      <c r="K1428" s="12">
        <f>LOOKUP(426050900,[1]PlanCuentas!$A$2:$A$6092,[1]PlanCuentas!R$2:R$6092)</f>
        <v>0</v>
      </c>
      <c r="L1428" s="12">
        <f>LOOKUP(426051000,[1]PlanCuentas!$A$2:$A$6092,[1]PlanCuentas!R$2:R$6092)</f>
        <v>0</v>
      </c>
      <c r="M1428" s="12">
        <f>LOOKUP(426051100,[1]PlanCuentas!$A$2:$A$6092,[1]PlanCuentas!R$2:R$6092)</f>
        <v>0</v>
      </c>
      <c r="N1428" s="12">
        <f>LOOKUP(426051200,[1]PlanCuentas!$A$2:$A$6092,[1]PlanCuentas!R$2:R$6092)</f>
        <v>0</v>
      </c>
      <c r="O1428" s="12">
        <f>LOOKUP(426051300,[1]PlanCuentas!$A$2:$A$6092,[1]PlanCuentas!R$2:R$6092)</f>
        <v>0</v>
      </c>
      <c r="P1428" s="12">
        <f>LOOKUP(426052000,[1]PlanCuentas!$A$2:$A$6092,[1]PlanCuentas!R$2:R$6092)</f>
        <v>0</v>
      </c>
      <c r="Q1428" s="13">
        <f t="shared" si="68"/>
        <v>0</v>
      </c>
    </row>
    <row r="1429" spans="1:17" x14ac:dyDescent="0.2">
      <c r="A1429" s="10">
        <v>17</v>
      </c>
      <c r="B1429" s="11" t="str">
        <f>[1]Aseguradoras!B18</f>
        <v>Intercontinental de Seguros y Reaseguros S.A.</v>
      </c>
      <c r="C1429" s="12">
        <f>LOOKUP(426050100,[1]PlanCuentas!$A$2:$A$6092,[1]PlanCuentas!S$2:S$6092)</f>
        <v>0</v>
      </c>
      <c r="D1429" s="12">
        <f>LOOKUP(426050200,[1]PlanCuentas!$A$2:$A$6092,[1]PlanCuentas!S$2:S$6092)</f>
        <v>0</v>
      </c>
      <c r="E1429" s="12">
        <f>LOOKUP(426050300,[1]PlanCuentas!$A$2:$A$6092,[1]PlanCuentas!S$2:S$6092)</f>
        <v>0</v>
      </c>
      <c r="F1429" s="12">
        <f>LOOKUP(426050400,[1]PlanCuentas!$A$2:$A$6092,[1]PlanCuentas!S$2:S$6092)</f>
        <v>0</v>
      </c>
      <c r="G1429" s="12">
        <f>LOOKUP(426050500,[1]PlanCuentas!$A$2:$A$6092,[1]PlanCuentas!S$2:S$6092)</f>
        <v>0</v>
      </c>
      <c r="H1429" s="12">
        <f>LOOKUP(426050600,[1]PlanCuentas!$A$2:$A$6092,[1]PlanCuentas!S$2:S$6092)</f>
        <v>0</v>
      </c>
      <c r="I1429" s="12">
        <f>LOOKUP(426050700,[1]PlanCuentas!$A$2:$A$6092,[1]PlanCuentas!S$2:S$6092)</f>
        <v>0</v>
      </c>
      <c r="J1429" s="12">
        <f>LOOKUP(426050800,[1]PlanCuentas!$A$2:$A$6092,[1]PlanCuentas!S$2:S$6092)</f>
        <v>0</v>
      </c>
      <c r="K1429" s="12">
        <f>LOOKUP(426050900,[1]PlanCuentas!$A$2:$A$6092,[1]PlanCuentas!S$2:S$6092)</f>
        <v>0</v>
      </c>
      <c r="L1429" s="12">
        <f>LOOKUP(426051000,[1]PlanCuentas!$A$2:$A$6092,[1]PlanCuentas!S$2:S$6092)</f>
        <v>0</v>
      </c>
      <c r="M1429" s="12">
        <f>LOOKUP(426051100,[1]PlanCuentas!$A$2:$A$6092,[1]PlanCuentas!S$2:S$6092)</f>
        <v>0</v>
      </c>
      <c r="N1429" s="12">
        <f>LOOKUP(426051200,[1]PlanCuentas!$A$2:$A$6092,[1]PlanCuentas!S$2:S$6092)</f>
        <v>0</v>
      </c>
      <c r="O1429" s="12">
        <f>LOOKUP(426051300,[1]PlanCuentas!$A$2:$A$6092,[1]PlanCuentas!S$2:S$6092)</f>
        <v>0</v>
      </c>
      <c r="P1429" s="12">
        <f>LOOKUP(426052000,[1]PlanCuentas!$A$2:$A$6092,[1]PlanCuentas!S$2:S$6092)</f>
        <v>0</v>
      </c>
      <c r="Q1429" s="13">
        <f t="shared" si="68"/>
        <v>0</v>
      </c>
    </row>
    <row r="1430" spans="1:17" x14ac:dyDescent="0.2">
      <c r="A1430" s="10">
        <v>18</v>
      </c>
      <c r="B1430" s="11" t="str">
        <f>[1]Aseguradoras!B19</f>
        <v>Seguridad S.A Compañía de Seguros</v>
      </c>
      <c r="C1430" s="12">
        <f>LOOKUP(426050100,[1]PlanCuentas!$A$2:$A$6092,[1]PlanCuentas!T$2:T$6092)</f>
        <v>0</v>
      </c>
      <c r="D1430" s="12">
        <f>LOOKUP(426050200,[1]PlanCuentas!$A$2:$A$6092,[1]PlanCuentas!T$2:T$6092)</f>
        <v>0</v>
      </c>
      <c r="E1430" s="12">
        <f>LOOKUP(426050300,[1]PlanCuentas!$A$2:$A$6092,[1]PlanCuentas!T$2:T$6092)</f>
        <v>0</v>
      </c>
      <c r="F1430" s="12">
        <f>LOOKUP(426050400,[1]PlanCuentas!$A$2:$A$6092,[1]PlanCuentas!T$2:T$6092)</f>
        <v>0</v>
      </c>
      <c r="G1430" s="12">
        <f>LOOKUP(426050500,[1]PlanCuentas!$A$2:$A$6092,[1]PlanCuentas!T$2:T$6092)</f>
        <v>0</v>
      </c>
      <c r="H1430" s="12">
        <f>LOOKUP(426050600,[1]PlanCuentas!$A$2:$A$6092,[1]PlanCuentas!T$2:T$6092)</f>
        <v>0</v>
      </c>
      <c r="I1430" s="12">
        <f>LOOKUP(426050700,[1]PlanCuentas!$A$2:$A$6092,[1]PlanCuentas!T$2:T$6092)</f>
        <v>0</v>
      </c>
      <c r="J1430" s="12">
        <f>LOOKUP(426050800,[1]PlanCuentas!$A$2:$A$6092,[1]PlanCuentas!T$2:T$6092)</f>
        <v>0</v>
      </c>
      <c r="K1430" s="12">
        <f>LOOKUP(426050900,[1]PlanCuentas!$A$2:$A$6092,[1]PlanCuentas!T$2:T$6092)</f>
        <v>0</v>
      </c>
      <c r="L1430" s="12">
        <f>LOOKUP(426051000,[1]PlanCuentas!$A$2:$A$6092,[1]PlanCuentas!T$2:T$6092)</f>
        <v>0</v>
      </c>
      <c r="M1430" s="12">
        <f>LOOKUP(426051100,[1]PlanCuentas!$A$2:$A$6092,[1]PlanCuentas!T$2:T$6092)</f>
        <v>0</v>
      </c>
      <c r="N1430" s="12">
        <f>LOOKUP(426051200,[1]PlanCuentas!$A$2:$A$6092,[1]PlanCuentas!T$2:T$6092)</f>
        <v>0</v>
      </c>
      <c r="O1430" s="12">
        <f>LOOKUP(426051300,[1]PlanCuentas!$A$2:$A$6092,[1]PlanCuentas!T$2:T$6092)</f>
        <v>0</v>
      </c>
      <c r="P1430" s="12">
        <f>LOOKUP(426052000,[1]PlanCuentas!$A$2:$A$6092,[1]PlanCuentas!T$2:T$6092)</f>
        <v>0</v>
      </c>
      <c r="Q1430" s="13">
        <f t="shared" si="68"/>
        <v>0</v>
      </c>
    </row>
    <row r="1431" spans="1:17" x14ac:dyDescent="0.2">
      <c r="A1431" s="10">
        <v>19</v>
      </c>
      <c r="B1431" s="11" t="str">
        <f>[1]Aseguradoras!B20</f>
        <v>Universo de Seguros y Reaseguros S.A.</v>
      </c>
      <c r="C1431" s="12">
        <f>LOOKUP(426050100,[1]PlanCuentas!$A$2:$A$6092,[1]PlanCuentas!U$2:U$6092)</f>
        <v>0</v>
      </c>
      <c r="D1431" s="12">
        <f>LOOKUP(426050200,[1]PlanCuentas!$A$2:$A$6092,[1]PlanCuentas!U$2:U$6092)</f>
        <v>0</v>
      </c>
      <c r="E1431" s="12">
        <f>LOOKUP(426050300,[1]PlanCuentas!$A$2:$A$6092,[1]PlanCuentas!U$2:U$6092)</f>
        <v>0</v>
      </c>
      <c r="F1431" s="12">
        <f>LOOKUP(426050400,[1]PlanCuentas!$A$2:$A$6092,[1]PlanCuentas!U$2:U$6092)</f>
        <v>0</v>
      </c>
      <c r="G1431" s="12">
        <f>LOOKUP(426050500,[1]PlanCuentas!$A$2:$A$6092,[1]PlanCuentas!U$2:U$6092)</f>
        <v>0</v>
      </c>
      <c r="H1431" s="12">
        <f>LOOKUP(426050600,[1]PlanCuentas!$A$2:$A$6092,[1]PlanCuentas!U$2:U$6092)</f>
        <v>0</v>
      </c>
      <c r="I1431" s="12">
        <f>LOOKUP(426050700,[1]PlanCuentas!$A$2:$A$6092,[1]PlanCuentas!U$2:U$6092)</f>
        <v>0</v>
      </c>
      <c r="J1431" s="12">
        <f>LOOKUP(426050800,[1]PlanCuentas!$A$2:$A$6092,[1]PlanCuentas!U$2:U$6092)</f>
        <v>0</v>
      </c>
      <c r="K1431" s="12">
        <f>LOOKUP(426050900,[1]PlanCuentas!$A$2:$A$6092,[1]PlanCuentas!U$2:U$6092)</f>
        <v>0</v>
      </c>
      <c r="L1431" s="12">
        <f>LOOKUP(426051000,[1]PlanCuentas!$A$2:$A$6092,[1]PlanCuentas!U$2:U$6092)</f>
        <v>0</v>
      </c>
      <c r="M1431" s="12">
        <f>LOOKUP(426051100,[1]PlanCuentas!$A$2:$A$6092,[1]PlanCuentas!U$2:U$6092)</f>
        <v>0</v>
      </c>
      <c r="N1431" s="12">
        <f>LOOKUP(426051200,[1]PlanCuentas!$A$2:$A$6092,[1]PlanCuentas!U$2:U$6092)</f>
        <v>0</v>
      </c>
      <c r="O1431" s="12">
        <f>LOOKUP(426051300,[1]PlanCuentas!$A$2:$A$6092,[1]PlanCuentas!U$2:U$6092)</f>
        <v>0</v>
      </c>
      <c r="P1431" s="12">
        <f>LOOKUP(426052000,[1]PlanCuentas!$A$2:$A$6092,[1]PlanCuentas!U$2:U$6092)</f>
        <v>0</v>
      </c>
      <c r="Q1431" s="13">
        <f t="shared" si="68"/>
        <v>0</v>
      </c>
    </row>
    <row r="1432" spans="1:17" x14ac:dyDescent="0.2">
      <c r="A1432" s="10">
        <v>20</v>
      </c>
      <c r="B1432" s="11" t="str">
        <f>[1]Aseguradoras!B21</f>
        <v>Aseguradora Yacyreta S.A de Seguros y Reaseguros</v>
      </c>
      <c r="C1432" s="12">
        <f>LOOKUP(426050100,[1]PlanCuentas!$A$2:$A$6092,[1]PlanCuentas!V$2:V$6092)</f>
        <v>0</v>
      </c>
      <c r="D1432" s="12">
        <f>LOOKUP(426050200,[1]PlanCuentas!$A$2:$A$6092,[1]PlanCuentas!V$2:V$6092)</f>
        <v>0</v>
      </c>
      <c r="E1432" s="12">
        <f>LOOKUP(426050300,[1]PlanCuentas!$A$2:$A$6092,[1]PlanCuentas!V$2:V$6092)</f>
        <v>0</v>
      </c>
      <c r="F1432" s="12">
        <f>LOOKUP(426050400,[1]PlanCuentas!$A$2:$A$6092,[1]PlanCuentas!V$2:V$6092)</f>
        <v>421836</v>
      </c>
      <c r="G1432" s="12">
        <f>LOOKUP(426050500,[1]PlanCuentas!$A$2:$A$6092,[1]PlanCuentas!V$2:V$6092)</f>
        <v>0</v>
      </c>
      <c r="H1432" s="12">
        <f>LOOKUP(426050600,[1]PlanCuentas!$A$2:$A$6092,[1]PlanCuentas!V$2:V$6092)</f>
        <v>0</v>
      </c>
      <c r="I1432" s="12">
        <f>LOOKUP(426050700,[1]PlanCuentas!$A$2:$A$6092,[1]PlanCuentas!V$2:V$6092)</f>
        <v>0</v>
      </c>
      <c r="J1432" s="12">
        <f>LOOKUP(426050800,[1]PlanCuentas!$A$2:$A$6092,[1]PlanCuentas!V$2:V$6092)</f>
        <v>0</v>
      </c>
      <c r="K1432" s="12">
        <f>LOOKUP(426050900,[1]PlanCuentas!$A$2:$A$6092,[1]PlanCuentas!V$2:V$6092)</f>
        <v>0</v>
      </c>
      <c r="L1432" s="12">
        <f>LOOKUP(426051000,[1]PlanCuentas!$A$2:$A$6092,[1]PlanCuentas!V$2:V$6092)</f>
        <v>0</v>
      </c>
      <c r="M1432" s="12">
        <f>LOOKUP(426051100,[1]PlanCuentas!$A$2:$A$6092,[1]PlanCuentas!V$2:V$6092)</f>
        <v>0</v>
      </c>
      <c r="N1432" s="12">
        <f>LOOKUP(426051200,[1]PlanCuentas!$A$2:$A$6092,[1]PlanCuentas!V$2:V$6092)</f>
        <v>0</v>
      </c>
      <c r="O1432" s="12">
        <f>LOOKUP(426051300,[1]PlanCuentas!$A$2:$A$6092,[1]PlanCuentas!V$2:V$6092)</f>
        <v>0</v>
      </c>
      <c r="P1432" s="12">
        <f>LOOKUP(426052000,[1]PlanCuentas!$A$2:$A$6092,[1]PlanCuentas!V$2:V$6092)</f>
        <v>0</v>
      </c>
      <c r="Q1432" s="13">
        <f t="shared" si="68"/>
        <v>421836</v>
      </c>
    </row>
    <row r="1433" spans="1:17" x14ac:dyDescent="0.2">
      <c r="A1433" s="10">
        <v>21</v>
      </c>
      <c r="B1433" s="11" t="str">
        <f>[1]Aseguradoras!B22</f>
        <v>La Agricola S.A de Seguros y Reaseguros</v>
      </c>
      <c r="C1433" s="12">
        <f>LOOKUP(426050100,[1]PlanCuentas!$A$2:$A$6092,[1]PlanCuentas!W$2:W$6092)</f>
        <v>0</v>
      </c>
      <c r="D1433" s="12">
        <f>LOOKUP(426050200,[1]PlanCuentas!$A$2:$A$6092,[1]PlanCuentas!W$2:W$6092)</f>
        <v>0</v>
      </c>
      <c r="E1433" s="12">
        <f>LOOKUP(426050300,[1]PlanCuentas!$A$2:$A$6092,[1]PlanCuentas!W$2:W$6092)</f>
        <v>0</v>
      </c>
      <c r="F1433" s="12">
        <f>LOOKUP(426050400,[1]PlanCuentas!$A$2:$A$6092,[1]PlanCuentas!W$2:W$6092)</f>
        <v>0</v>
      </c>
      <c r="G1433" s="12">
        <f>LOOKUP(426050500,[1]PlanCuentas!$A$2:$A$6092,[1]PlanCuentas!W$2:W$6092)</f>
        <v>0</v>
      </c>
      <c r="H1433" s="12">
        <f>LOOKUP(426050600,[1]PlanCuentas!$A$2:$A$6092,[1]PlanCuentas!W$2:W$6092)</f>
        <v>0</v>
      </c>
      <c r="I1433" s="12">
        <f>LOOKUP(426050700,[1]PlanCuentas!$A$2:$A$6092,[1]PlanCuentas!W$2:W$6092)</f>
        <v>0</v>
      </c>
      <c r="J1433" s="12">
        <f>LOOKUP(426050800,[1]PlanCuentas!$A$2:$A$6092,[1]PlanCuentas!W$2:W$6092)</f>
        <v>0</v>
      </c>
      <c r="K1433" s="12">
        <f>LOOKUP(426050900,[1]PlanCuentas!$A$2:$A$6092,[1]PlanCuentas!W$2:W$6092)</f>
        <v>0</v>
      </c>
      <c r="L1433" s="12">
        <f>LOOKUP(426051000,[1]PlanCuentas!$A$2:$A$6092,[1]PlanCuentas!W$2:W$6092)</f>
        <v>0</v>
      </c>
      <c r="M1433" s="12">
        <f>LOOKUP(426051100,[1]PlanCuentas!$A$2:$A$6092,[1]PlanCuentas!W$2:W$6092)</f>
        <v>0</v>
      </c>
      <c r="N1433" s="12">
        <f>LOOKUP(426051200,[1]PlanCuentas!$A$2:$A$6092,[1]PlanCuentas!W$2:W$6092)</f>
        <v>0</v>
      </c>
      <c r="O1433" s="12">
        <f>LOOKUP(426051300,[1]PlanCuentas!$A$2:$A$6092,[1]PlanCuentas!W$2:W$6092)</f>
        <v>0</v>
      </c>
      <c r="P1433" s="12">
        <f>LOOKUP(426052000,[1]PlanCuentas!$A$2:$A$6092,[1]PlanCuentas!W$2:W$6092)</f>
        <v>0</v>
      </c>
      <c r="Q1433" s="13">
        <f t="shared" si="68"/>
        <v>0</v>
      </c>
    </row>
    <row r="1434" spans="1:17" x14ac:dyDescent="0.2">
      <c r="A1434" s="10">
        <v>22</v>
      </c>
      <c r="B1434" s="11" t="str">
        <f>[1]Aseguradoras!B23</f>
        <v>Grupo General de Seguros y Reaseguros S.A.</v>
      </c>
      <c r="C1434" s="12">
        <f>LOOKUP(426050100,[1]PlanCuentas!$A$2:$A$6092,[1]PlanCuentas!X$2:X$6092)</f>
        <v>0</v>
      </c>
      <c r="D1434" s="12">
        <f>LOOKUP(426050200,[1]PlanCuentas!$A$2:$A$6092,[1]PlanCuentas!X$2:X$6092)</f>
        <v>0</v>
      </c>
      <c r="E1434" s="12">
        <f>LOOKUP(426050300,[1]PlanCuentas!$A$2:$A$6092,[1]PlanCuentas!X$2:X$6092)</f>
        <v>0</v>
      </c>
      <c r="F1434" s="12">
        <f>LOOKUP(426050400,[1]PlanCuentas!$A$2:$A$6092,[1]PlanCuentas!X$2:X$6092)</f>
        <v>0</v>
      </c>
      <c r="G1434" s="12">
        <f>LOOKUP(426050500,[1]PlanCuentas!$A$2:$A$6092,[1]PlanCuentas!X$2:X$6092)</f>
        <v>0</v>
      </c>
      <c r="H1434" s="12">
        <f>LOOKUP(426050600,[1]PlanCuentas!$A$2:$A$6092,[1]PlanCuentas!X$2:X$6092)</f>
        <v>0</v>
      </c>
      <c r="I1434" s="12">
        <f>LOOKUP(426050700,[1]PlanCuentas!$A$2:$A$6092,[1]PlanCuentas!X$2:X$6092)</f>
        <v>0</v>
      </c>
      <c r="J1434" s="12">
        <f>LOOKUP(426050800,[1]PlanCuentas!$A$2:$A$6092,[1]PlanCuentas!X$2:X$6092)</f>
        <v>0</v>
      </c>
      <c r="K1434" s="12">
        <f>LOOKUP(426050900,[1]PlanCuentas!$A$2:$A$6092,[1]PlanCuentas!X$2:X$6092)</f>
        <v>0</v>
      </c>
      <c r="L1434" s="12">
        <f>LOOKUP(426051000,[1]PlanCuentas!$A$2:$A$6092,[1]PlanCuentas!X$2:X$6092)</f>
        <v>0</v>
      </c>
      <c r="M1434" s="12">
        <f>LOOKUP(426051100,[1]PlanCuentas!$A$2:$A$6092,[1]PlanCuentas!X$2:X$6092)</f>
        <v>0</v>
      </c>
      <c r="N1434" s="12">
        <f>LOOKUP(426051200,[1]PlanCuentas!$A$2:$A$6092,[1]PlanCuentas!X$2:X$6092)</f>
        <v>0</v>
      </c>
      <c r="O1434" s="12">
        <f>LOOKUP(426051300,[1]PlanCuentas!$A$2:$A$6092,[1]PlanCuentas!X$2:X$6092)</f>
        <v>0</v>
      </c>
      <c r="P1434" s="12">
        <f>LOOKUP(426052000,[1]PlanCuentas!$A$2:$A$6092,[1]PlanCuentas!X$2:X$6092)</f>
        <v>0</v>
      </c>
      <c r="Q1434" s="13">
        <f t="shared" si="68"/>
        <v>0</v>
      </c>
    </row>
    <row r="1435" spans="1:17" x14ac:dyDescent="0.2">
      <c r="A1435" s="10">
        <v>23</v>
      </c>
      <c r="B1435" s="11" t="str">
        <f>[1]Aseguradoras!B24</f>
        <v>Alfa S.A de Seguros y Reaseguros</v>
      </c>
      <c r="C1435" s="12">
        <f>LOOKUP(426050100,[1]PlanCuentas!$A$2:$A$6092,[1]PlanCuentas!Y$2:Y$6092)</f>
        <v>0</v>
      </c>
      <c r="D1435" s="12">
        <f>LOOKUP(426050200,[1]PlanCuentas!$A$2:$A$6092,[1]PlanCuentas!Y$2:Y$6092)</f>
        <v>0</v>
      </c>
      <c r="E1435" s="12">
        <f>LOOKUP(426050300,[1]PlanCuentas!$A$2:$A$6092,[1]PlanCuentas!Y$2:Y$6092)</f>
        <v>0</v>
      </c>
      <c r="F1435" s="12">
        <f>LOOKUP(426050400,[1]PlanCuentas!$A$2:$A$6092,[1]PlanCuentas!Y$2:Y$6092)</f>
        <v>285680</v>
      </c>
      <c r="G1435" s="12">
        <f>LOOKUP(426050500,[1]PlanCuentas!$A$2:$A$6092,[1]PlanCuentas!Y$2:Y$6092)</f>
        <v>0</v>
      </c>
      <c r="H1435" s="12">
        <f>LOOKUP(426050600,[1]PlanCuentas!$A$2:$A$6092,[1]PlanCuentas!Y$2:Y$6092)</f>
        <v>0</v>
      </c>
      <c r="I1435" s="12">
        <f>LOOKUP(426050700,[1]PlanCuentas!$A$2:$A$6092,[1]PlanCuentas!Y$2:Y$6092)</f>
        <v>0</v>
      </c>
      <c r="J1435" s="12">
        <f>LOOKUP(426050800,[1]PlanCuentas!$A$2:$A$6092,[1]PlanCuentas!Y$2:Y$6092)</f>
        <v>0</v>
      </c>
      <c r="K1435" s="12">
        <f>LOOKUP(426050900,[1]PlanCuentas!$A$2:$A$6092,[1]PlanCuentas!Y$2:Y$6092)</f>
        <v>0</v>
      </c>
      <c r="L1435" s="12">
        <f>LOOKUP(426051000,[1]PlanCuentas!$A$2:$A$6092,[1]PlanCuentas!Y$2:Y$6092)</f>
        <v>0</v>
      </c>
      <c r="M1435" s="12">
        <f>LOOKUP(426051100,[1]PlanCuentas!$A$2:$A$6092,[1]PlanCuentas!Y$2:Y$6092)</f>
        <v>0</v>
      </c>
      <c r="N1435" s="12">
        <f>LOOKUP(426051200,[1]PlanCuentas!$A$2:$A$6092,[1]PlanCuentas!Y$2:Y$6092)</f>
        <v>0</v>
      </c>
      <c r="O1435" s="12">
        <f>LOOKUP(426051300,[1]PlanCuentas!$A$2:$A$6092,[1]PlanCuentas!Y$2:Y$6092)</f>
        <v>0</v>
      </c>
      <c r="P1435" s="12">
        <f>LOOKUP(426052000,[1]PlanCuentas!$A$2:$A$6092,[1]PlanCuentas!Y$2:Y$6092)</f>
        <v>0</v>
      </c>
      <c r="Q1435" s="13">
        <f t="shared" si="68"/>
        <v>285680</v>
      </c>
    </row>
    <row r="1436" spans="1:17" x14ac:dyDescent="0.2">
      <c r="A1436" s="10">
        <v>24</v>
      </c>
      <c r="B1436" s="11" t="str">
        <f>[1]Aseguradoras!B25</f>
        <v>Cenit de Seguros S.A.</v>
      </c>
      <c r="C1436" s="12">
        <f>LOOKUP(426050100,[1]PlanCuentas!$A$2:$A$6092,[1]PlanCuentas!Z$2:Z$6092)</f>
        <v>0</v>
      </c>
      <c r="D1436" s="12">
        <f>LOOKUP(426050200,[1]PlanCuentas!$A$2:$A$6092,[1]PlanCuentas!Z$2:Z$6092)</f>
        <v>0</v>
      </c>
      <c r="E1436" s="12">
        <f>LOOKUP(426050300,[1]PlanCuentas!$A$2:$A$6092,[1]PlanCuentas!Z$2:Z$6092)</f>
        <v>0</v>
      </c>
      <c r="F1436" s="12">
        <f>LOOKUP(426050400,[1]PlanCuentas!$A$2:$A$6092,[1]PlanCuentas!Z$2:Z$6092)</f>
        <v>0</v>
      </c>
      <c r="G1436" s="12">
        <f>LOOKUP(426050500,[1]PlanCuentas!$A$2:$A$6092,[1]PlanCuentas!Z$2:Z$6092)</f>
        <v>0</v>
      </c>
      <c r="H1436" s="12">
        <f>LOOKUP(426050600,[1]PlanCuentas!$A$2:$A$6092,[1]PlanCuentas!Z$2:Z$6092)</f>
        <v>0</v>
      </c>
      <c r="I1436" s="12">
        <f>LOOKUP(426050700,[1]PlanCuentas!$A$2:$A$6092,[1]PlanCuentas!Z$2:Z$6092)</f>
        <v>0</v>
      </c>
      <c r="J1436" s="12">
        <f>LOOKUP(426050800,[1]PlanCuentas!$A$2:$A$6092,[1]PlanCuentas!Z$2:Z$6092)</f>
        <v>0</v>
      </c>
      <c r="K1436" s="12">
        <f>LOOKUP(426050900,[1]PlanCuentas!$A$2:$A$6092,[1]PlanCuentas!Z$2:Z$6092)</f>
        <v>0</v>
      </c>
      <c r="L1436" s="12">
        <f>LOOKUP(426051000,[1]PlanCuentas!$A$2:$A$6092,[1]PlanCuentas!Z$2:Z$6092)</f>
        <v>0</v>
      </c>
      <c r="M1436" s="12">
        <f>LOOKUP(426051100,[1]PlanCuentas!$A$2:$A$6092,[1]PlanCuentas!Z$2:Z$6092)</f>
        <v>0</v>
      </c>
      <c r="N1436" s="12">
        <f>LOOKUP(426051200,[1]PlanCuentas!$A$2:$A$6092,[1]PlanCuentas!Z$2:Z$6092)</f>
        <v>0</v>
      </c>
      <c r="O1436" s="12">
        <f>LOOKUP(426051300,[1]PlanCuentas!$A$2:$A$6092,[1]PlanCuentas!Z$2:Z$6092)</f>
        <v>0</v>
      </c>
      <c r="P1436" s="12">
        <f>LOOKUP(426052000,[1]PlanCuentas!$A$2:$A$6092,[1]PlanCuentas!Z$2:Z$6092)</f>
        <v>0</v>
      </c>
      <c r="Q1436" s="13">
        <f t="shared" si="68"/>
        <v>0</v>
      </c>
    </row>
    <row r="1437" spans="1:17" x14ac:dyDescent="0.2">
      <c r="A1437" s="10">
        <v>25</v>
      </c>
      <c r="B1437" s="11" t="str">
        <f>[1]Aseguradoras!B26</f>
        <v>La Meridional Paraguaya S.A de Seguros</v>
      </c>
      <c r="C1437" s="12">
        <f>LOOKUP(426050100,[1]PlanCuentas!$A$2:$A$6092,[1]PlanCuentas!AA$2:AA$6092)</f>
        <v>0</v>
      </c>
      <c r="D1437" s="12">
        <f>LOOKUP(426050200,[1]PlanCuentas!$A$2:$A$6092,[1]PlanCuentas!AA$2:AA$6092)</f>
        <v>0</v>
      </c>
      <c r="E1437" s="12">
        <f>LOOKUP(426050300,[1]PlanCuentas!$A$2:$A$6092,[1]PlanCuentas!AA$2:AA$6092)</f>
        <v>0</v>
      </c>
      <c r="F1437" s="12">
        <f>LOOKUP(426050400,[1]PlanCuentas!$A$2:$A$6092,[1]PlanCuentas!AA$2:AA$6092)</f>
        <v>0</v>
      </c>
      <c r="G1437" s="12">
        <f>LOOKUP(426050500,[1]PlanCuentas!$A$2:$A$6092,[1]PlanCuentas!AA$2:AA$6092)</f>
        <v>0</v>
      </c>
      <c r="H1437" s="12">
        <f>LOOKUP(426050600,[1]PlanCuentas!$A$2:$A$6092,[1]PlanCuentas!AA$2:AA$6092)</f>
        <v>0</v>
      </c>
      <c r="I1437" s="12">
        <f>LOOKUP(426050700,[1]PlanCuentas!$A$2:$A$6092,[1]PlanCuentas!AA$2:AA$6092)</f>
        <v>0</v>
      </c>
      <c r="J1437" s="12">
        <f>LOOKUP(426050800,[1]PlanCuentas!$A$2:$A$6092,[1]PlanCuentas!AA$2:AA$6092)</f>
        <v>0</v>
      </c>
      <c r="K1437" s="12">
        <f>LOOKUP(426050900,[1]PlanCuentas!$A$2:$A$6092,[1]PlanCuentas!AA$2:AA$6092)</f>
        <v>0</v>
      </c>
      <c r="L1437" s="12">
        <f>LOOKUP(426051000,[1]PlanCuentas!$A$2:$A$6092,[1]PlanCuentas!AA$2:AA$6092)</f>
        <v>0</v>
      </c>
      <c r="M1437" s="12">
        <f>LOOKUP(426051100,[1]PlanCuentas!$A$2:$A$6092,[1]PlanCuentas!AA$2:AA$6092)</f>
        <v>0</v>
      </c>
      <c r="N1437" s="12">
        <f>LOOKUP(426051200,[1]PlanCuentas!$A$2:$A$6092,[1]PlanCuentas!AA$2:AA$6092)</f>
        <v>0</v>
      </c>
      <c r="O1437" s="12">
        <f>LOOKUP(426051300,[1]PlanCuentas!$A$2:$A$6092,[1]PlanCuentas!AA$2:AA$6092)</f>
        <v>0</v>
      </c>
      <c r="P1437" s="12">
        <f>LOOKUP(426052000,[1]PlanCuentas!$A$2:$A$6092,[1]PlanCuentas!AA$2:AA$6092)</f>
        <v>0</v>
      </c>
      <c r="Q1437" s="13">
        <f t="shared" si="68"/>
        <v>0</v>
      </c>
    </row>
    <row r="1438" spans="1:17" x14ac:dyDescent="0.2">
      <c r="A1438" s="10">
        <v>26</v>
      </c>
      <c r="B1438" s="11" t="str">
        <f>[1]Aseguradoras!B27</f>
        <v>Aseguradora Del Este S.A de Seguros y Reaseguros</v>
      </c>
      <c r="C1438" s="12">
        <f>LOOKUP(426050100,[1]PlanCuentas!$A$2:$A$6092,[1]PlanCuentas!AB$2:AB$6092)</f>
        <v>0</v>
      </c>
      <c r="D1438" s="12">
        <f>LOOKUP(426050200,[1]PlanCuentas!$A$2:$A$6092,[1]PlanCuentas!AB$2:AB$6092)</f>
        <v>0</v>
      </c>
      <c r="E1438" s="12">
        <f>LOOKUP(426050300,[1]PlanCuentas!$A$2:$A$6092,[1]PlanCuentas!AB$2:AB$6092)</f>
        <v>0</v>
      </c>
      <c r="F1438" s="12">
        <f>LOOKUP(426050400,[1]PlanCuentas!$A$2:$A$6092,[1]PlanCuentas!AB$2:AB$6092)</f>
        <v>2312780</v>
      </c>
      <c r="G1438" s="12">
        <f>LOOKUP(426050500,[1]PlanCuentas!$A$2:$A$6092,[1]PlanCuentas!AB$2:AB$6092)</f>
        <v>0</v>
      </c>
      <c r="H1438" s="12">
        <f>LOOKUP(426050600,[1]PlanCuentas!$A$2:$A$6092,[1]PlanCuentas!AB$2:AB$6092)</f>
        <v>0</v>
      </c>
      <c r="I1438" s="12">
        <f>LOOKUP(426050700,[1]PlanCuentas!$A$2:$A$6092,[1]PlanCuentas!AB$2:AB$6092)</f>
        <v>0</v>
      </c>
      <c r="J1438" s="12">
        <f>LOOKUP(426050800,[1]PlanCuentas!$A$2:$A$6092,[1]PlanCuentas!AB$2:AB$6092)</f>
        <v>0</v>
      </c>
      <c r="K1438" s="12">
        <f>LOOKUP(426050900,[1]PlanCuentas!$A$2:$A$6092,[1]PlanCuentas!AB$2:AB$6092)</f>
        <v>0</v>
      </c>
      <c r="L1438" s="12">
        <f>LOOKUP(426051000,[1]PlanCuentas!$A$2:$A$6092,[1]PlanCuentas!AB$2:AB$6092)</f>
        <v>0</v>
      </c>
      <c r="M1438" s="12">
        <f>LOOKUP(426051100,[1]PlanCuentas!$A$2:$A$6092,[1]PlanCuentas!AB$2:AB$6092)</f>
        <v>0</v>
      </c>
      <c r="N1438" s="12">
        <f>LOOKUP(426051200,[1]PlanCuentas!$A$2:$A$6092,[1]PlanCuentas!AB$2:AB$6092)</f>
        <v>0</v>
      </c>
      <c r="O1438" s="12">
        <f>LOOKUP(426051300,[1]PlanCuentas!$A$2:$A$6092,[1]PlanCuentas!AB$2:AB$6092)</f>
        <v>0</v>
      </c>
      <c r="P1438" s="12">
        <f>LOOKUP(426052000,[1]PlanCuentas!$A$2:$A$6092,[1]PlanCuentas!AB$2:AB$6092)</f>
        <v>0</v>
      </c>
      <c r="Q1438" s="13">
        <f t="shared" si="68"/>
        <v>2312780</v>
      </c>
    </row>
    <row r="1439" spans="1:17" x14ac:dyDescent="0.2">
      <c r="A1439" s="10">
        <v>27</v>
      </c>
      <c r="B1439" s="11" t="str">
        <f>[1]Aseguradoras!B28</f>
        <v>Imperio S.A de Seguros y Reaseguros</v>
      </c>
      <c r="C1439" s="12">
        <f>LOOKUP(426050100,[1]PlanCuentas!$A$2:$A$6092,[1]PlanCuentas!AC$2:AC$6092)</f>
        <v>0</v>
      </c>
      <c r="D1439" s="12">
        <f>LOOKUP(426050200,[1]PlanCuentas!$A$2:$A$6092,[1]PlanCuentas!AC$2:AC$6092)</f>
        <v>0</v>
      </c>
      <c r="E1439" s="12">
        <f>LOOKUP(426050300,[1]PlanCuentas!$A$2:$A$6092,[1]PlanCuentas!AC$2:AC$6092)</f>
        <v>0</v>
      </c>
      <c r="F1439" s="12">
        <f>LOOKUP(426050400,[1]PlanCuentas!$A$2:$A$6092,[1]PlanCuentas!AC$2:AC$6092)</f>
        <v>0</v>
      </c>
      <c r="G1439" s="12">
        <f>LOOKUP(426050500,[1]PlanCuentas!$A$2:$A$6092,[1]PlanCuentas!AC$2:AC$6092)</f>
        <v>0</v>
      </c>
      <c r="H1439" s="12">
        <f>LOOKUP(426050600,[1]PlanCuentas!$A$2:$A$6092,[1]PlanCuentas!AC$2:AC$6092)</f>
        <v>0</v>
      </c>
      <c r="I1439" s="12">
        <f>LOOKUP(426050700,[1]PlanCuentas!$A$2:$A$6092,[1]PlanCuentas!AC$2:AC$6092)</f>
        <v>0</v>
      </c>
      <c r="J1439" s="12">
        <f>LOOKUP(426050800,[1]PlanCuentas!$A$2:$A$6092,[1]PlanCuentas!AC$2:AC$6092)</f>
        <v>0</v>
      </c>
      <c r="K1439" s="12">
        <f>LOOKUP(426050900,[1]PlanCuentas!$A$2:$A$6092,[1]PlanCuentas!AC$2:AC$6092)</f>
        <v>0</v>
      </c>
      <c r="L1439" s="12">
        <f>LOOKUP(426051000,[1]PlanCuentas!$A$2:$A$6092,[1]PlanCuentas!AC$2:AC$6092)</f>
        <v>0</v>
      </c>
      <c r="M1439" s="12">
        <f>LOOKUP(426051100,[1]PlanCuentas!$A$2:$A$6092,[1]PlanCuentas!AC$2:AC$6092)</f>
        <v>0</v>
      </c>
      <c r="N1439" s="12">
        <f>LOOKUP(426051200,[1]PlanCuentas!$A$2:$A$6092,[1]PlanCuentas!AC$2:AC$6092)</f>
        <v>0</v>
      </c>
      <c r="O1439" s="12">
        <f>LOOKUP(426051300,[1]PlanCuentas!$A$2:$A$6092,[1]PlanCuentas!AC$2:AC$6092)</f>
        <v>0</v>
      </c>
      <c r="P1439" s="12">
        <f>LOOKUP(426052000,[1]PlanCuentas!$A$2:$A$6092,[1]PlanCuentas!AC$2:AC$6092)</f>
        <v>0</v>
      </c>
      <c r="Q1439" s="13">
        <f t="shared" si="68"/>
        <v>0</v>
      </c>
    </row>
    <row r="1440" spans="1:17" x14ac:dyDescent="0.2">
      <c r="A1440" s="10">
        <v>28</v>
      </c>
      <c r="B1440" s="11" t="str">
        <f>[1]Aseguradoras!B29</f>
        <v>Regional S.A de Seguros y Reaseguros</v>
      </c>
      <c r="C1440" s="12">
        <f>LOOKUP(426050100,[1]PlanCuentas!$A$2:$A$6092,[1]PlanCuentas!AD$2:AD$6092)</f>
        <v>0</v>
      </c>
      <c r="D1440" s="12">
        <f>LOOKUP(426050200,[1]PlanCuentas!$A$2:$A$6092,[1]PlanCuentas!AD$2:AD$6092)</f>
        <v>0</v>
      </c>
      <c r="E1440" s="12">
        <f>LOOKUP(426050300,[1]PlanCuentas!$A$2:$A$6092,[1]PlanCuentas!AD$2:AD$6092)</f>
        <v>0</v>
      </c>
      <c r="F1440" s="12">
        <f>LOOKUP(426050400,[1]PlanCuentas!$A$2:$A$6092,[1]PlanCuentas!AD$2:AD$6092)</f>
        <v>0</v>
      </c>
      <c r="G1440" s="12">
        <f>LOOKUP(426050500,[1]PlanCuentas!$A$2:$A$6092,[1]PlanCuentas!AD$2:AD$6092)</f>
        <v>0</v>
      </c>
      <c r="H1440" s="12">
        <f>LOOKUP(426050600,[1]PlanCuentas!$A$2:$A$6092,[1]PlanCuentas!AD$2:AD$6092)</f>
        <v>0</v>
      </c>
      <c r="I1440" s="12">
        <f>LOOKUP(426050700,[1]PlanCuentas!$A$2:$A$6092,[1]PlanCuentas!AD$2:AD$6092)</f>
        <v>0</v>
      </c>
      <c r="J1440" s="12">
        <f>LOOKUP(426050800,[1]PlanCuentas!$A$2:$A$6092,[1]PlanCuentas!AD$2:AD$6092)</f>
        <v>0</v>
      </c>
      <c r="K1440" s="12">
        <f>LOOKUP(426050900,[1]PlanCuentas!$A$2:$A$6092,[1]PlanCuentas!AD$2:AD$6092)</f>
        <v>0</v>
      </c>
      <c r="L1440" s="12">
        <f>LOOKUP(426051000,[1]PlanCuentas!$A$2:$A$6092,[1]PlanCuentas!AD$2:AD$6092)</f>
        <v>0</v>
      </c>
      <c r="M1440" s="12">
        <f>LOOKUP(426051100,[1]PlanCuentas!$A$2:$A$6092,[1]PlanCuentas!AD$2:AD$6092)</f>
        <v>0</v>
      </c>
      <c r="N1440" s="12">
        <f>LOOKUP(426051200,[1]PlanCuentas!$A$2:$A$6092,[1]PlanCuentas!AD$2:AD$6092)</f>
        <v>0</v>
      </c>
      <c r="O1440" s="12">
        <f>LOOKUP(426051300,[1]PlanCuentas!$A$2:$A$6092,[1]PlanCuentas!AD$2:AD$6092)</f>
        <v>0</v>
      </c>
      <c r="P1440" s="12">
        <f>LOOKUP(426052000,[1]PlanCuentas!$A$2:$A$6092,[1]PlanCuentas!AD$2:AD$6092)</f>
        <v>0</v>
      </c>
      <c r="Q1440" s="13">
        <f t="shared" si="68"/>
        <v>0</v>
      </c>
    </row>
    <row r="1441" spans="1:17" s="37" customFormat="1" x14ac:dyDescent="0.2">
      <c r="A1441" s="10">
        <v>29</v>
      </c>
      <c r="B1441" s="11" t="str">
        <f>[1]Aseguradoras!B30</f>
        <v>Mapfre Paraguay Compañía de Seguros S.A.</v>
      </c>
      <c r="C1441" s="12">
        <f>LOOKUP(426050100,[1]PlanCuentas!$A$2:$A$6092,[1]PlanCuentas!AE$2:AE$6092)</f>
        <v>0</v>
      </c>
      <c r="D1441" s="12">
        <f>LOOKUP(426050200,[1]PlanCuentas!$A$2:$A$6092,[1]PlanCuentas!AE$2:AE$6092)</f>
        <v>0</v>
      </c>
      <c r="E1441" s="12">
        <f>LOOKUP(426050300,[1]PlanCuentas!$A$2:$A$6092,[1]PlanCuentas!AE$2:AE$6092)</f>
        <v>0</v>
      </c>
      <c r="F1441" s="12">
        <f>LOOKUP(426050400,[1]PlanCuentas!$A$2:$A$6092,[1]PlanCuentas!AE$2:AE$6092)</f>
        <v>0</v>
      </c>
      <c r="G1441" s="12">
        <f>LOOKUP(426050500,[1]PlanCuentas!$A$2:$A$6092,[1]PlanCuentas!AE$2:AE$6092)</f>
        <v>0</v>
      </c>
      <c r="H1441" s="12">
        <f>LOOKUP(426050600,[1]PlanCuentas!$A$2:$A$6092,[1]PlanCuentas!AE$2:AE$6092)</f>
        <v>0</v>
      </c>
      <c r="I1441" s="12">
        <f>LOOKUP(426050700,[1]PlanCuentas!$A$2:$A$6092,[1]PlanCuentas!AE$2:AE$6092)</f>
        <v>0</v>
      </c>
      <c r="J1441" s="12">
        <f>LOOKUP(426050800,[1]PlanCuentas!$A$2:$A$6092,[1]PlanCuentas!AE$2:AE$6092)</f>
        <v>0</v>
      </c>
      <c r="K1441" s="12">
        <f>LOOKUP(426050900,[1]PlanCuentas!$A$2:$A$6092,[1]PlanCuentas!AE$2:AE$6092)</f>
        <v>0</v>
      </c>
      <c r="L1441" s="12">
        <f>LOOKUP(426051000,[1]PlanCuentas!$A$2:$A$6092,[1]PlanCuentas!AE$2:AE$6092)</f>
        <v>0</v>
      </c>
      <c r="M1441" s="12">
        <f>LOOKUP(426051100,[1]PlanCuentas!$A$2:$A$6092,[1]PlanCuentas!AE$2:AE$6092)</f>
        <v>0</v>
      </c>
      <c r="N1441" s="12">
        <f>LOOKUP(426051200,[1]PlanCuentas!$A$2:$A$6092,[1]PlanCuentas!AE$2:AE$6092)</f>
        <v>0</v>
      </c>
      <c r="O1441" s="12">
        <f>LOOKUP(426051300,[1]PlanCuentas!$A$2:$A$6092,[1]PlanCuentas!AE$2:AE$6092)</f>
        <v>0</v>
      </c>
      <c r="P1441" s="12">
        <f>LOOKUP(426052000,[1]PlanCuentas!$A$2:$A$6092,[1]PlanCuentas!AE$2:AE$6092)</f>
        <v>0</v>
      </c>
      <c r="Q1441" s="13">
        <f t="shared" si="68"/>
        <v>0</v>
      </c>
    </row>
    <row r="1442" spans="1:17" s="37" customFormat="1" x14ac:dyDescent="0.2">
      <c r="A1442" s="10">
        <v>30</v>
      </c>
      <c r="B1442" s="11" t="str">
        <f>[1]Aseguradoras!B31</f>
        <v>Aseguradora Tajy Propiedad Cooperativa S.A. de Seguros</v>
      </c>
      <c r="C1442" s="12">
        <f>LOOKUP(426050100,[1]PlanCuentas!$A$2:$A$6092,[1]PlanCuentas!AF$2:AF$6092)</f>
        <v>0</v>
      </c>
      <c r="D1442" s="12">
        <f>LOOKUP(426050200,[1]PlanCuentas!$A$2:$A$6092,[1]PlanCuentas!AF$2:AF$6092)</f>
        <v>0</v>
      </c>
      <c r="E1442" s="12">
        <f>LOOKUP(426050300,[1]PlanCuentas!$A$2:$A$6092,[1]PlanCuentas!AF$2:AF$6092)</f>
        <v>0</v>
      </c>
      <c r="F1442" s="12">
        <f>LOOKUP(426050400,[1]PlanCuentas!$A$2:$A$6092,[1]PlanCuentas!AF$2:AF$6092)</f>
        <v>0</v>
      </c>
      <c r="G1442" s="12">
        <f>LOOKUP(426050500,[1]PlanCuentas!$A$2:$A$6092,[1]PlanCuentas!AF$2:AF$6092)</f>
        <v>0</v>
      </c>
      <c r="H1442" s="12">
        <f>LOOKUP(426050600,[1]PlanCuentas!$A$2:$A$6092,[1]PlanCuentas!AF$2:AF$6092)</f>
        <v>0</v>
      </c>
      <c r="I1442" s="12">
        <f>LOOKUP(426050700,[1]PlanCuentas!$A$2:$A$6092,[1]PlanCuentas!AF$2:AF$6092)</f>
        <v>0</v>
      </c>
      <c r="J1442" s="12">
        <f>LOOKUP(426050800,[1]PlanCuentas!$A$2:$A$6092,[1]PlanCuentas!AF$2:AF$6092)</f>
        <v>0</v>
      </c>
      <c r="K1442" s="12">
        <f>LOOKUP(426050900,[1]PlanCuentas!$A$2:$A$6092,[1]PlanCuentas!AF$2:AF$6092)</f>
        <v>0</v>
      </c>
      <c r="L1442" s="12">
        <f>LOOKUP(426051000,[1]PlanCuentas!$A$2:$A$6092,[1]PlanCuentas!AF$2:AF$6092)</f>
        <v>0</v>
      </c>
      <c r="M1442" s="12">
        <f>LOOKUP(426051100,[1]PlanCuentas!$A$2:$A$6092,[1]PlanCuentas!AF$2:AF$6092)</f>
        <v>0</v>
      </c>
      <c r="N1442" s="12">
        <f>LOOKUP(426051200,[1]PlanCuentas!$A$2:$A$6092,[1]PlanCuentas!AF$2:AF$6092)</f>
        <v>0</v>
      </c>
      <c r="O1442" s="12">
        <f>LOOKUP(426051300,[1]PlanCuentas!$A$2:$A$6092,[1]PlanCuentas!AF$2:AF$6092)</f>
        <v>0</v>
      </c>
      <c r="P1442" s="12">
        <f>LOOKUP(426052000,[1]PlanCuentas!$A$2:$A$6092,[1]PlanCuentas!AF$2:AF$6092)</f>
        <v>0</v>
      </c>
      <c r="Q1442" s="13">
        <f t="shared" si="68"/>
        <v>0</v>
      </c>
    </row>
    <row r="1443" spans="1:17" x14ac:dyDescent="0.2">
      <c r="A1443" s="10">
        <v>31</v>
      </c>
      <c r="B1443" s="11" t="str">
        <f>[1]Aseguradoras!B32</f>
        <v>Aseguradora del Sur S.A. Seguros Generales - ASUR</v>
      </c>
      <c r="C1443" s="12">
        <f>LOOKUP(426050100,[1]PlanCuentas!$A$2:$A$6092,[1]PlanCuentas!AG$2:AG$6092)</f>
        <v>0</v>
      </c>
      <c r="D1443" s="12">
        <f>LOOKUP(426050200,[1]PlanCuentas!$A$2:$A$6092,[1]PlanCuentas!AG$2:AG$6092)</f>
        <v>0</v>
      </c>
      <c r="E1443" s="12">
        <f>LOOKUP(426050300,[1]PlanCuentas!$A$2:$A$6092,[1]PlanCuentas!AG$2:AG$6092)</f>
        <v>0</v>
      </c>
      <c r="F1443" s="12">
        <f>LOOKUP(426050400,[1]PlanCuentas!$A$2:$A$6092,[1]PlanCuentas!AG$2:AG$6092)</f>
        <v>0</v>
      </c>
      <c r="G1443" s="12">
        <f>LOOKUP(426050500,[1]PlanCuentas!$A$2:$A$6092,[1]PlanCuentas!AG$2:AG$6092)</f>
        <v>0</v>
      </c>
      <c r="H1443" s="12">
        <f>LOOKUP(426050600,[1]PlanCuentas!$A$2:$A$6092,[1]PlanCuentas!AG$2:AG$6092)</f>
        <v>0</v>
      </c>
      <c r="I1443" s="12">
        <f>LOOKUP(426050700,[1]PlanCuentas!$A$2:$A$6092,[1]PlanCuentas!AG$2:AG$6092)</f>
        <v>0</v>
      </c>
      <c r="J1443" s="12">
        <f>LOOKUP(426050800,[1]PlanCuentas!$A$2:$A$6092,[1]PlanCuentas!AG$2:AG$6092)</f>
        <v>0</v>
      </c>
      <c r="K1443" s="12">
        <f>LOOKUP(426050900,[1]PlanCuentas!$A$2:$A$6092,[1]PlanCuentas!AG$2:AG$6092)</f>
        <v>0</v>
      </c>
      <c r="L1443" s="12">
        <f>LOOKUP(426051000,[1]PlanCuentas!$A$2:$A$6092,[1]PlanCuentas!AG$2:AG$6092)</f>
        <v>0</v>
      </c>
      <c r="M1443" s="12">
        <f>LOOKUP(426051100,[1]PlanCuentas!$A$2:$A$6092,[1]PlanCuentas!AG$2:AG$6092)</f>
        <v>0</v>
      </c>
      <c r="N1443" s="12">
        <f>LOOKUP(426051200,[1]PlanCuentas!$A$2:$A$6092,[1]PlanCuentas!AG$2:AG$6092)</f>
        <v>0</v>
      </c>
      <c r="O1443" s="12">
        <f>LOOKUP(426051300,[1]PlanCuentas!$A$2:$A$6092,[1]PlanCuentas!AG$2:AG$6092)</f>
        <v>0</v>
      </c>
      <c r="P1443" s="12">
        <f>LOOKUP(426052000,[1]PlanCuentas!$A$2:$A$6092,[1]PlanCuentas!AG$2:AG$6092)</f>
        <v>0</v>
      </c>
      <c r="Q1443" s="13">
        <f t="shared" si="68"/>
        <v>0</v>
      </c>
    </row>
    <row r="1444" spans="1:17" x14ac:dyDescent="0.2">
      <c r="A1444" s="10">
        <v>32</v>
      </c>
      <c r="B1444" s="11" t="str">
        <f>[1]Aseguradoras!B33</f>
        <v>Panal Compañía De Seguros Generales S.A.</v>
      </c>
      <c r="C1444" s="12">
        <f>LOOKUP(426050100,[1]PlanCuentas!$A$2:$A$6092,[1]PlanCuentas!AH$2:AH$6092)</f>
        <v>0</v>
      </c>
      <c r="D1444" s="12">
        <f>LOOKUP(426050200,[1]PlanCuentas!$A$2:$A$6092,[1]PlanCuentas!AH$2:AH$6092)</f>
        <v>0</v>
      </c>
      <c r="E1444" s="12">
        <f>LOOKUP(426050300,[1]PlanCuentas!$A$2:$A$6092,[1]PlanCuentas!AH$2:AH$6092)</f>
        <v>0</v>
      </c>
      <c r="F1444" s="12">
        <f>LOOKUP(426050400,[1]PlanCuentas!$A$2:$A$6092,[1]PlanCuentas!AH$2:AH$6092)</f>
        <v>0</v>
      </c>
      <c r="G1444" s="12">
        <f>LOOKUP(426050500,[1]PlanCuentas!$A$2:$A$6092,[1]PlanCuentas!AH$2:AH$6092)</f>
        <v>0</v>
      </c>
      <c r="H1444" s="12">
        <f>LOOKUP(426050600,[1]PlanCuentas!$A$2:$A$6092,[1]PlanCuentas!AH$2:AH$6092)</f>
        <v>0</v>
      </c>
      <c r="I1444" s="12">
        <f>LOOKUP(426050700,[1]PlanCuentas!$A$2:$A$6092,[1]PlanCuentas!AH$2:AH$6092)</f>
        <v>0</v>
      </c>
      <c r="J1444" s="12">
        <f>LOOKUP(426050800,[1]PlanCuentas!$A$2:$A$6092,[1]PlanCuentas!AH$2:AH$6092)</f>
        <v>0</v>
      </c>
      <c r="K1444" s="12">
        <f>LOOKUP(426050900,[1]PlanCuentas!$A$2:$A$6092,[1]PlanCuentas!AH$2:AH$6092)</f>
        <v>0</v>
      </c>
      <c r="L1444" s="12">
        <f>LOOKUP(426051000,[1]PlanCuentas!$A$2:$A$6092,[1]PlanCuentas!AH$2:AH$6092)</f>
        <v>0</v>
      </c>
      <c r="M1444" s="12">
        <f>LOOKUP(426051100,[1]PlanCuentas!$A$2:$A$6092,[1]PlanCuentas!AH$2:AH$6092)</f>
        <v>0</v>
      </c>
      <c r="N1444" s="12">
        <f>LOOKUP(426051200,[1]PlanCuentas!$A$2:$A$6092,[1]PlanCuentas!AH$2:AH$6092)</f>
        <v>0</v>
      </c>
      <c r="O1444" s="12">
        <f>LOOKUP(426051300,[1]PlanCuentas!$A$2:$A$6092,[1]PlanCuentas!AH$2:AH$6092)</f>
        <v>0</v>
      </c>
      <c r="P1444" s="12">
        <f>LOOKUP(426052000,[1]PlanCuentas!$A$2:$A$6092,[1]PlanCuentas!AH$2:AH$6092)</f>
        <v>0</v>
      </c>
      <c r="Q1444" s="13">
        <f t="shared" si="68"/>
        <v>0</v>
      </c>
    </row>
    <row r="1445" spans="1:17" x14ac:dyDescent="0.2">
      <c r="A1445" s="14">
        <v>33</v>
      </c>
      <c r="B1445" s="19" t="str">
        <f>[1]Aseguradoras!B34</f>
        <v>Sancor Seguros del Paraguay S.A.</v>
      </c>
      <c r="C1445" s="12">
        <f>LOOKUP(426050100,[1]PlanCuentas!$A$2:$A$6092,[1]PlanCuentas!AI$2:AI$6092)</f>
        <v>0</v>
      </c>
      <c r="D1445" s="12">
        <f>LOOKUP(426050200,[1]PlanCuentas!$A$2:$A$6092,[1]PlanCuentas!AI$2:AI$6092)</f>
        <v>0</v>
      </c>
      <c r="E1445" s="12">
        <f>LOOKUP(426050300,[1]PlanCuentas!$A$2:$A$6092,[1]PlanCuentas!AI$2:AI$6092)</f>
        <v>0</v>
      </c>
      <c r="F1445" s="12">
        <f>LOOKUP(426050400,[1]PlanCuentas!$A$2:$A$6092,[1]PlanCuentas!AI$2:AI$6092)</f>
        <v>0</v>
      </c>
      <c r="G1445" s="12">
        <f>LOOKUP(426050500,[1]PlanCuentas!$A$2:$A$6092,[1]PlanCuentas!AI$2:AI$6092)</f>
        <v>0</v>
      </c>
      <c r="H1445" s="12">
        <f>LOOKUP(426050600,[1]PlanCuentas!$A$2:$A$6092,[1]PlanCuentas!AI$2:AI$6092)</f>
        <v>0</v>
      </c>
      <c r="I1445" s="12">
        <f>LOOKUP(426050700,[1]PlanCuentas!$A$2:$A$6092,[1]PlanCuentas!AI$2:AI$6092)</f>
        <v>0</v>
      </c>
      <c r="J1445" s="12">
        <f>LOOKUP(426050800,[1]PlanCuentas!$A$2:$A$6092,[1]PlanCuentas!AI$2:AI$6092)</f>
        <v>0</v>
      </c>
      <c r="K1445" s="12">
        <f>LOOKUP(426050900,[1]PlanCuentas!$A$2:$A$6092,[1]PlanCuentas!AI$2:AI$6092)</f>
        <v>0</v>
      </c>
      <c r="L1445" s="12">
        <f>LOOKUP(426051000,[1]PlanCuentas!$A$2:$A$6092,[1]PlanCuentas!AI$2:AI$6092)</f>
        <v>0</v>
      </c>
      <c r="M1445" s="12">
        <f>LOOKUP(426051100,[1]PlanCuentas!$A$2:$A$6092,[1]PlanCuentas!AI$2:AI$6092)</f>
        <v>0</v>
      </c>
      <c r="N1445" s="12">
        <f>LOOKUP(426051200,[1]PlanCuentas!$A$2:$A$6092,[1]PlanCuentas!AI$2:AI$6092)</f>
        <v>0</v>
      </c>
      <c r="O1445" s="12">
        <f>LOOKUP(426051300,[1]PlanCuentas!$A$2:$A$6092,[1]PlanCuentas!AI$2:AI$6092)</f>
        <v>0</v>
      </c>
      <c r="P1445" s="12">
        <f>LOOKUP(426052000,[1]PlanCuentas!$A$2:$A$6092,[1]PlanCuentas!AI$2:AI$6092)</f>
        <v>0</v>
      </c>
      <c r="Q1445" s="13">
        <f>SUM(C1445:P1445)</f>
        <v>0</v>
      </c>
    </row>
    <row r="1446" spans="1:17" x14ac:dyDescent="0.2">
      <c r="A1446" s="14"/>
      <c r="B1446" s="15" t="s">
        <v>18</v>
      </c>
      <c r="C1446" s="17">
        <f t="shared" ref="C1446:Q1446" si="69">SUBTOTAL(109,C1413:C1445)</f>
        <v>0</v>
      </c>
      <c r="D1446" s="17">
        <f t="shared" si="69"/>
        <v>0</v>
      </c>
      <c r="E1446" s="17">
        <f t="shared" si="69"/>
        <v>0</v>
      </c>
      <c r="F1446" s="17">
        <f t="shared" si="69"/>
        <v>3020296</v>
      </c>
      <c r="G1446" s="17">
        <f t="shared" si="69"/>
        <v>0</v>
      </c>
      <c r="H1446" s="17">
        <f t="shared" si="69"/>
        <v>0</v>
      </c>
      <c r="I1446" s="17">
        <f t="shared" si="69"/>
        <v>0</v>
      </c>
      <c r="J1446" s="17">
        <f t="shared" si="69"/>
        <v>0</v>
      </c>
      <c r="K1446" s="17">
        <f t="shared" si="69"/>
        <v>0</v>
      </c>
      <c r="L1446" s="17">
        <f t="shared" si="69"/>
        <v>0</v>
      </c>
      <c r="M1446" s="17">
        <f t="shared" si="69"/>
        <v>0</v>
      </c>
      <c r="N1446" s="17">
        <f t="shared" si="69"/>
        <v>0</v>
      </c>
      <c r="O1446" s="17">
        <f t="shared" si="69"/>
        <v>0</v>
      </c>
      <c r="P1446" s="17">
        <f t="shared" si="69"/>
        <v>0</v>
      </c>
      <c r="Q1446" s="17">
        <f t="shared" si="69"/>
        <v>3020296</v>
      </c>
    </row>
    <row r="1447" spans="1:17" x14ac:dyDescent="0.2">
      <c r="D1447" s="5"/>
    </row>
    <row r="1448" spans="1:17" ht="28.35" customHeight="1" x14ac:dyDescent="0.2">
      <c r="A1448" s="1" t="s">
        <v>78</v>
      </c>
      <c r="B1448" s="47" t="s">
        <v>86</v>
      </c>
      <c r="C1448" s="47"/>
      <c r="D1448" s="2"/>
    </row>
    <row r="1449" spans="1:17" ht="24" x14ac:dyDescent="0.2">
      <c r="A1449" s="7" t="s">
        <v>2</v>
      </c>
      <c r="B1449" s="8" t="s">
        <v>3</v>
      </c>
      <c r="C1449" s="9" t="s">
        <v>87</v>
      </c>
      <c r="D1449" s="8" t="s">
        <v>18</v>
      </c>
    </row>
    <row r="1450" spans="1:17" x14ac:dyDescent="0.2">
      <c r="A1450" s="10">
        <v>1</v>
      </c>
      <c r="B1450" s="11" t="str">
        <f>[1]Aseguradoras!B2</f>
        <v>El Comercio Paraguayo S.A. de Seguros</v>
      </c>
      <c r="C1450" s="12">
        <f>LOOKUP(426060100,[1]PlanCuentas!$A$2:$A$6092,[1]PlanCuentas!C$2:C$6092)</f>
        <v>0</v>
      </c>
      <c r="D1450" s="12">
        <f>SUM(C1450)</f>
        <v>0</v>
      </c>
    </row>
    <row r="1451" spans="1:17" x14ac:dyDescent="0.2">
      <c r="A1451" s="10">
        <v>2</v>
      </c>
      <c r="B1451" s="11" t="str">
        <f>[1]Aseguradoras!B3</f>
        <v>La Rural S.A de Seguros</v>
      </c>
      <c r="C1451" s="12">
        <f>LOOKUP(426060100,[1]PlanCuentas!$A$2:$A$6092,[1]PlanCuentas!D$2:D$6092)</f>
        <v>0</v>
      </c>
      <c r="D1451" s="12">
        <f t="shared" ref="D1451:D1482" si="70">SUM(C1451)</f>
        <v>0</v>
      </c>
    </row>
    <row r="1452" spans="1:17" x14ac:dyDescent="0.2">
      <c r="A1452" s="10">
        <v>3</v>
      </c>
      <c r="B1452" s="11" t="str">
        <f>[1]Aseguradoras!B4</f>
        <v>La Paraguaya S.A de Seguros</v>
      </c>
      <c r="C1452" s="12">
        <f>LOOKUP(426060100,[1]PlanCuentas!$A$2:$A$6092,[1]PlanCuentas!E$2:E$6092)</f>
        <v>0</v>
      </c>
      <c r="D1452" s="12">
        <f t="shared" si="70"/>
        <v>0</v>
      </c>
    </row>
    <row r="1453" spans="1:17" x14ac:dyDescent="0.2">
      <c r="A1453" s="10">
        <v>4</v>
      </c>
      <c r="B1453" s="11" t="str">
        <f>[1]Aseguradoras!B5</f>
        <v>Seguros Generales S. A (SEGESA)</v>
      </c>
      <c r="C1453" s="12">
        <f>LOOKUP(426060100,[1]PlanCuentas!$A$2:$A$6092,[1]PlanCuentas!F$2:F$6092)</f>
        <v>0</v>
      </c>
      <c r="D1453" s="12">
        <f t="shared" si="70"/>
        <v>0</v>
      </c>
    </row>
    <row r="1454" spans="1:17" x14ac:dyDescent="0.2">
      <c r="A1454" s="10">
        <v>5</v>
      </c>
      <c r="B1454" s="11" t="str">
        <f>[1]Aseguradoras!B6</f>
        <v>Rumbos S.A de Seguros</v>
      </c>
      <c r="C1454" s="12">
        <f>LOOKUP(426060100,[1]PlanCuentas!$A$2:$A$6092,[1]PlanCuentas!G$2:G$6092)</f>
        <v>0</v>
      </c>
      <c r="D1454" s="12">
        <f t="shared" si="70"/>
        <v>0</v>
      </c>
    </row>
    <row r="1455" spans="1:17" x14ac:dyDescent="0.2">
      <c r="A1455" s="10">
        <v>6</v>
      </c>
      <c r="B1455" s="11" t="str">
        <f>[1]Aseguradoras!B7</f>
        <v>La Consolidada S.A de Seguros</v>
      </c>
      <c r="C1455" s="12">
        <f>LOOKUP(426060100,[1]PlanCuentas!$A$2:$A$6092,[1]PlanCuentas!H$2:H$6092)</f>
        <v>0</v>
      </c>
      <c r="D1455" s="12">
        <f t="shared" si="70"/>
        <v>0</v>
      </c>
    </row>
    <row r="1456" spans="1:17" x14ac:dyDescent="0.2">
      <c r="A1456" s="10">
        <v>7</v>
      </c>
      <c r="B1456" s="11" t="str">
        <f>[1]Aseguradoras!B8</f>
        <v>El Productor S.A de Seguros y Reaseguros</v>
      </c>
      <c r="C1456" s="12">
        <f>LOOKUP(426060100,[1]PlanCuentas!$A$2:$A$6092,[1]PlanCuentas!I$2:I$6092)</f>
        <v>0</v>
      </c>
      <c r="D1456" s="12">
        <f t="shared" si="70"/>
        <v>0</v>
      </c>
    </row>
    <row r="1457" spans="1:4" x14ac:dyDescent="0.2">
      <c r="A1457" s="10">
        <v>8</v>
      </c>
      <c r="B1457" s="11" t="str">
        <f>[1]Aseguradoras!B9</f>
        <v>Atalaya S.A de Seguros Generales</v>
      </c>
      <c r="C1457" s="12">
        <f>LOOKUP(426060100,[1]PlanCuentas!$A$2:$A$6092,[1]PlanCuentas!J$2:J$6092)</f>
        <v>0</v>
      </c>
      <c r="D1457" s="12">
        <f t="shared" si="70"/>
        <v>0</v>
      </c>
    </row>
    <row r="1458" spans="1:4" x14ac:dyDescent="0.2">
      <c r="A1458" s="10">
        <v>9</v>
      </c>
      <c r="B1458" s="11" t="str">
        <f>[1]Aseguradoras!B10</f>
        <v>La Independencia de Seguros S.A.</v>
      </c>
      <c r="C1458" s="12">
        <f>LOOKUP(426060100,[1]PlanCuentas!$A$2:$A$6092,[1]PlanCuentas!K$2:K$6092)</f>
        <v>0</v>
      </c>
      <c r="D1458" s="12">
        <f t="shared" si="70"/>
        <v>0</v>
      </c>
    </row>
    <row r="1459" spans="1:4" x14ac:dyDescent="0.2">
      <c r="A1459" s="10">
        <v>10</v>
      </c>
      <c r="B1459" s="11" t="str">
        <f>[1]Aseguradoras!B11</f>
        <v>Patria S.A de Seguros y Reaseguros</v>
      </c>
      <c r="C1459" s="12">
        <f>LOOKUP(426060100,[1]PlanCuentas!$A$2:$A$6092,[1]PlanCuentas!L$2:L$6092)</f>
        <v>0</v>
      </c>
      <c r="D1459" s="12">
        <f t="shared" si="70"/>
        <v>0</v>
      </c>
    </row>
    <row r="1460" spans="1:4" x14ac:dyDescent="0.2">
      <c r="A1460" s="10">
        <v>11</v>
      </c>
      <c r="B1460" s="11" t="str">
        <f>[1]Aseguradoras!B12</f>
        <v>Garantía S.A de Seguros y Reaseguros</v>
      </c>
      <c r="C1460" s="12">
        <f>LOOKUP(426060100,[1]PlanCuentas!$A$2:$A$6092,[1]PlanCuentas!M$2:M$6092)</f>
        <v>0</v>
      </c>
      <c r="D1460" s="12">
        <f t="shared" si="70"/>
        <v>0</v>
      </c>
    </row>
    <row r="1461" spans="1:4" x14ac:dyDescent="0.2">
      <c r="A1461" s="10">
        <v>12</v>
      </c>
      <c r="B1461" s="11" t="str">
        <f>[1]Aseguradoras!B13</f>
        <v>Aseguradora Paraguaya S.A.</v>
      </c>
      <c r="C1461" s="12">
        <f>LOOKUP(426060100,[1]PlanCuentas!$A$2:$A$6092,[1]PlanCuentas!N$2:N$6092)</f>
        <v>0</v>
      </c>
      <c r="D1461" s="12">
        <f t="shared" si="70"/>
        <v>0</v>
      </c>
    </row>
    <row r="1462" spans="1:4" x14ac:dyDescent="0.2">
      <c r="A1462" s="10">
        <v>13</v>
      </c>
      <c r="B1462" s="11" t="str">
        <f>[1]Aseguradoras!B14</f>
        <v>Fénix S.A de Seguros y Reaseguros</v>
      </c>
      <c r="C1462" s="12">
        <f>LOOKUP(426060100,[1]PlanCuentas!$A$2:$A$6092,[1]PlanCuentas!O$2:O$6092)</f>
        <v>0</v>
      </c>
      <c r="D1462" s="12">
        <f t="shared" si="70"/>
        <v>0</v>
      </c>
    </row>
    <row r="1463" spans="1:4" x14ac:dyDescent="0.2">
      <c r="A1463" s="10">
        <v>14</v>
      </c>
      <c r="B1463" s="11" t="str">
        <f>[1]Aseguradoras!B15</f>
        <v>Central S.A de Seguros</v>
      </c>
      <c r="C1463" s="12">
        <f>LOOKUP(426060100,[1]PlanCuentas!$A$2:$A$6092,[1]PlanCuentas!P$2:P$6092)</f>
        <v>0</v>
      </c>
      <c r="D1463" s="12">
        <f t="shared" si="70"/>
        <v>0</v>
      </c>
    </row>
    <row r="1464" spans="1:4" x14ac:dyDescent="0.2">
      <c r="A1464" s="10">
        <v>15</v>
      </c>
      <c r="B1464" s="11" t="str">
        <f>[1]Aseguradoras!B16</f>
        <v>Seguros Chaco S.A de Seguros y Reaseguros</v>
      </c>
      <c r="C1464" s="12">
        <f>LOOKUP(426060100,[1]PlanCuentas!$A$2:$A$6092,[1]PlanCuentas!Q$2:Q$6092)</f>
        <v>0</v>
      </c>
      <c r="D1464" s="12">
        <f t="shared" si="70"/>
        <v>0</v>
      </c>
    </row>
    <row r="1465" spans="1:4" x14ac:dyDescent="0.2">
      <c r="A1465" s="10">
        <v>16</v>
      </c>
      <c r="B1465" s="11" t="str">
        <f>[1]Aseguradoras!B17</f>
        <v>El Sol Del Paraguay Compañía de Seguros y Reaseguros S.A.</v>
      </c>
      <c r="C1465" s="12">
        <f>LOOKUP(426060100,[1]PlanCuentas!$A$2:$A$6092,[1]PlanCuentas!R$2:R$6092)</f>
        <v>8759117</v>
      </c>
      <c r="D1465" s="12">
        <f t="shared" si="70"/>
        <v>8759117</v>
      </c>
    </row>
    <row r="1466" spans="1:4" x14ac:dyDescent="0.2">
      <c r="A1466" s="10">
        <v>17</v>
      </c>
      <c r="B1466" s="11" t="str">
        <f>[1]Aseguradoras!B18</f>
        <v>Intercontinental de Seguros y Reaseguros S.A.</v>
      </c>
      <c r="C1466" s="12">
        <f>LOOKUP(426060100,[1]PlanCuentas!$A$2:$A$6092,[1]PlanCuentas!S$2:S$6092)</f>
        <v>0</v>
      </c>
      <c r="D1466" s="12">
        <f t="shared" si="70"/>
        <v>0</v>
      </c>
    </row>
    <row r="1467" spans="1:4" x14ac:dyDescent="0.2">
      <c r="A1467" s="10">
        <v>18</v>
      </c>
      <c r="B1467" s="11" t="str">
        <f>[1]Aseguradoras!B19</f>
        <v>Seguridad S.A Compañía de Seguros</v>
      </c>
      <c r="C1467" s="12">
        <f>LOOKUP(426060100,[1]PlanCuentas!$A$2:$A$6092,[1]PlanCuentas!T$2:T$6092)</f>
        <v>0</v>
      </c>
      <c r="D1467" s="12">
        <f t="shared" si="70"/>
        <v>0</v>
      </c>
    </row>
    <row r="1468" spans="1:4" x14ac:dyDescent="0.2">
      <c r="A1468" s="10">
        <v>19</v>
      </c>
      <c r="B1468" s="11" t="str">
        <f>[1]Aseguradoras!B20</f>
        <v>Universo de Seguros y Reaseguros S.A.</v>
      </c>
      <c r="C1468" s="12">
        <f>LOOKUP(426060100,[1]PlanCuentas!$A$2:$A$6092,[1]PlanCuentas!U$2:U$6092)</f>
        <v>0</v>
      </c>
      <c r="D1468" s="12">
        <f t="shared" si="70"/>
        <v>0</v>
      </c>
    </row>
    <row r="1469" spans="1:4" x14ac:dyDescent="0.2">
      <c r="A1469" s="10">
        <v>20</v>
      </c>
      <c r="B1469" s="11" t="str">
        <f>[1]Aseguradoras!B21</f>
        <v>Aseguradora Yacyreta S.A de Seguros y Reaseguros</v>
      </c>
      <c r="C1469" s="12">
        <f>LOOKUP(426060100,[1]PlanCuentas!$A$2:$A$6092,[1]PlanCuentas!V$2:V$6092)</f>
        <v>0</v>
      </c>
      <c r="D1469" s="12">
        <f t="shared" si="70"/>
        <v>0</v>
      </c>
    </row>
    <row r="1470" spans="1:4" x14ac:dyDescent="0.2">
      <c r="A1470" s="10">
        <v>21</v>
      </c>
      <c r="B1470" s="11" t="str">
        <f>[1]Aseguradoras!B22</f>
        <v>La Agricola S.A de Seguros y Reaseguros</v>
      </c>
      <c r="C1470" s="12">
        <f>LOOKUP(426060100,[1]PlanCuentas!$A$2:$A$6092,[1]PlanCuentas!W$2:W$6092)</f>
        <v>0</v>
      </c>
      <c r="D1470" s="12">
        <f t="shared" si="70"/>
        <v>0</v>
      </c>
    </row>
    <row r="1471" spans="1:4" x14ac:dyDescent="0.2">
      <c r="A1471" s="10">
        <v>22</v>
      </c>
      <c r="B1471" s="11" t="str">
        <f>[1]Aseguradoras!B23</f>
        <v>Grupo General de Seguros y Reaseguros S.A.</v>
      </c>
      <c r="C1471" s="12">
        <f>LOOKUP(426060100,[1]PlanCuentas!$A$2:$A$6092,[1]PlanCuentas!X$2:X$6092)</f>
        <v>0</v>
      </c>
      <c r="D1471" s="12">
        <f t="shared" si="70"/>
        <v>0</v>
      </c>
    </row>
    <row r="1472" spans="1:4" x14ac:dyDescent="0.2">
      <c r="A1472" s="10">
        <v>23</v>
      </c>
      <c r="B1472" s="11" t="str">
        <f>[1]Aseguradoras!B24</f>
        <v>Alfa S.A de Seguros y Reaseguros</v>
      </c>
      <c r="C1472" s="12">
        <f>LOOKUP(426060100,[1]PlanCuentas!$A$2:$A$6092,[1]PlanCuentas!Y$2:Y$6092)</f>
        <v>0</v>
      </c>
      <c r="D1472" s="12">
        <f t="shared" si="70"/>
        <v>0</v>
      </c>
    </row>
    <row r="1473" spans="1:20" x14ac:dyDescent="0.2">
      <c r="A1473" s="10">
        <v>24</v>
      </c>
      <c r="B1473" s="11" t="str">
        <f>[1]Aseguradoras!B25</f>
        <v>Cenit de Seguros S.A.</v>
      </c>
      <c r="C1473" s="23">
        <f>LOOKUP(426060100,[1]PlanCuentas!$A$2:$A$6092,[1]PlanCuentas!Z$2:Z$6092)</f>
        <v>0</v>
      </c>
      <c r="D1473" s="12">
        <f t="shared" si="70"/>
        <v>0</v>
      </c>
    </row>
    <row r="1474" spans="1:20" x14ac:dyDescent="0.2">
      <c r="A1474" s="10">
        <v>25</v>
      </c>
      <c r="B1474" s="11" t="str">
        <f>[1]Aseguradoras!B26</f>
        <v>La Meridional Paraguaya S.A de Seguros</v>
      </c>
      <c r="C1474" s="23">
        <f>LOOKUP(426060100,[1]PlanCuentas!$A$2:$A$6092,[1]PlanCuentas!AA$2:AA$6092)</f>
        <v>0</v>
      </c>
      <c r="D1474" s="12">
        <f t="shared" si="70"/>
        <v>0</v>
      </c>
    </row>
    <row r="1475" spans="1:20" x14ac:dyDescent="0.2">
      <c r="A1475" s="10">
        <v>26</v>
      </c>
      <c r="B1475" s="11" t="str">
        <f>[1]Aseguradoras!B27</f>
        <v>Aseguradora Del Este S.A de Seguros y Reaseguros</v>
      </c>
      <c r="C1475" s="23">
        <f>LOOKUP(426060100,[1]PlanCuentas!$A$2:$A$6092,[1]PlanCuentas!AB$2:AB$6092)</f>
        <v>10066950</v>
      </c>
      <c r="D1475" s="12">
        <f t="shared" si="70"/>
        <v>10066950</v>
      </c>
    </row>
    <row r="1476" spans="1:20" x14ac:dyDescent="0.2">
      <c r="A1476" s="10">
        <v>27</v>
      </c>
      <c r="B1476" s="11" t="str">
        <f>[1]Aseguradoras!B28</f>
        <v>Imperio S.A de Seguros y Reaseguros</v>
      </c>
      <c r="C1476" s="12">
        <f>LOOKUP(426060100,[1]PlanCuentas!$A$2:$A$6092,[1]PlanCuentas!AC$2:AC$6092)</f>
        <v>0</v>
      </c>
      <c r="D1476" s="12">
        <f t="shared" si="70"/>
        <v>0</v>
      </c>
    </row>
    <row r="1477" spans="1:20" x14ac:dyDescent="0.2">
      <c r="A1477" s="10">
        <v>28</v>
      </c>
      <c r="B1477" s="11" t="str">
        <f>[1]Aseguradoras!B29</f>
        <v>Regional S.A de Seguros y Reaseguros</v>
      </c>
      <c r="C1477" s="12">
        <f>LOOKUP(426060100,[1]PlanCuentas!$A$2:$A$6092,[1]PlanCuentas!AD$2:AD$6092)</f>
        <v>0</v>
      </c>
      <c r="D1477" s="12">
        <f t="shared" si="70"/>
        <v>0</v>
      </c>
    </row>
    <row r="1478" spans="1:20" s="37" customFormat="1" x14ac:dyDescent="0.2">
      <c r="A1478" s="10">
        <v>29</v>
      </c>
      <c r="B1478" s="11" t="str">
        <f>[1]Aseguradoras!B30</f>
        <v>Mapfre Paraguay Compañía de Seguros S.A.</v>
      </c>
      <c r="C1478" s="12">
        <f>LOOKUP(426060100,[1]PlanCuentas!$A$2:$A$6092,[1]PlanCuentas!AE$2:AE$6092)</f>
        <v>0</v>
      </c>
      <c r="D1478" s="12">
        <f t="shared" si="70"/>
        <v>0</v>
      </c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20" x14ac:dyDescent="0.2">
      <c r="A1479" s="10">
        <v>30</v>
      </c>
      <c r="B1479" s="11" t="str">
        <f>[1]Aseguradoras!B31</f>
        <v>Aseguradora Tajy Propiedad Cooperativa S.A. de Seguros</v>
      </c>
      <c r="C1479" s="12">
        <f>LOOKUP(426060100,[1]PlanCuentas!$A$2:$A$6092,[1]PlanCuentas!AF$2:AF$6092)</f>
        <v>0</v>
      </c>
      <c r="D1479" s="12">
        <f t="shared" si="70"/>
        <v>0</v>
      </c>
    </row>
    <row r="1480" spans="1:20" x14ac:dyDescent="0.2">
      <c r="A1480" s="10">
        <v>31</v>
      </c>
      <c r="B1480" s="11" t="str">
        <f>[1]Aseguradoras!B32</f>
        <v>Aseguradora del Sur S.A. Seguros Generales - ASUR</v>
      </c>
      <c r="C1480" s="12">
        <f>LOOKUP(426060100,[1]PlanCuentas!$A$2:$A$6092,[1]PlanCuentas!AG$2:AG$6092)</f>
        <v>0</v>
      </c>
      <c r="D1480" s="12">
        <f t="shared" si="70"/>
        <v>0</v>
      </c>
      <c r="R1480" s="5"/>
      <c r="S1480" s="5"/>
      <c r="T1480" s="5"/>
    </row>
    <row r="1481" spans="1:20" x14ac:dyDescent="0.2">
      <c r="A1481" s="10">
        <v>32</v>
      </c>
      <c r="B1481" s="11" t="str">
        <f>[1]Aseguradoras!B33</f>
        <v>Panal Compañía De Seguros Generales S.A.</v>
      </c>
      <c r="C1481" s="12">
        <f>LOOKUP(426060100,[1]PlanCuentas!$A$2:$A$6092,[1]PlanCuentas!AH$2:AH$6092)</f>
        <v>0</v>
      </c>
      <c r="D1481" s="12">
        <f t="shared" si="70"/>
        <v>0</v>
      </c>
    </row>
    <row r="1482" spans="1:20" x14ac:dyDescent="0.2">
      <c r="A1482" s="14">
        <v>33</v>
      </c>
      <c r="B1482" s="19" t="str">
        <f>[1]Aseguradoras!B34</f>
        <v>Sancor Seguros del Paraguay S.A.</v>
      </c>
      <c r="C1482" s="12">
        <f>LOOKUP(426060100,[1]PlanCuentas!$A$2:$A$6092,[1]PlanCuentas!AI$2:AI$6092)</f>
        <v>0</v>
      </c>
      <c r="D1482" s="12">
        <f t="shared" si="70"/>
        <v>0</v>
      </c>
    </row>
    <row r="1483" spans="1:20" x14ac:dyDescent="0.2">
      <c r="A1483" s="14"/>
      <c r="B1483" s="15" t="s">
        <v>18</v>
      </c>
      <c r="C1483" s="17">
        <f>SUBTOTAL(109,C1450:C1482)</f>
        <v>18826067</v>
      </c>
      <c r="D1483" s="17">
        <f>SUBTOTAL(109,D1450:D1482)</f>
        <v>18826067</v>
      </c>
    </row>
    <row r="1484" spans="1:20" x14ac:dyDescent="0.2"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</row>
    <row r="1485" spans="1:20" ht="28.35" customHeight="1" x14ac:dyDescent="0.2">
      <c r="A1485" s="1" t="s">
        <v>78</v>
      </c>
      <c r="B1485" s="47" t="s">
        <v>88</v>
      </c>
      <c r="C1485" s="47"/>
      <c r="D1485" s="48"/>
      <c r="E1485" s="46"/>
      <c r="F1485" s="4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</row>
    <row r="1486" spans="1:20" x14ac:dyDescent="0.2">
      <c r="A1486" s="7" t="s">
        <v>2</v>
      </c>
      <c r="B1486" s="8" t="s">
        <v>3</v>
      </c>
      <c r="C1486" s="9" t="s">
        <v>89</v>
      </c>
      <c r="D1486" s="8" t="s">
        <v>18</v>
      </c>
    </row>
    <row r="1487" spans="1:20" x14ac:dyDescent="0.2">
      <c r="A1487" s="10">
        <v>1</v>
      </c>
      <c r="B1487" s="11" t="str">
        <f>[1]Aseguradoras!B2</f>
        <v>El Comercio Paraguayo S.A. de Seguros</v>
      </c>
      <c r="C1487" s="12">
        <f>LOOKUP(426070100,[1]PlanCuentas!$A$2:$A$6092,[1]PlanCuentas!C$2:C$6092)</f>
        <v>2</v>
      </c>
      <c r="D1487" s="12">
        <f t="shared" ref="D1487:D1518" si="71">SUM(C1487:C1487)</f>
        <v>2</v>
      </c>
    </row>
    <row r="1488" spans="1:20" x14ac:dyDescent="0.2">
      <c r="A1488" s="10">
        <v>2</v>
      </c>
      <c r="B1488" s="11" t="str">
        <f>[1]Aseguradoras!B3</f>
        <v>La Rural S.A de Seguros</v>
      </c>
      <c r="C1488" s="12">
        <f>LOOKUP(426070100,[1]PlanCuentas!$A$2:$A$6092,[1]PlanCuentas!D$2:D$6092)</f>
        <v>8583364</v>
      </c>
      <c r="D1488" s="13">
        <f t="shared" si="71"/>
        <v>8583364</v>
      </c>
    </row>
    <row r="1489" spans="1:4" x14ac:dyDescent="0.2">
      <c r="A1489" s="10">
        <v>3</v>
      </c>
      <c r="B1489" s="11" t="str">
        <f>[1]Aseguradoras!B4</f>
        <v>La Paraguaya S.A de Seguros</v>
      </c>
      <c r="C1489" s="12">
        <f>LOOKUP(426070100,[1]PlanCuentas!$A$2:$A$6092,[1]PlanCuentas!E$2:E$6092)</f>
        <v>1841896</v>
      </c>
      <c r="D1489" s="13">
        <f t="shared" si="71"/>
        <v>1841896</v>
      </c>
    </row>
    <row r="1490" spans="1:4" x14ac:dyDescent="0.2">
      <c r="A1490" s="10">
        <v>4</v>
      </c>
      <c r="B1490" s="11" t="str">
        <f>[1]Aseguradoras!B5</f>
        <v>Seguros Generales S. A (SEGESA)</v>
      </c>
      <c r="C1490" s="12">
        <f>LOOKUP(426070100,[1]PlanCuentas!$A$2:$A$6092,[1]PlanCuentas!F$2:F$6092)</f>
        <v>9437477</v>
      </c>
      <c r="D1490" s="13">
        <f t="shared" si="71"/>
        <v>9437477</v>
      </c>
    </row>
    <row r="1491" spans="1:4" x14ac:dyDescent="0.2">
      <c r="A1491" s="10">
        <v>5</v>
      </c>
      <c r="B1491" s="11" t="str">
        <f>[1]Aseguradoras!B6</f>
        <v>Rumbos S.A de Seguros</v>
      </c>
      <c r="C1491" s="12">
        <f>LOOKUP(426070100,[1]PlanCuentas!$A$2:$A$6092,[1]PlanCuentas!G$2:G$6092)</f>
        <v>2534005</v>
      </c>
      <c r="D1491" s="13">
        <f t="shared" si="71"/>
        <v>2534005</v>
      </c>
    </row>
    <row r="1492" spans="1:4" x14ac:dyDescent="0.2">
      <c r="A1492" s="10">
        <v>6</v>
      </c>
      <c r="B1492" s="11" t="str">
        <f>[1]Aseguradoras!B7</f>
        <v>La Consolidada S.A de Seguros</v>
      </c>
      <c r="C1492" s="12">
        <f>LOOKUP(426070100,[1]PlanCuentas!$A$2:$A$6092,[1]PlanCuentas!H$2:H$6092)</f>
        <v>229671960</v>
      </c>
      <c r="D1492" s="13">
        <f t="shared" si="71"/>
        <v>229671960</v>
      </c>
    </row>
    <row r="1493" spans="1:4" x14ac:dyDescent="0.2">
      <c r="A1493" s="10">
        <v>7</v>
      </c>
      <c r="B1493" s="11" t="str">
        <f>[1]Aseguradoras!B8</f>
        <v>El Productor S.A de Seguros y Reaseguros</v>
      </c>
      <c r="C1493" s="12">
        <f>LOOKUP(426070100,[1]PlanCuentas!$A$2:$A$6092,[1]PlanCuentas!I$2:I$6092)</f>
        <v>20569185</v>
      </c>
      <c r="D1493" s="13">
        <f t="shared" si="71"/>
        <v>20569185</v>
      </c>
    </row>
    <row r="1494" spans="1:4" x14ac:dyDescent="0.2">
      <c r="A1494" s="10">
        <v>8</v>
      </c>
      <c r="B1494" s="11" t="str">
        <f>[1]Aseguradoras!B9</f>
        <v>Atalaya S.A de Seguros Generales</v>
      </c>
      <c r="C1494" s="12">
        <f>LOOKUP(426070100,[1]PlanCuentas!$A$2:$A$6092,[1]PlanCuentas!J$2:J$6092)</f>
        <v>97813688</v>
      </c>
      <c r="D1494" s="13">
        <f t="shared" si="71"/>
        <v>97813688</v>
      </c>
    </row>
    <row r="1495" spans="1:4" x14ac:dyDescent="0.2">
      <c r="A1495" s="10">
        <v>9</v>
      </c>
      <c r="B1495" s="11" t="str">
        <f>[1]Aseguradoras!B10</f>
        <v>La Independencia de Seguros S.A.</v>
      </c>
      <c r="C1495" s="12">
        <f>LOOKUP(426070100,[1]PlanCuentas!$A$2:$A$6092,[1]PlanCuentas!K$2:K$6092)</f>
        <v>1841896</v>
      </c>
      <c r="D1495" s="13">
        <f t="shared" si="71"/>
        <v>1841896</v>
      </c>
    </row>
    <row r="1496" spans="1:4" x14ac:dyDescent="0.2">
      <c r="A1496" s="10">
        <v>10</v>
      </c>
      <c r="B1496" s="11" t="str">
        <f>[1]Aseguradoras!B11</f>
        <v>Patria S.A de Seguros y Reaseguros</v>
      </c>
      <c r="C1496" s="12">
        <f>LOOKUP(426070100,[1]PlanCuentas!$A$2:$A$6092,[1]PlanCuentas!L$2:L$6092)</f>
        <v>1841896</v>
      </c>
      <c r="D1496" s="13">
        <f t="shared" si="71"/>
        <v>1841896</v>
      </c>
    </row>
    <row r="1497" spans="1:4" x14ac:dyDescent="0.2">
      <c r="A1497" s="10">
        <v>11</v>
      </c>
      <c r="B1497" s="11" t="str">
        <f>[1]Aseguradoras!B12</f>
        <v>Garantía S.A de Seguros y Reaseguros</v>
      </c>
      <c r="C1497" s="12">
        <f>LOOKUP(426070100,[1]PlanCuentas!$A$2:$A$6092,[1]PlanCuentas!M$2:M$6092)</f>
        <v>117568</v>
      </c>
      <c r="D1497" s="13">
        <f t="shared" si="71"/>
        <v>117568</v>
      </c>
    </row>
    <row r="1498" spans="1:4" x14ac:dyDescent="0.2">
      <c r="A1498" s="10">
        <v>12</v>
      </c>
      <c r="B1498" s="11" t="str">
        <f>[1]Aseguradoras!B13</f>
        <v>Aseguradora Paraguaya S.A.</v>
      </c>
      <c r="C1498" s="12">
        <f>LOOKUP(426070100,[1]PlanCuentas!$A$2:$A$6092,[1]PlanCuentas!N$2:N$6092)</f>
        <v>0</v>
      </c>
      <c r="D1498" s="13">
        <f t="shared" si="71"/>
        <v>0</v>
      </c>
    </row>
    <row r="1499" spans="1:4" x14ac:dyDescent="0.2">
      <c r="A1499" s="10">
        <v>13</v>
      </c>
      <c r="B1499" s="11" t="str">
        <f>[1]Aseguradoras!B14</f>
        <v>Fénix S.A de Seguros y Reaseguros</v>
      </c>
      <c r="C1499" s="12">
        <f>LOOKUP(426070100,[1]PlanCuentas!$A$2:$A$6092,[1]PlanCuentas!O$2:O$6092)</f>
        <v>16866803</v>
      </c>
      <c r="D1499" s="13">
        <f t="shared" si="71"/>
        <v>16866803</v>
      </c>
    </row>
    <row r="1500" spans="1:4" x14ac:dyDescent="0.2">
      <c r="A1500" s="10">
        <v>14</v>
      </c>
      <c r="B1500" s="11" t="str">
        <f>[1]Aseguradoras!B15</f>
        <v>Central S.A de Seguros</v>
      </c>
      <c r="C1500" s="12">
        <f>LOOKUP(426070100,[1]PlanCuentas!$A$2:$A$6092,[1]PlanCuentas!P$2:P$6092)</f>
        <v>1841981</v>
      </c>
      <c r="D1500" s="13">
        <f t="shared" si="71"/>
        <v>1841981</v>
      </c>
    </row>
    <row r="1501" spans="1:4" x14ac:dyDescent="0.2">
      <c r="A1501" s="10">
        <v>15</v>
      </c>
      <c r="B1501" s="11" t="str">
        <f>[1]Aseguradoras!B16</f>
        <v>Seguros Chaco S.A de Seguros y Reaseguros</v>
      </c>
      <c r="C1501" s="12">
        <f>LOOKUP(426070100,[1]PlanCuentas!$A$2:$A$6092,[1]PlanCuentas!Q$2:Q$6092)</f>
        <v>1841896</v>
      </c>
      <c r="D1501" s="13">
        <f t="shared" si="71"/>
        <v>1841896</v>
      </c>
    </row>
    <row r="1502" spans="1:4" x14ac:dyDescent="0.2">
      <c r="A1502" s="10">
        <v>16</v>
      </c>
      <c r="B1502" s="11" t="str">
        <f>[1]Aseguradoras!B17</f>
        <v>El Sol Del Paraguay Compañía de Seguros y Reaseguros S.A.</v>
      </c>
      <c r="C1502" s="12">
        <f>LOOKUP(426070100,[1]PlanCuentas!$A$2:$A$6092,[1]PlanCuentas!R$2:R$6092)</f>
        <v>7871684</v>
      </c>
      <c r="D1502" s="13">
        <f t="shared" si="71"/>
        <v>7871684</v>
      </c>
    </row>
    <row r="1503" spans="1:4" x14ac:dyDescent="0.2">
      <c r="A1503" s="10">
        <v>17</v>
      </c>
      <c r="B1503" s="11" t="str">
        <f>[1]Aseguradoras!B18</f>
        <v>Intercontinental de Seguros y Reaseguros S.A.</v>
      </c>
      <c r="C1503" s="12">
        <f>LOOKUP(426070100,[1]PlanCuentas!$A$2:$A$6092,[1]PlanCuentas!S$2:S$6092)</f>
        <v>28200670</v>
      </c>
      <c r="D1503" s="13">
        <f t="shared" si="71"/>
        <v>28200670</v>
      </c>
    </row>
    <row r="1504" spans="1:4" x14ac:dyDescent="0.2">
      <c r="A1504" s="10">
        <v>18</v>
      </c>
      <c r="B1504" s="11" t="str">
        <f>[1]Aseguradoras!B19</f>
        <v>Seguridad S.A Compañía de Seguros</v>
      </c>
      <c r="C1504" s="12">
        <f>LOOKUP(426070100,[1]PlanCuentas!$A$2:$A$6092,[1]PlanCuentas!T$2:T$6092)</f>
        <v>2237559</v>
      </c>
      <c r="D1504" s="13">
        <f t="shared" si="71"/>
        <v>2237559</v>
      </c>
    </row>
    <row r="1505" spans="1:25" x14ac:dyDescent="0.2">
      <c r="A1505" s="10">
        <v>19</v>
      </c>
      <c r="B1505" s="11" t="str">
        <f>[1]Aseguradoras!B20</f>
        <v>Universo de Seguros y Reaseguros S.A.</v>
      </c>
      <c r="C1505" s="12">
        <f>LOOKUP(426070100,[1]PlanCuentas!$A$2:$A$6092,[1]PlanCuentas!U$2:U$6092)</f>
        <v>28833131</v>
      </c>
      <c r="D1505" s="13">
        <f t="shared" si="71"/>
        <v>28833131</v>
      </c>
    </row>
    <row r="1506" spans="1:25" x14ac:dyDescent="0.2">
      <c r="A1506" s="10">
        <v>20</v>
      </c>
      <c r="B1506" s="11" t="str">
        <f>[1]Aseguradoras!B21</f>
        <v>Aseguradora Yacyreta S.A de Seguros y Reaseguros</v>
      </c>
      <c r="C1506" s="12">
        <f>LOOKUP(426070100,[1]PlanCuentas!$A$2:$A$6092,[1]PlanCuentas!V$2:V$6092)</f>
        <v>7870000</v>
      </c>
      <c r="D1506" s="13">
        <f t="shared" si="71"/>
        <v>7870000</v>
      </c>
    </row>
    <row r="1507" spans="1:25" x14ac:dyDescent="0.2">
      <c r="A1507" s="10">
        <v>21</v>
      </c>
      <c r="B1507" s="11" t="str">
        <f>[1]Aseguradoras!B22</f>
        <v>La Agricola S.A de Seguros y Reaseguros</v>
      </c>
      <c r="C1507" s="12">
        <f>LOOKUP(426070100,[1]PlanCuentas!$A$2:$A$6092,[1]PlanCuentas!W$2:W$6092)</f>
        <v>42010477</v>
      </c>
      <c r="D1507" s="13">
        <f t="shared" si="71"/>
        <v>42010477</v>
      </c>
    </row>
    <row r="1508" spans="1:25" x14ac:dyDescent="0.2">
      <c r="A1508" s="10">
        <v>22</v>
      </c>
      <c r="B1508" s="11" t="str">
        <f>[1]Aseguradoras!B23</f>
        <v>Grupo General de Seguros y Reaseguros S.A.</v>
      </c>
      <c r="C1508" s="12">
        <f>LOOKUP(426070100,[1]PlanCuentas!$A$2:$A$6092,[1]PlanCuentas!X$2:X$6092)</f>
        <v>1942218</v>
      </c>
      <c r="D1508" s="13">
        <f t="shared" si="71"/>
        <v>1942218</v>
      </c>
    </row>
    <row r="1509" spans="1:25" x14ac:dyDescent="0.2">
      <c r="A1509" s="10">
        <v>23</v>
      </c>
      <c r="B1509" s="11" t="str">
        <f>[1]Aseguradoras!B24</f>
        <v>Alfa S.A de Seguros y Reaseguros</v>
      </c>
      <c r="C1509" s="12">
        <f>LOOKUP(426070100,[1]PlanCuentas!$A$2:$A$6092,[1]PlanCuentas!Y$2:Y$6092)</f>
        <v>8039024</v>
      </c>
      <c r="D1509" s="13">
        <f t="shared" si="71"/>
        <v>8039024</v>
      </c>
    </row>
    <row r="1510" spans="1:25" x14ac:dyDescent="0.2">
      <c r="A1510" s="10">
        <v>24</v>
      </c>
      <c r="B1510" s="11" t="str">
        <f>[1]Aseguradoras!B25</f>
        <v>Cenit de Seguros S.A.</v>
      </c>
      <c r="C1510" s="12">
        <f>LOOKUP(426070100,[1]PlanCuentas!$A$2:$A$6092,[1]PlanCuentas!Z$2:Z$6092)</f>
        <v>29882603</v>
      </c>
      <c r="D1510" s="13">
        <f t="shared" si="71"/>
        <v>29882603</v>
      </c>
    </row>
    <row r="1511" spans="1:25" x14ac:dyDescent="0.2">
      <c r="A1511" s="10">
        <v>25</v>
      </c>
      <c r="B1511" s="11" t="str">
        <f>[1]Aseguradoras!B26</f>
        <v>La Meridional Paraguaya S.A de Seguros</v>
      </c>
      <c r="C1511" s="12">
        <f>LOOKUP(426070100,[1]PlanCuentas!$A$2:$A$6092,[1]PlanCuentas!AA$2:AA$6092)</f>
        <v>1841896</v>
      </c>
      <c r="D1511" s="13">
        <f t="shared" si="71"/>
        <v>1841896</v>
      </c>
    </row>
    <row r="1512" spans="1:25" x14ac:dyDescent="0.2">
      <c r="A1512" s="10">
        <v>26</v>
      </c>
      <c r="B1512" s="11" t="str">
        <f>[1]Aseguradoras!B27</f>
        <v>Aseguradora Del Este S.A de Seguros y Reaseguros</v>
      </c>
      <c r="C1512" s="12">
        <f>LOOKUP(426070100,[1]PlanCuentas!$A$2:$A$6092,[1]PlanCuentas!AB$2:AB$6092)</f>
        <v>16259051</v>
      </c>
      <c r="D1512" s="13">
        <f t="shared" si="71"/>
        <v>16259051</v>
      </c>
    </row>
    <row r="1513" spans="1:25" x14ac:dyDescent="0.2">
      <c r="A1513" s="10">
        <v>27</v>
      </c>
      <c r="B1513" s="11" t="str">
        <f>[1]Aseguradoras!B28</f>
        <v>Imperio S.A de Seguros y Reaseguros</v>
      </c>
      <c r="C1513" s="12">
        <f>LOOKUP(426070100,[1]PlanCuentas!$A$2:$A$6092,[1]PlanCuentas!AC$2:AC$6092)</f>
        <v>64334356</v>
      </c>
      <c r="D1513" s="13">
        <f t="shared" si="71"/>
        <v>64334356</v>
      </c>
    </row>
    <row r="1514" spans="1:25" x14ac:dyDescent="0.2">
      <c r="A1514" s="10">
        <v>28</v>
      </c>
      <c r="B1514" s="11" t="str">
        <f>[1]Aseguradoras!B29</f>
        <v>Regional S.A de Seguros y Reaseguros</v>
      </c>
      <c r="C1514" s="12">
        <f>LOOKUP(426070100,[1]PlanCuentas!$A$2:$A$6092,[1]PlanCuentas!AD$2:AD$6092)</f>
        <v>1841896</v>
      </c>
      <c r="D1514" s="13">
        <f t="shared" si="71"/>
        <v>1841896</v>
      </c>
    </row>
    <row r="1515" spans="1:25" s="37" customFormat="1" x14ac:dyDescent="0.2">
      <c r="A1515" s="10">
        <v>29</v>
      </c>
      <c r="B1515" s="11" t="str">
        <f>[1]Aseguradoras!B30</f>
        <v>Mapfre Paraguay Compañía de Seguros S.A.</v>
      </c>
      <c r="C1515" s="12">
        <f>LOOKUP(426070100,[1]PlanCuentas!$A$2:$A$6092,[1]PlanCuentas!AE$2:AE$6092)</f>
        <v>68041432</v>
      </c>
      <c r="D1515" s="13">
        <f t="shared" si="71"/>
        <v>68041432</v>
      </c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25" s="37" customFormat="1" x14ac:dyDescent="0.2">
      <c r="A1516" s="10">
        <v>30</v>
      </c>
      <c r="B1516" s="11" t="str">
        <f>[1]Aseguradoras!B31</f>
        <v>Aseguradora Tajy Propiedad Cooperativa S.A. de Seguros</v>
      </c>
      <c r="C1516" s="12">
        <f>LOOKUP(426070100,[1]PlanCuentas!$A$2:$A$6092,[1]PlanCuentas!AF$2:AF$6092)</f>
        <v>80671361</v>
      </c>
      <c r="D1516" s="13">
        <f t="shared" si="71"/>
        <v>80671361</v>
      </c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25" x14ac:dyDescent="0.2">
      <c r="A1517" s="10">
        <v>31</v>
      </c>
      <c r="B1517" s="11" t="str">
        <f>[1]Aseguradoras!B32</f>
        <v>Aseguradora del Sur S.A. Seguros Generales - ASUR</v>
      </c>
      <c r="C1517" s="12">
        <f>LOOKUP(426070100,[1]PlanCuentas!$A$2:$A$6092,[1]PlanCuentas!AG$2:AG$6092)</f>
        <v>7540934</v>
      </c>
      <c r="D1517" s="13">
        <f t="shared" si="71"/>
        <v>7540934</v>
      </c>
      <c r="R1517" s="5"/>
      <c r="S1517" s="5"/>
      <c r="T1517" s="5"/>
      <c r="U1517" s="5"/>
      <c r="V1517" s="5"/>
      <c r="W1517" s="5"/>
      <c r="X1517" s="5"/>
      <c r="Y1517" s="5"/>
    </row>
    <row r="1518" spans="1:25" x14ac:dyDescent="0.2">
      <c r="A1518" s="10">
        <v>32</v>
      </c>
      <c r="B1518" s="11" t="str">
        <f>[1]Aseguradoras!B33</f>
        <v>Panal Compañía De Seguros Generales S.A.</v>
      </c>
      <c r="C1518" s="12">
        <f>LOOKUP(426070100,[1]PlanCuentas!$A$2:$A$6092,[1]PlanCuentas!AH$2:AH$6092)</f>
        <v>300124</v>
      </c>
      <c r="D1518" s="13">
        <f t="shared" si="71"/>
        <v>300124</v>
      </c>
    </row>
    <row r="1519" spans="1:25" x14ac:dyDescent="0.2">
      <c r="A1519" s="14">
        <v>33</v>
      </c>
      <c r="B1519" s="19" t="str">
        <f>[1]Aseguradoras!B34</f>
        <v>Sancor Seguros del Paraguay S.A.</v>
      </c>
      <c r="C1519" s="12">
        <f>LOOKUP(426070100,[1]PlanCuentas!$A$2:$A$6092,[1]PlanCuentas!AI$2:AI$6092)</f>
        <v>0</v>
      </c>
      <c r="D1519" s="13">
        <f>SUM(C1519:C1519)</f>
        <v>0</v>
      </c>
    </row>
    <row r="1520" spans="1:25" x14ac:dyDescent="0.2">
      <c r="A1520" s="14"/>
      <c r="B1520" s="15" t="s">
        <v>18</v>
      </c>
      <c r="C1520" s="17">
        <f>SUBTOTAL(109,C1487:C1519)</f>
        <v>792522033</v>
      </c>
      <c r="D1520" s="17">
        <f>SUBTOTAL(109,D1487:D1519)</f>
        <v>792522033</v>
      </c>
      <c r="E1520" s="37"/>
      <c r="F1520" s="37"/>
      <c r="G1520" s="37"/>
      <c r="H1520" s="37"/>
      <c r="I1520" s="37"/>
      <c r="J1520" s="37"/>
      <c r="K1520" s="37"/>
      <c r="L1520" s="37"/>
      <c r="M1520" s="37"/>
      <c r="N1520" s="37"/>
      <c r="O1520" s="37"/>
      <c r="P1520" s="37"/>
      <c r="Q1520" s="37"/>
    </row>
    <row r="1521" spans="1:17" x14ac:dyDescent="0.2"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</row>
    <row r="1522" spans="1:17" ht="28.35" customHeight="1" x14ac:dyDescent="0.2">
      <c r="A1522" s="1" t="s">
        <v>90</v>
      </c>
      <c r="B1522" s="47" t="s">
        <v>91</v>
      </c>
      <c r="C1522" s="47"/>
      <c r="D1522" s="48"/>
      <c r="E1522" s="46"/>
      <c r="F1522" s="4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</row>
    <row r="1523" spans="1:17" ht="24" x14ac:dyDescent="0.2">
      <c r="A1523" s="7" t="s">
        <v>2</v>
      </c>
      <c r="B1523" s="8" t="s">
        <v>3</v>
      </c>
      <c r="C1523" s="9" t="s">
        <v>92</v>
      </c>
      <c r="D1523" s="9" t="s">
        <v>93</v>
      </c>
      <c r="E1523" s="8" t="s">
        <v>18</v>
      </c>
    </row>
    <row r="1524" spans="1:17" x14ac:dyDescent="0.2">
      <c r="A1524" s="10">
        <v>1</v>
      </c>
      <c r="B1524" s="11" t="str">
        <f>[1]Aseguradoras!B2</f>
        <v>El Comercio Paraguayo S.A. de Seguros</v>
      </c>
      <c r="C1524" s="12">
        <f>LOOKUP(435010100,[1]PlanCuentas!$A$2:$A$6092,[1]PlanCuentas!C$2:C$6092)</f>
        <v>0</v>
      </c>
      <c r="D1524" s="12">
        <f>LOOKUP(435010200,[1]PlanCuentas!$A$2:$A$6092,[1]PlanCuentas!C$2:C$6092)</f>
        <v>0</v>
      </c>
      <c r="E1524" s="13">
        <f t="shared" ref="E1524:E1555" si="72">SUM(C1524:D1524)</f>
        <v>0</v>
      </c>
    </row>
    <row r="1525" spans="1:17" x14ac:dyDescent="0.2">
      <c r="A1525" s="10">
        <v>2</v>
      </c>
      <c r="B1525" s="11" t="str">
        <f>[1]Aseguradoras!B3</f>
        <v>La Rural S.A de Seguros</v>
      </c>
      <c r="C1525" s="12">
        <f>LOOKUP(435010100,[1]PlanCuentas!$A$2:$A$6092,[1]PlanCuentas!D$2:D$6092)</f>
        <v>313633</v>
      </c>
      <c r="D1525" s="12">
        <f>LOOKUP(435010200,[1]PlanCuentas!$A$2:$A$6092,[1]PlanCuentas!D$2:D$6092)</f>
        <v>0</v>
      </c>
      <c r="E1525" s="13">
        <f t="shared" si="72"/>
        <v>313633</v>
      </c>
    </row>
    <row r="1526" spans="1:17" x14ac:dyDescent="0.2">
      <c r="A1526" s="10">
        <v>3</v>
      </c>
      <c r="B1526" s="11" t="str">
        <f>[1]Aseguradoras!B4</f>
        <v>La Paraguaya S.A de Seguros</v>
      </c>
      <c r="C1526" s="12">
        <f>LOOKUP(435010100,[1]PlanCuentas!$A$2:$A$6092,[1]PlanCuentas!E$2:E$6092)</f>
        <v>0</v>
      </c>
      <c r="D1526" s="12">
        <f>LOOKUP(435010200,[1]PlanCuentas!$A$2:$A$6092,[1]PlanCuentas!E$2:E$6092)</f>
        <v>0</v>
      </c>
      <c r="E1526" s="13">
        <f t="shared" si="72"/>
        <v>0</v>
      </c>
    </row>
    <row r="1527" spans="1:17" x14ac:dyDescent="0.2">
      <c r="A1527" s="10">
        <v>4</v>
      </c>
      <c r="B1527" s="11" t="str">
        <f>[1]Aseguradoras!B5</f>
        <v>Seguros Generales S. A (SEGESA)</v>
      </c>
      <c r="C1527" s="12">
        <f>LOOKUP(435010100,[1]PlanCuentas!$A$2:$A$6092,[1]PlanCuentas!F$2:F$6092)</f>
        <v>0</v>
      </c>
      <c r="D1527" s="12">
        <f>LOOKUP(435010200,[1]PlanCuentas!$A$2:$A$6092,[1]PlanCuentas!F$2:F$6092)</f>
        <v>0</v>
      </c>
      <c r="E1527" s="13">
        <f t="shared" si="72"/>
        <v>0</v>
      </c>
    </row>
    <row r="1528" spans="1:17" x14ac:dyDescent="0.2">
      <c r="A1528" s="10">
        <v>5</v>
      </c>
      <c r="B1528" s="11" t="str">
        <f>[1]Aseguradoras!B6</f>
        <v>Rumbos S.A de Seguros</v>
      </c>
      <c r="C1528" s="12">
        <f>LOOKUP(435010100,[1]PlanCuentas!$A$2:$A$6092,[1]PlanCuentas!G$2:G$6092)</f>
        <v>80012</v>
      </c>
      <c r="D1528" s="12">
        <f>LOOKUP(435010200,[1]PlanCuentas!$A$2:$A$6092,[1]PlanCuentas!G$2:G$6092)</f>
        <v>0</v>
      </c>
      <c r="E1528" s="13">
        <f t="shared" si="72"/>
        <v>80012</v>
      </c>
    </row>
    <row r="1529" spans="1:17" x14ac:dyDescent="0.2">
      <c r="A1529" s="10">
        <v>6</v>
      </c>
      <c r="B1529" s="11" t="str">
        <f>[1]Aseguradoras!B7</f>
        <v>La Consolidada S.A de Seguros</v>
      </c>
      <c r="C1529" s="12">
        <f>LOOKUP(435010100,[1]PlanCuentas!$A$2:$A$6092,[1]PlanCuentas!H$2:H$6092)</f>
        <v>24461790</v>
      </c>
      <c r="D1529" s="12">
        <f>LOOKUP(435010200,[1]PlanCuentas!$A$2:$A$6092,[1]PlanCuentas!H$2:H$6092)</f>
        <v>0</v>
      </c>
      <c r="E1529" s="13">
        <f t="shared" si="72"/>
        <v>24461790</v>
      </c>
    </row>
    <row r="1530" spans="1:17" x14ac:dyDescent="0.2">
      <c r="A1530" s="10">
        <v>7</v>
      </c>
      <c r="B1530" s="11" t="str">
        <f>[1]Aseguradoras!B8</f>
        <v>El Productor S.A de Seguros y Reaseguros</v>
      </c>
      <c r="C1530" s="12">
        <f>LOOKUP(435010100,[1]PlanCuentas!$A$2:$A$6092,[1]PlanCuentas!I$2:I$6092)</f>
        <v>7839593</v>
      </c>
      <c r="D1530" s="12">
        <f>LOOKUP(435010200,[1]PlanCuentas!$A$2:$A$6092,[1]PlanCuentas!I$2:I$6092)</f>
        <v>0</v>
      </c>
      <c r="E1530" s="13">
        <f t="shared" si="72"/>
        <v>7839593</v>
      </c>
    </row>
    <row r="1531" spans="1:17" x14ac:dyDescent="0.2">
      <c r="A1531" s="10">
        <v>8</v>
      </c>
      <c r="B1531" s="11" t="str">
        <f>[1]Aseguradoras!B9</f>
        <v>Atalaya S.A de Seguros Generales</v>
      </c>
      <c r="C1531" s="12">
        <f>LOOKUP(435010100,[1]PlanCuentas!$A$2:$A$6092,[1]PlanCuentas!J$2:J$6092)</f>
        <v>0</v>
      </c>
      <c r="D1531" s="12">
        <f>LOOKUP(435010200,[1]PlanCuentas!$A$2:$A$6092,[1]PlanCuentas!J$2:J$6092)</f>
        <v>0</v>
      </c>
      <c r="E1531" s="13">
        <f t="shared" si="72"/>
        <v>0</v>
      </c>
    </row>
    <row r="1532" spans="1:17" x14ac:dyDescent="0.2">
      <c r="A1532" s="10">
        <v>9</v>
      </c>
      <c r="B1532" s="11" t="str">
        <f>[1]Aseguradoras!B10</f>
        <v>La Independencia de Seguros S.A.</v>
      </c>
      <c r="C1532" s="12">
        <f>LOOKUP(435010100,[1]PlanCuentas!$A$2:$A$6092,[1]PlanCuentas!K$2:K$6092)</f>
        <v>22727273</v>
      </c>
      <c r="D1532" s="12">
        <f>LOOKUP(435010200,[1]PlanCuentas!$A$2:$A$6092,[1]PlanCuentas!K$2:K$6092)</f>
        <v>0</v>
      </c>
      <c r="E1532" s="13">
        <f t="shared" si="72"/>
        <v>22727273</v>
      </c>
    </row>
    <row r="1533" spans="1:17" x14ac:dyDescent="0.2">
      <c r="A1533" s="10">
        <v>10</v>
      </c>
      <c r="B1533" s="11" t="str">
        <f>[1]Aseguradoras!B11</f>
        <v>Patria S.A de Seguros y Reaseguros</v>
      </c>
      <c r="C1533" s="12">
        <f>LOOKUP(435010100,[1]PlanCuentas!$A$2:$A$6092,[1]PlanCuentas!L$2:L$6092)</f>
        <v>0</v>
      </c>
      <c r="D1533" s="12">
        <f>LOOKUP(435010200,[1]PlanCuentas!$A$2:$A$6092,[1]PlanCuentas!L$2:L$6092)</f>
        <v>0</v>
      </c>
      <c r="E1533" s="13">
        <f t="shared" si="72"/>
        <v>0</v>
      </c>
    </row>
    <row r="1534" spans="1:17" x14ac:dyDescent="0.2">
      <c r="A1534" s="10">
        <v>11</v>
      </c>
      <c r="B1534" s="11" t="str">
        <f>[1]Aseguradoras!B12</f>
        <v>Garantía S.A de Seguros y Reaseguros</v>
      </c>
      <c r="C1534" s="12">
        <f>LOOKUP(435010100,[1]PlanCuentas!$A$2:$A$6092,[1]PlanCuentas!M$2:M$6092)</f>
        <v>0</v>
      </c>
      <c r="D1534" s="12">
        <f>LOOKUP(435010200,[1]PlanCuentas!$A$2:$A$6092,[1]PlanCuentas!M$2:M$6092)</f>
        <v>0</v>
      </c>
      <c r="E1534" s="13">
        <f t="shared" si="72"/>
        <v>0</v>
      </c>
    </row>
    <row r="1535" spans="1:17" x14ac:dyDescent="0.2">
      <c r="A1535" s="10">
        <v>12</v>
      </c>
      <c r="B1535" s="11" t="str">
        <f>[1]Aseguradoras!B13</f>
        <v>Aseguradora Paraguaya S.A.</v>
      </c>
      <c r="C1535" s="12">
        <f>LOOKUP(435010100,[1]PlanCuentas!$A$2:$A$6092,[1]PlanCuentas!N$2:N$6092)</f>
        <v>0</v>
      </c>
      <c r="D1535" s="12">
        <f>LOOKUP(435010200,[1]PlanCuentas!$A$2:$A$6092,[1]PlanCuentas!N$2:N$6092)</f>
        <v>0</v>
      </c>
      <c r="E1535" s="13">
        <f t="shared" si="72"/>
        <v>0</v>
      </c>
    </row>
    <row r="1536" spans="1:17" x14ac:dyDescent="0.2">
      <c r="A1536" s="10">
        <v>13</v>
      </c>
      <c r="B1536" s="11" t="str">
        <f>[1]Aseguradoras!B14</f>
        <v>Fénix S.A de Seguros y Reaseguros</v>
      </c>
      <c r="C1536" s="12">
        <f>LOOKUP(435010100,[1]PlanCuentas!$A$2:$A$6092,[1]PlanCuentas!O$2:O$6092)</f>
        <v>200000</v>
      </c>
      <c r="D1536" s="12">
        <f>LOOKUP(435010200,[1]PlanCuentas!$A$2:$A$6092,[1]PlanCuentas!O$2:O$6092)</f>
        <v>0</v>
      </c>
      <c r="E1536" s="13">
        <f t="shared" si="72"/>
        <v>200000</v>
      </c>
    </row>
    <row r="1537" spans="1:17" x14ac:dyDescent="0.2">
      <c r="A1537" s="10">
        <v>14</v>
      </c>
      <c r="B1537" s="11" t="str">
        <f>[1]Aseguradoras!B15</f>
        <v>Central S.A de Seguros</v>
      </c>
      <c r="C1537" s="12">
        <f>LOOKUP(435010100,[1]PlanCuentas!$A$2:$A$6092,[1]PlanCuentas!P$2:P$6092)</f>
        <v>0</v>
      </c>
      <c r="D1537" s="12">
        <f>LOOKUP(435010200,[1]PlanCuentas!$A$2:$A$6092,[1]PlanCuentas!P$2:P$6092)</f>
        <v>0</v>
      </c>
      <c r="E1537" s="13">
        <f t="shared" si="72"/>
        <v>0</v>
      </c>
    </row>
    <row r="1538" spans="1:17" x14ac:dyDescent="0.2">
      <c r="A1538" s="10">
        <v>15</v>
      </c>
      <c r="B1538" s="11" t="str">
        <f>[1]Aseguradoras!B16</f>
        <v>Seguros Chaco S.A de Seguros y Reaseguros</v>
      </c>
      <c r="C1538" s="12">
        <f>LOOKUP(435010100,[1]PlanCuentas!$A$2:$A$6092,[1]PlanCuentas!Q$2:Q$6092)</f>
        <v>0</v>
      </c>
      <c r="D1538" s="12">
        <f>LOOKUP(435010200,[1]PlanCuentas!$A$2:$A$6092,[1]PlanCuentas!Q$2:Q$6092)</f>
        <v>0</v>
      </c>
      <c r="E1538" s="13">
        <f t="shared" si="72"/>
        <v>0</v>
      </c>
    </row>
    <row r="1539" spans="1:17" x14ac:dyDescent="0.2">
      <c r="A1539" s="10">
        <v>16</v>
      </c>
      <c r="B1539" s="11" t="str">
        <f>[1]Aseguradoras!B17</f>
        <v>El Sol Del Paraguay Compañía de Seguros y Reaseguros S.A.</v>
      </c>
      <c r="C1539" s="12">
        <f>LOOKUP(435010100,[1]PlanCuentas!$A$2:$A$6092,[1]PlanCuentas!R$2:R$6092)</f>
        <v>2918182</v>
      </c>
      <c r="D1539" s="12">
        <f>LOOKUP(435010200,[1]PlanCuentas!$A$2:$A$6092,[1]PlanCuentas!R$2:R$6092)</f>
        <v>0</v>
      </c>
      <c r="E1539" s="13">
        <f t="shared" si="72"/>
        <v>2918182</v>
      </c>
    </row>
    <row r="1540" spans="1:17" x14ac:dyDescent="0.2">
      <c r="A1540" s="10">
        <v>17</v>
      </c>
      <c r="B1540" s="11" t="str">
        <f>[1]Aseguradoras!B18</f>
        <v>Intercontinental de Seguros y Reaseguros S.A.</v>
      </c>
      <c r="C1540" s="12">
        <f>LOOKUP(435010100,[1]PlanCuentas!$A$2:$A$6092,[1]PlanCuentas!S$2:S$6092)</f>
        <v>0</v>
      </c>
      <c r="D1540" s="12">
        <f>LOOKUP(435010200,[1]PlanCuentas!$A$2:$A$6092,[1]PlanCuentas!S$2:S$6092)</f>
        <v>0</v>
      </c>
      <c r="E1540" s="13">
        <f t="shared" si="72"/>
        <v>0</v>
      </c>
    </row>
    <row r="1541" spans="1:17" x14ac:dyDescent="0.2">
      <c r="A1541" s="10">
        <v>18</v>
      </c>
      <c r="B1541" s="11" t="str">
        <f>[1]Aseguradoras!B19</f>
        <v>Seguridad S.A Compañía de Seguros</v>
      </c>
      <c r="C1541" s="12">
        <f>LOOKUP(435010100,[1]PlanCuentas!$A$2:$A$6092,[1]PlanCuentas!T$2:T$6092)</f>
        <v>20000000</v>
      </c>
      <c r="D1541" s="12">
        <f>LOOKUP(435010200,[1]PlanCuentas!$A$2:$A$6092,[1]PlanCuentas!T$2:T$6092)</f>
        <v>0</v>
      </c>
      <c r="E1541" s="13">
        <f t="shared" si="72"/>
        <v>20000000</v>
      </c>
    </row>
    <row r="1542" spans="1:17" x14ac:dyDescent="0.2">
      <c r="A1542" s="10">
        <v>19</v>
      </c>
      <c r="B1542" s="11" t="str">
        <f>[1]Aseguradoras!B20</f>
        <v>Universo de Seguros y Reaseguros S.A.</v>
      </c>
      <c r="C1542" s="12">
        <f>LOOKUP(435010100,[1]PlanCuentas!$A$2:$A$6092,[1]PlanCuentas!U$2:U$6092)</f>
        <v>0</v>
      </c>
      <c r="D1542" s="12">
        <f>LOOKUP(435010200,[1]PlanCuentas!$A$2:$A$6092,[1]PlanCuentas!U$2:U$6092)</f>
        <v>0</v>
      </c>
      <c r="E1542" s="13">
        <f t="shared" si="72"/>
        <v>0</v>
      </c>
    </row>
    <row r="1543" spans="1:17" x14ac:dyDescent="0.2">
      <c r="A1543" s="10">
        <v>20</v>
      </c>
      <c r="B1543" s="11" t="str">
        <f>[1]Aseguradoras!B21</f>
        <v>Aseguradora Yacyreta S.A de Seguros y Reaseguros</v>
      </c>
      <c r="C1543" s="12">
        <f>LOOKUP(435010100,[1]PlanCuentas!$A$2:$A$6092,[1]PlanCuentas!V$2:V$6092)</f>
        <v>2954546</v>
      </c>
      <c r="D1543" s="12">
        <f>LOOKUP(435010200,[1]PlanCuentas!$A$2:$A$6092,[1]PlanCuentas!V$2:V$6092)</f>
        <v>0</v>
      </c>
      <c r="E1543" s="13">
        <f t="shared" si="72"/>
        <v>2954546</v>
      </c>
    </row>
    <row r="1544" spans="1:17" x14ac:dyDescent="0.2">
      <c r="A1544" s="10">
        <v>21</v>
      </c>
      <c r="B1544" s="11" t="str">
        <f>[1]Aseguradoras!B22</f>
        <v>La Agricola S.A de Seguros y Reaseguros</v>
      </c>
      <c r="C1544" s="12">
        <f>LOOKUP(435010100,[1]PlanCuentas!$A$2:$A$6092,[1]PlanCuentas!W$2:W$6092)</f>
        <v>0</v>
      </c>
      <c r="D1544" s="12">
        <f>LOOKUP(435010200,[1]PlanCuentas!$A$2:$A$6092,[1]PlanCuentas!W$2:W$6092)</f>
        <v>0</v>
      </c>
      <c r="E1544" s="13">
        <f t="shared" si="72"/>
        <v>0</v>
      </c>
    </row>
    <row r="1545" spans="1:17" x14ac:dyDescent="0.2">
      <c r="A1545" s="10">
        <v>22</v>
      </c>
      <c r="B1545" s="11" t="str">
        <f>[1]Aseguradoras!B23</f>
        <v>Grupo General de Seguros y Reaseguros S.A.</v>
      </c>
      <c r="C1545" s="12">
        <f>LOOKUP(435010100,[1]PlanCuentas!$A$2:$A$6092,[1]PlanCuentas!X$2:X$6092)</f>
        <v>0</v>
      </c>
      <c r="D1545" s="12">
        <f>LOOKUP(435010200,[1]PlanCuentas!$A$2:$A$6092,[1]PlanCuentas!X$2:X$6092)</f>
        <v>0</v>
      </c>
      <c r="E1545" s="13">
        <f t="shared" si="72"/>
        <v>0</v>
      </c>
    </row>
    <row r="1546" spans="1:17" x14ac:dyDescent="0.2">
      <c r="A1546" s="10">
        <v>23</v>
      </c>
      <c r="B1546" s="11" t="str">
        <f>[1]Aseguradoras!B24</f>
        <v>Alfa S.A de Seguros y Reaseguros</v>
      </c>
      <c r="C1546" s="12">
        <f>LOOKUP(435010100,[1]PlanCuentas!$A$2:$A$6092,[1]PlanCuentas!Y$2:Y$6092)</f>
        <v>1909091</v>
      </c>
      <c r="D1546" s="12">
        <f>LOOKUP(435010200,[1]PlanCuentas!$A$2:$A$6092,[1]PlanCuentas!Y$2:Y$6092)</f>
        <v>0</v>
      </c>
      <c r="E1546" s="13">
        <f t="shared" si="72"/>
        <v>1909091</v>
      </c>
    </row>
    <row r="1547" spans="1:17" x14ac:dyDescent="0.2">
      <c r="A1547" s="10">
        <v>24</v>
      </c>
      <c r="B1547" s="11" t="str">
        <f>[1]Aseguradoras!B25</f>
        <v>Cenit de Seguros S.A.</v>
      </c>
      <c r="C1547" s="12">
        <f>LOOKUP(435010100,[1]PlanCuentas!$A$2:$A$6092,[1]PlanCuentas!Z$2:Z$6092)</f>
        <v>18727272</v>
      </c>
      <c r="D1547" s="12">
        <f>LOOKUP(435010200,[1]PlanCuentas!$A$2:$A$6092,[1]PlanCuentas!Z$2:Z$6092)</f>
        <v>0</v>
      </c>
      <c r="E1547" s="13">
        <f t="shared" si="72"/>
        <v>18727272</v>
      </c>
    </row>
    <row r="1548" spans="1:17" x14ac:dyDescent="0.2">
      <c r="A1548" s="10">
        <v>25</v>
      </c>
      <c r="B1548" s="11" t="str">
        <f>[1]Aseguradoras!B26</f>
        <v>La Meridional Paraguaya S.A de Seguros</v>
      </c>
      <c r="C1548" s="12">
        <f>LOOKUP(435010100,[1]PlanCuentas!$A$2:$A$6092,[1]PlanCuentas!AA$2:AA$6092)</f>
        <v>0</v>
      </c>
      <c r="D1548" s="12">
        <f>LOOKUP(435010200,[1]PlanCuentas!$A$2:$A$6092,[1]PlanCuentas!AA$2:AA$6092)</f>
        <v>0</v>
      </c>
      <c r="E1548" s="13">
        <f t="shared" si="72"/>
        <v>0</v>
      </c>
    </row>
    <row r="1549" spans="1:17" x14ac:dyDescent="0.2">
      <c r="A1549" s="10">
        <v>26</v>
      </c>
      <c r="B1549" s="11" t="str">
        <f>[1]Aseguradoras!B27</f>
        <v>Aseguradora Del Este S.A de Seguros y Reaseguros</v>
      </c>
      <c r="C1549" s="12">
        <f>LOOKUP(435010100,[1]PlanCuentas!$A$2:$A$6092,[1]PlanCuentas!AB$2:AB$6092)</f>
        <v>6344097</v>
      </c>
      <c r="D1549" s="12">
        <f>LOOKUP(435010200,[1]PlanCuentas!$A$2:$A$6092,[1]PlanCuentas!AB$2:AB$6092)</f>
        <v>0</v>
      </c>
      <c r="E1549" s="13">
        <f t="shared" si="72"/>
        <v>6344097</v>
      </c>
    </row>
    <row r="1550" spans="1:17" x14ac:dyDescent="0.2">
      <c r="A1550" s="10">
        <v>27</v>
      </c>
      <c r="B1550" s="11" t="str">
        <f>[1]Aseguradoras!B28</f>
        <v>Imperio S.A de Seguros y Reaseguros</v>
      </c>
      <c r="C1550" s="12">
        <f>LOOKUP(435010100,[1]PlanCuentas!$A$2:$A$6092,[1]PlanCuentas!AC$2:AC$6092)</f>
        <v>0</v>
      </c>
      <c r="D1550" s="12">
        <f>LOOKUP(435010200,[1]PlanCuentas!$A$2:$A$6092,[1]PlanCuentas!AC$2:AC$6092)</f>
        <v>0</v>
      </c>
      <c r="E1550" s="13">
        <f t="shared" si="72"/>
        <v>0</v>
      </c>
    </row>
    <row r="1551" spans="1:17" x14ac:dyDescent="0.2">
      <c r="A1551" s="10">
        <v>28</v>
      </c>
      <c r="B1551" s="11" t="str">
        <f>[1]Aseguradoras!B29</f>
        <v>Regional S.A de Seguros y Reaseguros</v>
      </c>
      <c r="C1551" s="12">
        <f>LOOKUP(435010100,[1]PlanCuentas!$A$2:$A$6092,[1]PlanCuentas!AD$2:AD$6092)</f>
        <v>636397</v>
      </c>
      <c r="D1551" s="12">
        <f>LOOKUP(435010200,[1]PlanCuentas!$A$2:$A$6092,[1]PlanCuentas!AD$2:AD$6092)</f>
        <v>0</v>
      </c>
      <c r="E1551" s="13">
        <f t="shared" si="72"/>
        <v>636397</v>
      </c>
    </row>
    <row r="1552" spans="1:17" s="37" customFormat="1" x14ac:dyDescent="0.2">
      <c r="A1552" s="10">
        <v>29</v>
      </c>
      <c r="B1552" s="11" t="str">
        <f>[1]Aseguradoras!B30</f>
        <v>Mapfre Paraguay Compañía de Seguros S.A.</v>
      </c>
      <c r="C1552" s="12">
        <f>LOOKUP(435010100,[1]PlanCuentas!$A$2:$A$6092,[1]PlanCuentas!AE$2:AE$6092)</f>
        <v>36570046</v>
      </c>
      <c r="D1552" s="12">
        <f>LOOKUP(435010200,[1]PlanCuentas!$A$2:$A$6092,[1]PlanCuentas!AE$2:AE$6092)</f>
        <v>0</v>
      </c>
      <c r="E1552" s="13">
        <f t="shared" si="72"/>
        <v>36570046</v>
      </c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10">
        <v>30</v>
      </c>
      <c r="B1553" s="11" t="str">
        <f>[1]Aseguradoras!B31</f>
        <v>Aseguradora Tajy Propiedad Cooperativa S.A. de Seguros</v>
      </c>
      <c r="C1553" s="12">
        <f>LOOKUP(435010100,[1]PlanCuentas!$A$2:$A$6092,[1]PlanCuentas!AF$2:AF$6092)</f>
        <v>0</v>
      </c>
      <c r="D1553" s="12">
        <f>LOOKUP(435010200,[1]PlanCuentas!$A$2:$A$6092,[1]PlanCuentas!AF$2:AF$6092)</f>
        <v>0</v>
      </c>
      <c r="E1553" s="13">
        <f t="shared" si="72"/>
        <v>0</v>
      </c>
    </row>
    <row r="1554" spans="1:17" x14ac:dyDescent="0.2">
      <c r="A1554" s="10">
        <v>31</v>
      </c>
      <c r="B1554" s="11" t="str">
        <f>[1]Aseguradoras!B32</f>
        <v>Aseguradora del Sur S.A. Seguros Generales - ASUR</v>
      </c>
      <c r="C1554" s="12">
        <f>LOOKUP(435010100,[1]PlanCuentas!$A$2:$A$6092,[1]PlanCuentas!AG$2:AG$6092)</f>
        <v>0</v>
      </c>
      <c r="D1554" s="12">
        <f>LOOKUP(435010200,[1]PlanCuentas!$A$2:$A$6092,[1]PlanCuentas!AG$2:AG$6092)</f>
        <v>0</v>
      </c>
      <c r="E1554" s="13">
        <f t="shared" si="72"/>
        <v>0</v>
      </c>
    </row>
    <row r="1555" spans="1:17" x14ac:dyDescent="0.2">
      <c r="A1555" s="10">
        <v>32</v>
      </c>
      <c r="B1555" s="11" t="str">
        <f>[1]Aseguradoras!B33</f>
        <v>Panal Compañía De Seguros Generales S.A.</v>
      </c>
      <c r="C1555" s="12">
        <f>LOOKUP(435010100,[1]PlanCuentas!$A$2:$A$6092,[1]PlanCuentas!AH$2:AH$6092)</f>
        <v>0</v>
      </c>
      <c r="D1555" s="12">
        <f>LOOKUP(435010200,[1]PlanCuentas!$A$2:$A$6092,[1]PlanCuentas!AH$2:AH$6092)</f>
        <v>0</v>
      </c>
      <c r="E1555" s="13">
        <f t="shared" si="72"/>
        <v>0</v>
      </c>
    </row>
    <row r="1556" spans="1:17" x14ac:dyDescent="0.2">
      <c r="A1556" s="14">
        <v>33</v>
      </c>
      <c r="B1556" s="19" t="str">
        <f>[1]Aseguradoras!B34</f>
        <v>Sancor Seguros del Paraguay S.A.</v>
      </c>
      <c r="C1556" s="12">
        <f>LOOKUP(435010100,[1]PlanCuentas!$A$2:$A$6092,[1]PlanCuentas!AI$2:AI$6092)</f>
        <v>0</v>
      </c>
      <c r="D1556" s="12">
        <f>LOOKUP(435010200,[1]PlanCuentas!$A$2:$A$6092,[1]PlanCuentas!AI$2:AI$6092)</f>
        <v>0</v>
      </c>
      <c r="E1556" s="13">
        <f>SUM(C1556:D1556)</f>
        <v>0</v>
      </c>
    </row>
    <row r="1557" spans="1:17" x14ac:dyDescent="0.2">
      <c r="A1557" s="14"/>
      <c r="B1557" s="15" t="s">
        <v>18</v>
      </c>
      <c r="C1557" s="17">
        <f>SUBTOTAL(109,C1524:C1556)</f>
        <v>145681932</v>
      </c>
      <c r="D1557" s="17">
        <f>SUBTOTAL(109,D1524:D1556)</f>
        <v>0</v>
      </c>
      <c r="E1557" s="17">
        <f>SUBTOTAL(109,E1524:E1556)</f>
        <v>145681932</v>
      </c>
    </row>
    <row r="1559" spans="1:17" ht="28.35" customHeight="1" x14ac:dyDescent="0.2">
      <c r="A1559" s="1" t="s">
        <v>90</v>
      </c>
      <c r="B1559" s="45" t="s">
        <v>94</v>
      </c>
      <c r="C1559" s="45"/>
      <c r="D1559" s="46"/>
      <c r="E1559" s="46"/>
      <c r="F1559" s="4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</row>
    <row r="1560" spans="1:17" ht="24" x14ac:dyDescent="0.2">
      <c r="A1560" s="7" t="s">
        <v>2</v>
      </c>
      <c r="B1560" s="8" t="s">
        <v>3</v>
      </c>
      <c r="C1560" s="9" t="s">
        <v>95</v>
      </c>
      <c r="D1560" s="8" t="s">
        <v>18</v>
      </c>
    </row>
    <row r="1561" spans="1:17" x14ac:dyDescent="0.2">
      <c r="A1561" s="10">
        <v>1</v>
      </c>
      <c r="B1561" s="11" t="str">
        <f>[1]Aseguradoras!B2</f>
        <v>El Comercio Paraguayo S.A. de Seguros</v>
      </c>
      <c r="C1561" s="12">
        <f>LOOKUP(435020100,[1]PlanCuentas!$A$2:$A$6092,[1]PlanCuentas!C$2:C$6092)</f>
        <v>0</v>
      </c>
      <c r="D1561" s="13">
        <f t="shared" ref="D1561:D1592" si="73">SUM(C1561:C1561)</f>
        <v>0</v>
      </c>
    </row>
    <row r="1562" spans="1:17" x14ac:dyDescent="0.2">
      <c r="A1562" s="10">
        <v>2</v>
      </c>
      <c r="B1562" s="11" t="str">
        <f>[1]Aseguradoras!B3</f>
        <v>La Rural S.A de Seguros</v>
      </c>
      <c r="C1562" s="12">
        <f>LOOKUP(435020100,[1]PlanCuentas!$A$2:$A$6092,[1]PlanCuentas!D$2:D$6092)</f>
        <v>0</v>
      </c>
      <c r="D1562" s="13">
        <f t="shared" si="73"/>
        <v>0</v>
      </c>
    </row>
    <row r="1563" spans="1:17" x14ac:dyDescent="0.2">
      <c r="A1563" s="10">
        <v>3</v>
      </c>
      <c r="B1563" s="11" t="str">
        <f>[1]Aseguradoras!B4</f>
        <v>La Paraguaya S.A de Seguros</v>
      </c>
      <c r="C1563" s="12">
        <f>LOOKUP(435020100,[1]PlanCuentas!$A$2:$A$6092,[1]PlanCuentas!E$2:E$6092)</f>
        <v>0</v>
      </c>
      <c r="D1563" s="13">
        <f t="shared" si="73"/>
        <v>0</v>
      </c>
    </row>
    <row r="1564" spans="1:17" x14ac:dyDescent="0.2">
      <c r="A1564" s="10">
        <v>4</v>
      </c>
      <c r="B1564" s="11" t="str">
        <f>[1]Aseguradoras!B5</f>
        <v>Seguros Generales S. A (SEGESA)</v>
      </c>
      <c r="C1564" s="12">
        <f>LOOKUP(435020100,[1]PlanCuentas!$A$2:$A$6092,[1]PlanCuentas!F$2:F$6092)</f>
        <v>0</v>
      </c>
      <c r="D1564" s="13">
        <f t="shared" si="73"/>
        <v>0</v>
      </c>
    </row>
    <row r="1565" spans="1:17" x14ac:dyDescent="0.2">
      <c r="A1565" s="10">
        <v>5</v>
      </c>
      <c r="B1565" s="11" t="str">
        <f>[1]Aseguradoras!B6</f>
        <v>Rumbos S.A de Seguros</v>
      </c>
      <c r="C1565" s="12">
        <f>LOOKUP(435020100,[1]PlanCuentas!$A$2:$A$6092,[1]PlanCuentas!G$2:G$6092)</f>
        <v>0</v>
      </c>
      <c r="D1565" s="13">
        <f t="shared" si="73"/>
        <v>0</v>
      </c>
    </row>
    <row r="1566" spans="1:17" x14ac:dyDescent="0.2">
      <c r="A1566" s="10">
        <v>6</v>
      </c>
      <c r="B1566" s="11" t="str">
        <f>[1]Aseguradoras!B7</f>
        <v>La Consolidada S.A de Seguros</v>
      </c>
      <c r="C1566" s="12">
        <f>LOOKUP(435020100,[1]PlanCuentas!$A$2:$A$6092,[1]PlanCuentas!H$2:H$6092)</f>
        <v>0</v>
      </c>
      <c r="D1566" s="13">
        <f t="shared" si="73"/>
        <v>0</v>
      </c>
    </row>
    <row r="1567" spans="1:17" x14ac:dyDescent="0.2">
      <c r="A1567" s="10">
        <v>7</v>
      </c>
      <c r="B1567" s="11" t="str">
        <f>[1]Aseguradoras!B8</f>
        <v>El Productor S.A de Seguros y Reaseguros</v>
      </c>
      <c r="C1567" s="12">
        <f>LOOKUP(435020100,[1]PlanCuentas!$A$2:$A$6092,[1]PlanCuentas!I$2:I$6092)</f>
        <v>0</v>
      </c>
      <c r="D1567" s="13">
        <f t="shared" si="73"/>
        <v>0</v>
      </c>
    </row>
    <row r="1568" spans="1:17" x14ac:dyDescent="0.2">
      <c r="A1568" s="10">
        <v>8</v>
      </c>
      <c r="B1568" s="11" t="str">
        <f>[1]Aseguradoras!B9</f>
        <v>Atalaya S.A de Seguros Generales</v>
      </c>
      <c r="C1568" s="12">
        <f>LOOKUP(435020100,[1]PlanCuentas!$A$2:$A$6092,[1]PlanCuentas!J$2:J$6092)</f>
        <v>0</v>
      </c>
      <c r="D1568" s="13">
        <f t="shared" si="73"/>
        <v>0</v>
      </c>
    </row>
    <row r="1569" spans="1:4" x14ac:dyDescent="0.2">
      <c r="A1569" s="10">
        <v>9</v>
      </c>
      <c r="B1569" s="11" t="str">
        <f>[1]Aseguradoras!B10</f>
        <v>La Independencia de Seguros S.A.</v>
      </c>
      <c r="C1569" s="12">
        <f>LOOKUP(435020100,[1]PlanCuentas!$A$2:$A$6092,[1]PlanCuentas!K$2:K$6092)</f>
        <v>0</v>
      </c>
      <c r="D1569" s="13">
        <f t="shared" si="73"/>
        <v>0</v>
      </c>
    </row>
    <row r="1570" spans="1:4" x14ac:dyDescent="0.2">
      <c r="A1570" s="10">
        <v>10</v>
      </c>
      <c r="B1570" s="11" t="str">
        <f>[1]Aseguradoras!B11</f>
        <v>Patria S.A de Seguros y Reaseguros</v>
      </c>
      <c r="C1570" s="12">
        <f>LOOKUP(435020100,[1]PlanCuentas!$A$2:$A$6092,[1]PlanCuentas!L$2:L$6092)</f>
        <v>0</v>
      </c>
      <c r="D1570" s="13">
        <f t="shared" si="73"/>
        <v>0</v>
      </c>
    </row>
    <row r="1571" spans="1:4" x14ac:dyDescent="0.2">
      <c r="A1571" s="10">
        <v>11</v>
      </c>
      <c r="B1571" s="11" t="str">
        <f>[1]Aseguradoras!B12</f>
        <v>Garantía S.A de Seguros y Reaseguros</v>
      </c>
      <c r="C1571" s="12">
        <f>LOOKUP(435020100,[1]PlanCuentas!$A$2:$A$6092,[1]PlanCuentas!M$2:M$6092)</f>
        <v>0</v>
      </c>
      <c r="D1571" s="13">
        <f t="shared" si="73"/>
        <v>0</v>
      </c>
    </row>
    <row r="1572" spans="1:4" x14ac:dyDescent="0.2">
      <c r="A1572" s="10">
        <v>12</v>
      </c>
      <c r="B1572" s="11" t="str">
        <f>[1]Aseguradoras!B13</f>
        <v>Aseguradora Paraguaya S.A.</v>
      </c>
      <c r="C1572" s="12">
        <f>LOOKUP(435020100,[1]PlanCuentas!$A$2:$A$6092,[1]PlanCuentas!N$2:N$6092)</f>
        <v>0</v>
      </c>
      <c r="D1572" s="13">
        <f t="shared" si="73"/>
        <v>0</v>
      </c>
    </row>
    <row r="1573" spans="1:4" x14ac:dyDescent="0.2">
      <c r="A1573" s="10">
        <v>13</v>
      </c>
      <c r="B1573" s="11" t="str">
        <f>[1]Aseguradoras!B14</f>
        <v>Fénix S.A de Seguros y Reaseguros</v>
      </c>
      <c r="C1573" s="12">
        <f>LOOKUP(435020100,[1]PlanCuentas!$A$2:$A$6092,[1]PlanCuentas!O$2:O$6092)</f>
        <v>0</v>
      </c>
      <c r="D1573" s="13">
        <f t="shared" si="73"/>
        <v>0</v>
      </c>
    </row>
    <row r="1574" spans="1:4" x14ac:dyDescent="0.2">
      <c r="A1574" s="10">
        <v>14</v>
      </c>
      <c r="B1574" s="11" t="str">
        <f>[1]Aseguradoras!B15</f>
        <v>Central S.A de Seguros</v>
      </c>
      <c r="C1574" s="12">
        <f>LOOKUP(435020100,[1]PlanCuentas!$A$2:$A$6092,[1]PlanCuentas!P$2:P$6092)</f>
        <v>0</v>
      </c>
      <c r="D1574" s="13">
        <f t="shared" si="73"/>
        <v>0</v>
      </c>
    </row>
    <row r="1575" spans="1:4" x14ac:dyDescent="0.2">
      <c r="A1575" s="10">
        <v>15</v>
      </c>
      <c r="B1575" s="11" t="str">
        <f>[1]Aseguradoras!B16</f>
        <v>Seguros Chaco S.A de Seguros y Reaseguros</v>
      </c>
      <c r="C1575" s="12">
        <f>LOOKUP(435020100,[1]PlanCuentas!$A$2:$A$6092,[1]PlanCuentas!Q$2:Q$6092)</f>
        <v>0</v>
      </c>
      <c r="D1575" s="13">
        <f t="shared" si="73"/>
        <v>0</v>
      </c>
    </row>
    <row r="1576" spans="1:4" x14ac:dyDescent="0.2">
      <c r="A1576" s="10">
        <v>16</v>
      </c>
      <c r="B1576" s="11" t="str">
        <f>[1]Aseguradoras!B17</f>
        <v>El Sol Del Paraguay Compañía de Seguros y Reaseguros S.A.</v>
      </c>
      <c r="C1576" s="12">
        <f>LOOKUP(435020100,[1]PlanCuentas!$A$2:$A$6092,[1]PlanCuentas!R$2:R$6092)</f>
        <v>40000000</v>
      </c>
      <c r="D1576" s="13">
        <f t="shared" si="73"/>
        <v>40000000</v>
      </c>
    </row>
    <row r="1577" spans="1:4" x14ac:dyDescent="0.2">
      <c r="A1577" s="10">
        <v>17</v>
      </c>
      <c r="B1577" s="11" t="str">
        <f>[1]Aseguradoras!B18</f>
        <v>Intercontinental de Seguros y Reaseguros S.A.</v>
      </c>
      <c r="C1577" s="12">
        <f>LOOKUP(435020100,[1]PlanCuentas!$A$2:$A$6092,[1]PlanCuentas!S$2:S$6092)</f>
        <v>0</v>
      </c>
      <c r="D1577" s="13">
        <f t="shared" si="73"/>
        <v>0</v>
      </c>
    </row>
    <row r="1578" spans="1:4" x14ac:dyDescent="0.2">
      <c r="A1578" s="10">
        <v>18</v>
      </c>
      <c r="B1578" s="11" t="str">
        <f>[1]Aseguradoras!B19</f>
        <v>Seguridad S.A Compañía de Seguros</v>
      </c>
      <c r="C1578" s="12">
        <f>LOOKUP(435020100,[1]PlanCuentas!$A$2:$A$6092,[1]PlanCuentas!T$2:T$6092)</f>
        <v>0</v>
      </c>
      <c r="D1578" s="13">
        <f t="shared" si="73"/>
        <v>0</v>
      </c>
    </row>
    <row r="1579" spans="1:4" x14ac:dyDescent="0.2">
      <c r="A1579" s="10">
        <v>19</v>
      </c>
      <c r="B1579" s="11" t="str">
        <f>[1]Aseguradoras!B20</f>
        <v>Universo de Seguros y Reaseguros S.A.</v>
      </c>
      <c r="C1579" s="12">
        <f>LOOKUP(435020100,[1]PlanCuentas!$A$2:$A$6092,[1]PlanCuentas!U$2:U$6092)</f>
        <v>0</v>
      </c>
      <c r="D1579" s="13">
        <f t="shared" si="73"/>
        <v>0</v>
      </c>
    </row>
    <row r="1580" spans="1:4" x14ac:dyDescent="0.2">
      <c r="A1580" s="10">
        <v>20</v>
      </c>
      <c r="B1580" s="11" t="str">
        <f>[1]Aseguradoras!B21</f>
        <v>Aseguradora Yacyreta S.A de Seguros y Reaseguros</v>
      </c>
      <c r="C1580" s="12">
        <f>LOOKUP(435020100,[1]PlanCuentas!$A$2:$A$6092,[1]PlanCuentas!V$2:V$6092)</f>
        <v>0</v>
      </c>
      <c r="D1580" s="13">
        <f t="shared" si="73"/>
        <v>0</v>
      </c>
    </row>
    <row r="1581" spans="1:4" x14ac:dyDescent="0.2">
      <c r="A1581" s="10">
        <v>21</v>
      </c>
      <c r="B1581" s="11" t="str">
        <f>[1]Aseguradoras!B22</f>
        <v>La Agricola S.A de Seguros y Reaseguros</v>
      </c>
      <c r="C1581" s="12">
        <f>LOOKUP(435020100,[1]PlanCuentas!$A$2:$A$6092,[1]PlanCuentas!W$2:W$6092)</f>
        <v>0</v>
      </c>
      <c r="D1581" s="13">
        <f t="shared" si="73"/>
        <v>0</v>
      </c>
    </row>
    <row r="1582" spans="1:4" x14ac:dyDescent="0.2">
      <c r="A1582" s="10">
        <v>22</v>
      </c>
      <c r="B1582" s="11" t="str">
        <f>[1]Aseguradoras!B23</f>
        <v>Grupo General de Seguros y Reaseguros S.A.</v>
      </c>
      <c r="C1582" s="12">
        <f>LOOKUP(435020100,[1]PlanCuentas!$A$2:$A$6092,[1]PlanCuentas!X$2:X$6092)</f>
        <v>0</v>
      </c>
      <c r="D1582" s="13">
        <f t="shared" si="73"/>
        <v>0</v>
      </c>
    </row>
    <row r="1583" spans="1:4" x14ac:dyDescent="0.2">
      <c r="A1583" s="10">
        <v>23</v>
      </c>
      <c r="B1583" s="11" t="str">
        <f>[1]Aseguradoras!B24</f>
        <v>Alfa S.A de Seguros y Reaseguros</v>
      </c>
      <c r="C1583" s="12">
        <f>LOOKUP(435020100,[1]PlanCuentas!$A$2:$A$6092,[1]PlanCuentas!Y$2:Y$6092)</f>
        <v>0</v>
      </c>
      <c r="D1583" s="13">
        <f t="shared" si="73"/>
        <v>0</v>
      </c>
    </row>
    <row r="1584" spans="1:4" x14ac:dyDescent="0.2">
      <c r="A1584" s="10">
        <v>24</v>
      </c>
      <c r="B1584" s="11" t="str">
        <f>[1]Aseguradoras!B25</f>
        <v>Cenit de Seguros S.A.</v>
      </c>
      <c r="C1584" s="12">
        <f>LOOKUP(435020100,[1]PlanCuentas!$A$2:$A$6092,[1]PlanCuentas!Z$2:Z$6092)</f>
        <v>0</v>
      </c>
      <c r="D1584" s="13">
        <f t="shared" si="73"/>
        <v>0</v>
      </c>
    </row>
    <row r="1585" spans="1:17" x14ac:dyDescent="0.2">
      <c r="A1585" s="10">
        <v>25</v>
      </c>
      <c r="B1585" s="11" t="str">
        <f>[1]Aseguradoras!B26</f>
        <v>La Meridional Paraguaya S.A de Seguros</v>
      </c>
      <c r="C1585" s="12">
        <f>LOOKUP(435020100,[1]PlanCuentas!$A$2:$A$6092,[1]PlanCuentas!AA$2:AA$6092)</f>
        <v>0</v>
      </c>
      <c r="D1585" s="13">
        <f t="shared" si="73"/>
        <v>0</v>
      </c>
    </row>
    <row r="1586" spans="1:17" x14ac:dyDescent="0.2">
      <c r="A1586" s="10">
        <v>26</v>
      </c>
      <c r="B1586" s="11" t="str">
        <f>[1]Aseguradoras!B27</f>
        <v>Aseguradora Del Este S.A de Seguros y Reaseguros</v>
      </c>
      <c r="C1586" s="12">
        <f>LOOKUP(435020100,[1]PlanCuentas!$A$2:$A$6092,[1]PlanCuentas!AB$2:AB$6092)</f>
        <v>0</v>
      </c>
      <c r="D1586" s="13">
        <f t="shared" si="73"/>
        <v>0</v>
      </c>
    </row>
    <row r="1587" spans="1:17" x14ac:dyDescent="0.2">
      <c r="A1587" s="10">
        <v>27</v>
      </c>
      <c r="B1587" s="11" t="str">
        <f>[1]Aseguradoras!B28</f>
        <v>Imperio S.A de Seguros y Reaseguros</v>
      </c>
      <c r="C1587" s="12">
        <f>LOOKUP(435020100,[1]PlanCuentas!$A$2:$A$6092,[1]PlanCuentas!AC$2:AC$6092)</f>
        <v>0</v>
      </c>
      <c r="D1587" s="13">
        <f t="shared" si="73"/>
        <v>0</v>
      </c>
    </row>
    <row r="1588" spans="1:17" x14ac:dyDescent="0.2">
      <c r="A1588" s="10">
        <v>28</v>
      </c>
      <c r="B1588" s="11" t="str">
        <f>[1]Aseguradoras!B29</f>
        <v>Regional S.A de Seguros y Reaseguros</v>
      </c>
      <c r="C1588" s="12">
        <f>LOOKUP(435020100,[1]PlanCuentas!$A$2:$A$6092,[1]PlanCuentas!AD$2:AD$6092)</f>
        <v>0</v>
      </c>
      <c r="D1588" s="13">
        <f t="shared" si="73"/>
        <v>0</v>
      </c>
    </row>
    <row r="1589" spans="1:17" s="37" customFormat="1" x14ac:dyDescent="0.2">
      <c r="A1589" s="10">
        <v>29</v>
      </c>
      <c r="B1589" s="11" t="str">
        <f>[1]Aseguradoras!B30</f>
        <v>Mapfre Paraguay Compañía de Seguros S.A.</v>
      </c>
      <c r="C1589" s="12">
        <f>LOOKUP(435020100,[1]PlanCuentas!$A$2:$A$6092,[1]PlanCuentas!AE$2:AE$6092)</f>
        <v>0</v>
      </c>
      <c r="D1589" s="13">
        <f t="shared" si="73"/>
        <v>0</v>
      </c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</row>
    <row r="1590" spans="1:17" x14ac:dyDescent="0.2">
      <c r="A1590" s="10">
        <v>30</v>
      </c>
      <c r="B1590" s="11" t="str">
        <f>[1]Aseguradoras!B31</f>
        <v>Aseguradora Tajy Propiedad Cooperativa S.A. de Seguros</v>
      </c>
      <c r="C1590" s="12">
        <f>LOOKUP(435020100,[1]PlanCuentas!$A$2:$A$6092,[1]PlanCuentas!AF$2:AF$6092)</f>
        <v>0</v>
      </c>
      <c r="D1590" s="13">
        <f t="shared" si="73"/>
        <v>0</v>
      </c>
    </row>
    <row r="1591" spans="1:17" x14ac:dyDescent="0.2">
      <c r="A1591" s="10">
        <v>31</v>
      </c>
      <c r="B1591" s="11" t="str">
        <f>[1]Aseguradoras!B32</f>
        <v>Aseguradora del Sur S.A. Seguros Generales - ASUR</v>
      </c>
      <c r="C1591" s="12">
        <f>LOOKUP(435020100,[1]PlanCuentas!$A$2:$A$6092,[1]PlanCuentas!AG$2:AG$6092)</f>
        <v>0</v>
      </c>
      <c r="D1591" s="13">
        <f t="shared" si="73"/>
        <v>0</v>
      </c>
    </row>
    <row r="1592" spans="1:17" x14ac:dyDescent="0.2">
      <c r="A1592" s="10">
        <v>32</v>
      </c>
      <c r="B1592" s="11" t="str">
        <f>[1]Aseguradoras!B33</f>
        <v>Panal Compañía De Seguros Generales S.A.</v>
      </c>
      <c r="C1592" s="12">
        <f>LOOKUP(435020100,[1]PlanCuentas!$A$2:$A$6092,[1]PlanCuentas!AH$2:AH$6092)</f>
        <v>0</v>
      </c>
      <c r="D1592" s="13">
        <f t="shared" si="73"/>
        <v>0</v>
      </c>
    </row>
    <row r="1593" spans="1:17" x14ac:dyDescent="0.2">
      <c r="A1593" s="14">
        <v>33</v>
      </c>
      <c r="B1593" s="19" t="str">
        <f>[1]Aseguradoras!B34</f>
        <v>Sancor Seguros del Paraguay S.A.</v>
      </c>
      <c r="C1593" s="12">
        <f>LOOKUP(435020100,[1]PlanCuentas!$A$2:$A$6092,[1]PlanCuentas!AI$2:AI$6092)</f>
        <v>0</v>
      </c>
      <c r="D1593" s="13">
        <f>SUM(C1593:C1593)</f>
        <v>0</v>
      </c>
    </row>
    <row r="1594" spans="1:17" x14ac:dyDescent="0.2">
      <c r="A1594" s="14"/>
      <c r="B1594" s="15" t="s">
        <v>18</v>
      </c>
      <c r="C1594" s="17">
        <f>SUBTOTAL(109,C1561:C1593)</f>
        <v>40000000</v>
      </c>
      <c r="D1594" s="17">
        <f>SUBTOTAL(109,D1561:D1593)</f>
        <v>40000000</v>
      </c>
    </row>
    <row r="1596" spans="1:17" ht="28.35" customHeight="1" x14ac:dyDescent="0.2">
      <c r="A1596" s="1" t="s">
        <v>90</v>
      </c>
      <c r="B1596" s="45" t="s">
        <v>96</v>
      </c>
      <c r="C1596" s="45"/>
      <c r="D1596" s="46"/>
      <c r="E1596" s="46"/>
      <c r="F1596" s="4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</row>
    <row r="1597" spans="1:17" ht="24" x14ac:dyDescent="0.2">
      <c r="A1597" s="7" t="s">
        <v>2</v>
      </c>
      <c r="B1597" s="8" t="s">
        <v>3</v>
      </c>
      <c r="C1597" s="9" t="s">
        <v>97</v>
      </c>
      <c r="D1597" s="8" t="s">
        <v>18</v>
      </c>
    </row>
    <row r="1598" spans="1:17" x14ac:dyDescent="0.2">
      <c r="A1598" s="10">
        <v>1</v>
      </c>
      <c r="B1598" s="11" t="str">
        <f>[1]Aseguradoras!B2</f>
        <v>El Comercio Paraguayo S.A. de Seguros</v>
      </c>
      <c r="C1598" s="12">
        <f>LOOKUP(435030100,[1]PlanCuentas!$A$2:$A$6092,[1]PlanCuentas!C$2:C$6092)</f>
        <v>16915371</v>
      </c>
      <c r="D1598" s="13">
        <f t="shared" ref="D1598:D1629" si="74">SUM(C1598:C1598)</f>
        <v>16915371</v>
      </c>
    </row>
    <row r="1599" spans="1:17" x14ac:dyDescent="0.2">
      <c r="A1599" s="10">
        <v>2</v>
      </c>
      <c r="B1599" s="11" t="str">
        <f>[1]Aseguradoras!B3</f>
        <v>La Rural S.A de Seguros</v>
      </c>
      <c r="C1599" s="12">
        <f>LOOKUP(435030100,[1]PlanCuentas!$A$2:$A$6092,[1]PlanCuentas!D$2:D$6092)</f>
        <v>7635651</v>
      </c>
      <c r="D1599" s="13">
        <f t="shared" si="74"/>
        <v>7635651</v>
      </c>
    </row>
    <row r="1600" spans="1:17" x14ac:dyDescent="0.2">
      <c r="A1600" s="10">
        <v>3</v>
      </c>
      <c r="B1600" s="11" t="str">
        <f>[1]Aseguradoras!B4</f>
        <v>La Paraguaya S.A de Seguros</v>
      </c>
      <c r="C1600" s="12">
        <f>LOOKUP(435030100,[1]PlanCuentas!$A$2:$A$6092,[1]PlanCuentas!E$2:E$6092)</f>
        <v>5280038</v>
      </c>
      <c r="D1600" s="13">
        <f t="shared" si="74"/>
        <v>5280038</v>
      </c>
    </row>
    <row r="1601" spans="1:4" x14ac:dyDescent="0.2">
      <c r="A1601" s="10">
        <v>4</v>
      </c>
      <c r="B1601" s="11" t="str">
        <f>[1]Aseguradoras!B5</f>
        <v>Seguros Generales S. A (SEGESA)</v>
      </c>
      <c r="C1601" s="12">
        <f>LOOKUP(435030100,[1]PlanCuentas!$A$2:$A$6092,[1]PlanCuentas!F$2:F$6092)</f>
        <v>39754793</v>
      </c>
      <c r="D1601" s="13">
        <f t="shared" si="74"/>
        <v>39754793</v>
      </c>
    </row>
    <row r="1602" spans="1:4" x14ac:dyDescent="0.2">
      <c r="A1602" s="10">
        <v>5</v>
      </c>
      <c r="B1602" s="11" t="str">
        <f>[1]Aseguradoras!B6</f>
        <v>Rumbos S.A de Seguros</v>
      </c>
      <c r="C1602" s="12">
        <f>LOOKUP(435030100,[1]PlanCuentas!$A$2:$A$6092,[1]PlanCuentas!G$2:G$6092)</f>
        <v>290501451</v>
      </c>
      <c r="D1602" s="13">
        <f t="shared" si="74"/>
        <v>290501451</v>
      </c>
    </row>
    <row r="1603" spans="1:4" x14ac:dyDescent="0.2">
      <c r="A1603" s="10">
        <v>6</v>
      </c>
      <c r="B1603" s="11" t="str">
        <f>[1]Aseguradoras!B7</f>
        <v>La Consolidada S.A de Seguros</v>
      </c>
      <c r="C1603" s="12">
        <f>LOOKUP(435030100,[1]PlanCuentas!$A$2:$A$6092,[1]PlanCuentas!H$2:H$6092)</f>
        <v>1482808147</v>
      </c>
      <c r="D1603" s="13">
        <f t="shared" si="74"/>
        <v>1482808147</v>
      </c>
    </row>
    <row r="1604" spans="1:4" x14ac:dyDescent="0.2">
      <c r="A1604" s="10">
        <v>7</v>
      </c>
      <c r="B1604" s="11" t="str">
        <f>[1]Aseguradoras!B8</f>
        <v>El Productor S.A de Seguros y Reaseguros</v>
      </c>
      <c r="C1604" s="12">
        <f>LOOKUP(435030100,[1]PlanCuentas!$A$2:$A$6092,[1]PlanCuentas!I$2:I$6092)</f>
        <v>61194413</v>
      </c>
      <c r="D1604" s="13">
        <f t="shared" si="74"/>
        <v>61194413</v>
      </c>
    </row>
    <row r="1605" spans="1:4" x14ac:dyDescent="0.2">
      <c r="A1605" s="10">
        <v>8</v>
      </c>
      <c r="B1605" s="11" t="str">
        <f>[1]Aseguradoras!B9</f>
        <v>Atalaya S.A de Seguros Generales</v>
      </c>
      <c r="C1605" s="12">
        <f>LOOKUP(435030100,[1]PlanCuentas!$A$2:$A$6092,[1]PlanCuentas!J$2:J$6092)</f>
        <v>119067629</v>
      </c>
      <c r="D1605" s="13">
        <f t="shared" si="74"/>
        <v>119067629</v>
      </c>
    </row>
    <row r="1606" spans="1:4" x14ac:dyDescent="0.2">
      <c r="A1606" s="10">
        <v>9</v>
      </c>
      <c r="B1606" s="11" t="str">
        <f>[1]Aseguradoras!B10</f>
        <v>La Independencia de Seguros S.A.</v>
      </c>
      <c r="C1606" s="12">
        <f>LOOKUP(435030100,[1]PlanCuentas!$A$2:$A$6092,[1]PlanCuentas!K$2:K$6092)</f>
        <v>19783675</v>
      </c>
      <c r="D1606" s="13">
        <f t="shared" si="74"/>
        <v>19783675</v>
      </c>
    </row>
    <row r="1607" spans="1:4" x14ac:dyDescent="0.2">
      <c r="A1607" s="10">
        <v>10</v>
      </c>
      <c r="B1607" s="11" t="str">
        <f>[1]Aseguradoras!B11</f>
        <v>Patria S.A de Seguros y Reaseguros</v>
      </c>
      <c r="C1607" s="12">
        <f>LOOKUP(435030100,[1]PlanCuentas!$A$2:$A$6092,[1]PlanCuentas!L$2:L$6092)</f>
        <v>41753473</v>
      </c>
      <c r="D1607" s="13">
        <f t="shared" si="74"/>
        <v>41753473</v>
      </c>
    </row>
    <row r="1608" spans="1:4" x14ac:dyDescent="0.2">
      <c r="A1608" s="10">
        <v>11</v>
      </c>
      <c r="B1608" s="11" t="str">
        <f>[1]Aseguradoras!B12</f>
        <v>Garantía S.A de Seguros y Reaseguros</v>
      </c>
      <c r="C1608" s="12">
        <f>LOOKUP(435030100,[1]PlanCuentas!$A$2:$A$6092,[1]PlanCuentas!M$2:M$6092)</f>
        <v>82342181</v>
      </c>
      <c r="D1608" s="13">
        <f t="shared" si="74"/>
        <v>82342181</v>
      </c>
    </row>
    <row r="1609" spans="1:4" x14ac:dyDescent="0.2">
      <c r="A1609" s="10">
        <v>12</v>
      </c>
      <c r="B1609" s="11" t="str">
        <f>[1]Aseguradoras!B13</f>
        <v>Aseguradora Paraguaya S.A.</v>
      </c>
      <c r="C1609" s="12">
        <f>LOOKUP(435030100,[1]PlanCuentas!$A$2:$A$6092,[1]PlanCuentas!N$2:N$6092)</f>
        <v>725792507</v>
      </c>
      <c r="D1609" s="13">
        <f t="shared" si="74"/>
        <v>725792507</v>
      </c>
    </row>
    <row r="1610" spans="1:4" x14ac:dyDescent="0.2">
      <c r="A1610" s="10">
        <v>13</v>
      </c>
      <c r="B1610" s="11" t="str">
        <f>[1]Aseguradoras!B14</f>
        <v>Fénix S.A de Seguros y Reaseguros</v>
      </c>
      <c r="C1610" s="12">
        <f>LOOKUP(435030100,[1]PlanCuentas!$A$2:$A$6092,[1]PlanCuentas!O$2:O$6092)</f>
        <v>72766221</v>
      </c>
      <c r="D1610" s="13">
        <f t="shared" si="74"/>
        <v>72766221</v>
      </c>
    </row>
    <row r="1611" spans="1:4" x14ac:dyDescent="0.2">
      <c r="A1611" s="10">
        <v>14</v>
      </c>
      <c r="B1611" s="11" t="str">
        <f>[1]Aseguradoras!B15</f>
        <v>Central S.A de Seguros</v>
      </c>
      <c r="C1611" s="12">
        <f>LOOKUP(435030100,[1]PlanCuentas!$A$2:$A$6092,[1]PlanCuentas!P$2:P$6092)</f>
        <v>36384826</v>
      </c>
      <c r="D1611" s="13">
        <f t="shared" si="74"/>
        <v>36384826</v>
      </c>
    </row>
    <row r="1612" spans="1:4" x14ac:dyDescent="0.2">
      <c r="A1612" s="10">
        <v>15</v>
      </c>
      <c r="B1612" s="11" t="str">
        <f>[1]Aseguradoras!B16</f>
        <v>Seguros Chaco S.A de Seguros y Reaseguros</v>
      </c>
      <c r="C1612" s="12">
        <f>LOOKUP(435030100,[1]PlanCuentas!$A$2:$A$6092,[1]PlanCuentas!Q$2:Q$6092)</f>
        <v>12216408</v>
      </c>
      <c r="D1612" s="13">
        <f t="shared" si="74"/>
        <v>12216408</v>
      </c>
    </row>
    <row r="1613" spans="1:4" x14ac:dyDescent="0.2">
      <c r="A1613" s="10">
        <v>16</v>
      </c>
      <c r="B1613" s="11" t="str">
        <f>[1]Aseguradoras!B17</f>
        <v>El Sol Del Paraguay Compañía de Seguros y Reaseguros S.A.</v>
      </c>
      <c r="C1613" s="12">
        <f>LOOKUP(435030100,[1]PlanCuentas!$A$2:$A$6092,[1]PlanCuentas!R$2:R$6092)</f>
        <v>88249105</v>
      </c>
      <c r="D1613" s="13">
        <f t="shared" si="74"/>
        <v>88249105</v>
      </c>
    </row>
    <row r="1614" spans="1:4" x14ac:dyDescent="0.2">
      <c r="A1614" s="10">
        <v>17</v>
      </c>
      <c r="B1614" s="11" t="str">
        <f>[1]Aseguradoras!B18</f>
        <v>Intercontinental de Seguros y Reaseguros S.A.</v>
      </c>
      <c r="C1614" s="12">
        <f>LOOKUP(435030100,[1]PlanCuentas!$A$2:$A$6092,[1]PlanCuentas!S$2:S$6092)</f>
        <v>17647226</v>
      </c>
      <c r="D1614" s="13">
        <f t="shared" si="74"/>
        <v>17647226</v>
      </c>
    </row>
    <row r="1615" spans="1:4" x14ac:dyDescent="0.2">
      <c r="A1615" s="10">
        <v>18</v>
      </c>
      <c r="B1615" s="11" t="str">
        <f>[1]Aseguradoras!B19</f>
        <v>Seguridad S.A Compañía de Seguros</v>
      </c>
      <c r="C1615" s="12">
        <f>LOOKUP(435030100,[1]PlanCuentas!$A$2:$A$6092,[1]PlanCuentas!T$2:T$6092)</f>
        <v>122699760</v>
      </c>
      <c r="D1615" s="13">
        <f t="shared" si="74"/>
        <v>122699760</v>
      </c>
    </row>
    <row r="1616" spans="1:4" x14ac:dyDescent="0.2">
      <c r="A1616" s="10">
        <v>19</v>
      </c>
      <c r="B1616" s="11" t="str">
        <f>[1]Aseguradoras!B20</f>
        <v>Universo de Seguros y Reaseguros S.A.</v>
      </c>
      <c r="C1616" s="12">
        <f>LOOKUP(435030100,[1]PlanCuentas!$A$2:$A$6092,[1]PlanCuentas!U$2:U$6092)</f>
        <v>246982091</v>
      </c>
      <c r="D1616" s="13">
        <f t="shared" si="74"/>
        <v>246982091</v>
      </c>
    </row>
    <row r="1617" spans="1:17" x14ac:dyDescent="0.2">
      <c r="A1617" s="10">
        <v>20</v>
      </c>
      <c r="B1617" s="11" t="str">
        <f>[1]Aseguradoras!B21</f>
        <v>Aseguradora Yacyreta S.A de Seguros y Reaseguros</v>
      </c>
      <c r="C1617" s="12">
        <f>LOOKUP(435030100,[1]PlanCuentas!$A$2:$A$6092,[1]PlanCuentas!V$2:V$6092)</f>
        <v>205176163</v>
      </c>
      <c r="D1617" s="13">
        <f t="shared" si="74"/>
        <v>205176163</v>
      </c>
    </row>
    <row r="1618" spans="1:17" x14ac:dyDescent="0.2">
      <c r="A1618" s="10">
        <v>21</v>
      </c>
      <c r="B1618" s="11" t="str">
        <f>[1]Aseguradoras!B22</f>
        <v>La Agricola S.A de Seguros y Reaseguros</v>
      </c>
      <c r="C1618" s="12">
        <f>LOOKUP(435030100,[1]PlanCuentas!$A$2:$A$6092,[1]PlanCuentas!W$2:W$6092)</f>
        <v>60843693</v>
      </c>
      <c r="D1618" s="13">
        <f t="shared" si="74"/>
        <v>60843693</v>
      </c>
    </row>
    <row r="1619" spans="1:17" x14ac:dyDescent="0.2">
      <c r="A1619" s="10">
        <v>22</v>
      </c>
      <c r="B1619" s="11" t="str">
        <f>[1]Aseguradoras!B23</f>
        <v>Grupo General de Seguros y Reaseguros S.A.</v>
      </c>
      <c r="C1619" s="12">
        <f>LOOKUP(435030100,[1]PlanCuentas!$A$2:$A$6092,[1]PlanCuentas!X$2:X$6092)</f>
        <v>168593537</v>
      </c>
      <c r="D1619" s="13">
        <f t="shared" si="74"/>
        <v>168593537</v>
      </c>
    </row>
    <row r="1620" spans="1:17" x14ac:dyDescent="0.2">
      <c r="A1620" s="10">
        <v>23</v>
      </c>
      <c r="B1620" s="11" t="str">
        <f>[1]Aseguradoras!B24</f>
        <v>Alfa S.A de Seguros y Reaseguros</v>
      </c>
      <c r="C1620" s="12">
        <f>LOOKUP(435030100,[1]PlanCuentas!$A$2:$A$6092,[1]PlanCuentas!Y$2:Y$6092)</f>
        <v>31439079</v>
      </c>
      <c r="D1620" s="13">
        <f t="shared" si="74"/>
        <v>31439079</v>
      </c>
    </row>
    <row r="1621" spans="1:17" x14ac:dyDescent="0.2">
      <c r="A1621" s="10">
        <v>24</v>
      </c>
      <c r="B1621" s="11" t="str">
        <f>[1]Aseguradoras!B25</f>
        <v>Cenit de Seguros S.A.</v>
      </c>
      <c r="C1621" s="12">
        <f>LOOKUP(435030100,[1]PlanCuentas!$A$2:$A$6092,[1]PlanCuentas!Z$2:Z$6092)</f>
        <v>28419717</v>
      </c>
      <c r="D1621" s="13">
        <f t="shared" si="74"/>
        <v>28419717</v>
      </c>
    </row>
    <row r="1622" spans="1:17" x14ac:dyDescent="0.2">
      <c r="A1622" s="10">
        <v>25</v>
      </c>
      <c r="B1622" s="11" t="str">
        <f>[1]Aseguradoras!B26</f>
        <v>La Meridional Paraguaya S.A de Seguros</v>
      </c>
      <c r="C1622" s="12">
        <f>LOOKUP(435030100,[1]PlanCuentas!$A$2:$A$6092,[1]PlanCuentas!AA$2:AA$6092)</f>
        <v>5628548</v>
      </c>
      <c r="D1622" s="13">
        <f t="shared" si="74"/>
        <v>5628548</v>
      </c>
    </row>
    <row r="1623" spans="1:17" x14ac:dyDescent="0.2">
      <c r="A1623" s="10">
        <v>26</v>
      </c>
      <c r="B1623" s="11" t="str">
        <f>[1]Aseguradoras!B27</f>
        <v>Aseguradora Del Este S.A de Seguros y Reaseguros</v>
      </c>
      <c r="C1623" s="12">
        <f>LOOKUP(435030100,[1]PlanCuentas!$A$2:$A$6092,[1]PlanCuentas!AB$2:AB$6092)</f>
        <v>292238432</v>
      </c>
      <c r="D1623" s="13">
        <f t="shared" si="74"/>
        <v>292238432</v>
      </c>
    </row>
    <row r="1624" spans="1:17" x14ac:dyDescent="0.2">
      <c r="A1624" s="10">
        <v>27</v>
      </c>
      <c r="B1624" s="11" t="str">
        <f>[1]Aseguradoras!B28</f>
        <v>Imperio S.A de Seguros y Reaseguros</v>
      </c>
      <c r="C1624" s="12">
        <f>LOOKUP(435030100,[1]PlanCuentas!$A$2:$A$6092,[1]PlanCuentas!AC$2:AC$6092)</f>
        <v>86727937</v>
      </c>
      <c r="D1624" s="13">
        <f t="shared" si="74"/>
        <v>86727937</v>
      </c>
    </row>
    <row r="1625" spans="1:17" x14ac:dyDescent="0.2">
      <c r="A1625" s="10">
        <v>28</v>
      </c>
      <c r="B1625" s="11" t="str">
        <f>[1]Aseguradoras!B29</f>
        <v>Regional S.A de Seguros y Reaseguros</v>
      </c>
      <c r="C1625" s="12">
        <f>LOOKUP(435030100,[1]PlanCuentas!$A$2:$A$6092,[1]PlanCuentas!AD$2:AD$6092)</f>
        <v>798317049</v>
      </c>
      <c r="D1625" s="13">
        <f t="shared" si="74"/>
        <v>798317049</v>
      </c>
    </row>
    <row r="1626" spans="1:17" s="37" customFormat="1" x14ac:dyDescent="0.2">
      <c r="A1626" s="10">
        <v>29</v>
      </c>
      <c r="B1626" s="11" t="str">
        <f>[1]Aseguradoras!B30</f>
        <v>Mapfre Paraguay Compañía de Seguros S.A.</v>
      </c>
      <c r="C1626" s="12">
        <f>LOOKUP(435030100,[1]PlanCuentas!$A$2:$A$6092,[1]PlanCuentas!AE$2:AE$6092)</f>
        <v>1017676289</v>
      </c>
      <c r="D1626" s="13">
        <f t="shared" si="74"/>
        <v>1017676289</v>
      </c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</row>
    <row r="1627" spans="1:17" s="37" customFormat="1" x14ac:dyDescent="0.2">
      <c r="A1627" s="10">
        <v>30</v>
      </c>
      <c r="B1627" s="11" t="str">
        <f>[1]Aseguradoras!B31</f>
        <v>Aseguradora Tajy Propiedad Cooperativa S.A. de Seguros</v>
      </c>
      <c r="C1627" s="12">
        <f>LOOKUP(435030100,[1]PlanCuentas!$A$2:$A$6092,[1]PlanCuentas!AF$2:AF$6092)</f>
        <v>333130116</v>
      </c>
      <c r="D1627" s="13">
        <f t="shared" si="74"/>
        <v>333130116</v>
      </c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</row>
    <row r="1628" spans="1:17" s="37" customFormat="1" x14ac:dyDescent="0.2">
      <c r="A1628" s="10">
        <v>31</v>
      </c>
      <c r="B1628" s="11" t="str">
        <f>[1]Aseguradoras!B32</f>
        <v>Aseguradora del Sur S.A. Seguros Generales - ASUR</v>
      </c>
      <c r="C1628" s="12">
        <f>LOOKUP(435030100,[1]PlanCuentas!$A$2:$A$6092,[1]PlanCuentas!AG$2:AG$6092)</f>
        <v>144208110</v>
      </c>
      <c r="D1628" s="13">
        <f t="shared" si="74"/>
        <v>144208110</v>
      </c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</row>
    <row r="1629" spans="1:17" s="37" customFormat="1" x14ac:dyDescent="0.2">
      <c r="A1629" s="10">
        <v>32</v>
      </c>
      <c r="B1629" s="11" t="str">
        <f>[1]Aseguradoras!B33</f>
        <v>Panal Compañía De Seguros Generales S.A.</v>
      </c>
      <c r="C1629" s="12">
        <f>LOOKUP(435030100,[1]PlanCuentas!$A$2:$A$6092,[1]PlanCuentas!AH$2:AH$6092)</f>
        <v>205255638</v>
      </c>
      <c r="D1629" s="13">
        <f t="shared" si="74"/>
        <v>205255638</v>
      </c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</row>
    <row r="1630" spans="1:17" s="37" customFormat="1" x14ac:dyDescent="0.2">
      <c r="A1630" s="14">
        <v>33</v>
      </c>
      <c r="B1630" s="19" t="str">
        <f>[1]Aseguradoras!B34</f>
        <v>Sancor Seguros del Paraguay S.A.</v>
      </c>
      <c r="C1630" s="12">
        <f>LOOKUP(435030100,[1]PlanCuentas!$A$2:$A$6092,[1]PlanCuentas!AI$2:AI$6092)</f>
        <v>46386348</v>
      </c>
      <c r="D1630" s="13">
        <f>SUM(C1630:C1630)</f>
        <v>46386348</v>
      </c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</row>
    <row r="1631" spans="1:17" x14ac:dyDescent="0.2">
      <c r="A1631" s="14"/>
      <c r="B1631" s="15" t="s">
        <v>18</v>
      </c>
      <c r="C1631" s="17">
        <f>SUBTOTAL(109,C1598:C1630)</f>
        <v>6913815622</v>
      </c>
      <c r="D1631" s="17">
        <f>SUBTOTAL(109,D1598:D1630)</f>
        <v>6913815622</v>
      </c>
      <c r="E1631" s="37"/>
      <c r="F1631" s="37"/>
      <c r="G1631" s="37"/>
      <c r="H1631" s="37"/>
      <c r="I1631" s="37"/>
      <c r="J1631" s="37"/>
      <c r="K1631" s="37"/>
      <c r="L1631" s="37"/>
      <c r="M1631" s="37"/>
      <c r="N1631" s="37"/>
      <c r="O1631" s="37"/>
      <c r="P1631" s="37"/>
      <c r="Q1631" s="37"/>
    </row>
    <row r="1632" spans="1:17" x14ac:dyDescent="0.2">
      <c r="B1632" s="37"/>
      <c r="C1632" s="37"/>
      <c r="D1632" s="37"/>
      <c r="E1632" s="37"/>
      <c r="F1632" s="37"/>
      <c r="G1632" s="37"/>
      <c r="H1632" s="37"/>
      <c r="I1632" s="37"/>
      <c r="J1632" s="37"/>
      <c r="K1632" s="37"/>
      <c r="L1632" s="37"/>
      <c r="M1632" s="37"/>
      <c r="N1632" s="37"/>
      <c r="O1632" s="37"/>
      <c r="P1632" s="37"/>
      <c r="Q1632" s="37"/>
    </row>
    <row r="1633" spans="2:17" x14ac:dyDescent="0.2">
      <c r="B1633" s="37"/>
      <c r="C1633" s="37"/>
      <c r="D1633" s="37"/>
      <c r="E1633" s="37"/>
      <c r="F1633" s="37"/>
      <c r="G1633" s="37"/>
      <c r="H1633" s="37"/>
      <c r="I1633" s="37"/>
      <c r="J1633" s="37"/>
      <c r="K1633" s="37"/>
      <c r="L1633" s="37"/>
      <c r="M1633" s="37"/>
      <c r="N1633" s="37"/>
      <c r="O1633" s="37"/>
      <c r="P1633" s="37"/>
      <c r="Q1633" s="37"/>
    </row>
    <row r="1634" spans="2:17" x14ac:dyDescent="0.2">
      <c r="B1634" s="37"/>
      <c r="C1634" s="37"/>
      <c r="D1634" s="37"/>
      <c r="E1634" s="37"/>
      <c r="F1634" s="37"/>
      <c r="G1634" s="37"/>
      <c r="H1634" s="37"/>
      <c r="I1634" s="37"/>
      <c r="J1634" s="37"/>
      <c r="K1634" s="37"/>
      <c r="L1634" s="37"/>
      <c r="M1634" s="37"/>
      <c r="N1634" s="37"/>
      <c r="O1634" s="37"/>
      <c r="P1634" s="37"/>
      <c r="Q1634" s="37"/>
    </row>
  </sheetData>
  <mergeCells count="54">
    <mergeCell ref="B412:C412"/>
    <mergeCell ref="B1:C1"/>
    <mergeCell ref="B38:C38"/>
    <mergeCell ref="B75:C75"/>
    <mergeCell ref="B113:C113"/>
    <mergeCell ref="B151:C151"/>
    <mergeCell ref="B189:C189"/>
    <mergeCell ref="B227:C227"/>
    <mergeCell ref="B264:C264"/>
    <mergeCell ref="B301:C301"/>
    <mergeCell ref="B338:C338"/>
    <mergeCell ref="B375:C375"/>
    <mergeCell ref="B856:C856"/>
    <mergeCell ref="B449:C449"/>
    <mergeCell ref="B486:C486"/>
    <mergeCell ref="B523:C523"/>
    <mergeCell ref="B560:C560"/>
    <mergeCell ref="B597:C597"/>
    <mergeCell ref="B634:C634"/>
    <mergeCell ref="B671:C671"/>
    <mergeCell ref="B708:C708"/>
    <mergeCell ref="B745:C745"/>
    <mergeCell ref="B782:C782"/>
    <mergeCell ref="B819:C819"/>
    <mergeCell ref="B1263:C1263"/>
    <mergeCell ref="D1263:E1263"/>
    <mergeCell ref="B893:C893"/>
    <mergeCell ref="B930:C930"/>
    <mergeCell ref="B967:C967"/>
    <mergeCell ref="B1004:C1004"/>
    <mergeCell ref="B1041:C1041"/>
    <mergeCell ref="B1078:C1078"/>
    <mergeCell ref="B1115:C1115"/>
    <mergeCell ref="B1152:C1152"/>
    <mergeCell ref="B1189:C1189"/>
    <mergeCell ref="D1189:E1189"/>
    <mergeCell ref="B1226:C1226"/>
    <mergeCell ref="B1300:C1300"/>
    <mergeCell ref="D1300:E1300"/>
    <mergeCell ref="B1337:C1337"/>
    <mergeCell ref="D1337:E1337"/>
    <mergeCell ref="B1374:C1374"/>
    <mergeCell ref="D1374:E1374"/>
    <mergeCell ref="B1559:C1559"/>
    <mergeCell ref="D1559:E1559"/>
    <mergeCell ref="B1596:C1596"/>
    <mergeCell ref="D1596:E1596"/>
    <mergeCell ref="B1411:C1411"/>
    <mergeCell ref="D1411:E1411"/>
    <mergeCell ref="B1448:C1448"/>
    <mergeCell ref="B1485:C1485"/>
    <mergeCell ref="D1485:E1485"/>
    <mergeCell ref="B1522:C1522"/>
    <mergeCell ref="D1522:E1522"/>
  </mergeCells>
  <printOptions horizontalCentered="1" verticalCentered="1"/>
  <pageMargins left="0.7" right="0.7" top="1.25390625" bottom="0.6428571428571429" header="0.3" footer="0.3"/>
  <pageSetup paperSize="5" scale="90" pageOrder="overThenDown" orientation="landscape" horizontalDpi="300" verticalDpi="300" r:id="rId1"/>
  <headerFooter>
    <oddHeader>&amp;L&amp;"Aharoni,Negrita"&amp;K01+000Banco Central del Paraguay
Superintendencia de Seguros&amp;C&amp;"Berlin Sans FB,Normal"&amp;14&amp;K002060DETALLE DE CUENTAS DE LOS INGRESOS
Periodo: 01/07/2009 al 30/06/2010
&amp;R&amp;"Aharoni,Negrita"&amp;K01+000Página: &amp;P / &amp;N</oddHeader>
    <oddFooter>&amp;C&amp;"Aharoni,Normal"&amp;K01+000Fuente: Superintendencia de Seguros</oddFooter>
  </headerFooter>
  <rowBreaks count="43" manualBreakCount="43">
    <brk id="37" max="16383" man="1"/>
    <brk id="74" max="16383" man="1"/>
    <brk id="112" max="16383" man="1"/>
    <brk id="150" max="16383" man="1"/>
    <brk id="188" max="16383" man="1"/>
    <brk id="226" max="16383" man="1"/>
    <brk id="263" max="16383" man="1"/>
    <brk id="300" max="16383" man="1"/>
    <brk id="337" max="16383" man="1"/>
    <brk id="374" max="16383" man="1"/>
    <brk id="411" max="16383" man="1"/>
    <brk id="448" max="16383" man="1"/>
    <brk id="485" max="16383" man="1"/>
    <brk id="522" max="16383" man="1"/>
    <brk id="559" max="16383" man="1"/>
    <brk id="596" max="16383" man="1"/>
    <brk id="633" max="16383" man="1"/>
    <brk id="670" max="16383" man="1"/>
    <brk id="707" max="16383" man="1"/>
    <brk id="744" max="16383" man="1"/>
    <brk id="781" max="16383" man="1"/>
    <brk id="818" max="16383" man="1"/>
    <brk id="855" max="16383" man="1"/>
    <brk id="892" max="16383" man="1"/>
    <brk id="929" max="16383" man="1"/>
    <brk id="966" max="16383" man="1"/>
    <brk id="1003" max="16383" man="1"/>
    <brk id="1040" max="16383" man="1"/>
    <brk id="1077" max="16383" man="1"/>
    <brk id="1114" max="16383" man="1"/>
    <brk id="1151" max="16383" man="1"/>
    <brk id="1188" max="16383" man="1"/>
    <brk id="1225" max="16383" man="1"/>
    <brk id="1262" max="16383" man="1"/>
    <brk id="1299" max="16383" man="1"/>
    <brk id="1336" max="16383" man="1"/>
    <brk id="1373" max="16383" man="1"/>
    <brk id="1410" max="16383" man="1"/>
    <brk id="1447" max="16383" man="1"/>
    <brk id="1484" max="16383" man="1"/>
    <brk id="1521" max="16383" man="1"/>
    <brk id="1558" max="16383" man="1"/>
    <brk id="1595" max="16383" man="1"/>
  </rowBreaks>
  <tableParts count="44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4.00.Ingresos x Seccion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Janisse Magali Gonzalez Arriola</dc:creator>
  <cp:lastModifiedBy>Janisse Magali Gonzalez Arriola</cp:lastModifiedBy>
  <dcterms:created xsi:type="dcterms:W3CDTF">2017-01-02T18:35:37Z</dcterms:created>
  <dcterms:modified xsi:type="dcterms:W3CDTF">2017-01-02T18:50:56Z</dcterms:modified>
</cp:coreProperties>
</file>