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  <Override PartName="/_xmlsignatures/sig3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C:\datos\Informes\CNV\"/>
    </mc:Choice>
  </mc:AlternateContent>
  <xr:revisionPtr revIDLastSave="0" documentId="13_ncr:201_{F23C5367-95EF-4DDA-9589-3DF9C80D72F7}" xr6:coauthVersionLast="43" xr6:coauthVersionMax="43" xr10:uidLastSave="{00000000-0000-0000-0000-000000000000}"/>
  <bookViews>
    <workbookView xWindow="-120" yWindow="-120" windowWidth="20730" windowHeight="11160" tabRatio="961" xr2:uid="{00000000-000D-0000-FFFF-FFFF00000000}"/>
  </bookViews>
  <sheets>
    <sheet name="Carátula" sheetId="15" r:id="rId1"/>
    <sheet name="BG" sheetId="1" r:id="rId2"/>
    <sheet name="ER" sheetId="40" r:id="rId3"/>
    <sheet name="VPN" sheetId="48" r:id="rId4"/>
    <sheet name="EFE" sheetId="55" r:id="rId5"/>
    <sheet name="anexoA" sheetId="49" r:id="rId6"/>
    <sheet name="A" sheetId="46" state="hidden" r:id="rId7"/>
    <sheet name="anexoB" sheetId="50" r:id="rId8"/>
    <sheet name="anexoC" sheetId="51" r:id="rId9"/>
    <sheet name="D" sheetId="7" r:id="rId10"/>
    <sheet name="E" sheetId="8" r:id="rId11"/>
    <sheet name="F" sheetId="45" r:id="rId12"/>
    <sheet name="anexoG" sheetId="52" r:id="rId13"/>
    <sheet name="H" sheetId="29" r:id="rId14"/>
    <sheet name="H (2)" sheetId="47" state="hidden" r:id="rId15"/>
    <sheet name="I " sheetId="32" r:id="rId16"/>
    <sheet name="J" sheetId="13" r:id="rId17"/>
    <sheet name="Relacionadas" sheetId="56" r:id="rId18"/>
    <sheet name="Hoja2" sheetId="23" state="hidden" r:id="rId19"/>
    <sheet name="Hoja4" sheetId="25" state="hidden" r:id="rId20"/>
    <sheet name="Hoja3" sheetId="24" state="hidden" r:id="rId21"/>
    <sheet name="Hoja6" sheetId="27" state="hidden" r:id="rId22"/>
    <sheet name="Hoja5" sheetId="26" state="hidden" r:id="rId23"/>
  </sheets>
  <definedNames>
    <definedName name="_Hlk489688979" localSheetId="18">Hoja2!$B$2</definedName>
    <definedName name="a" localSheetId="4">#REF!</definedName>
    <definedName name="a">#REF!</definedName>
    <definedName name="_xlnm.Print_Area" localSheetId="6">A!$A$1:$M$50</definedName>
    <definedName name="_xlnm.Print_Area" localSheetId="1">BG!$A$3:$H$34</definedName>
    <definedName name="_xlnm.Print_Area" localSheetId="10">E!$A$1:$G$38</definedName>
    <definedName name="_xlnm.Print_Area" localSheetId="4">EFE!$B$2:$M$52</definedName>
    <definedName name="_xlnm.Print_Area" localSheetId="2">ER!$A$1:$J$46</definedName>
    <definedName name="_xlnm.Print_Area" localSheetId="11">F!$A$1:$E$36</definedName>
    <definedName name="_xlnm.Print_Area" localSheetId="15">'I '!$A$6:$C$37</definedName>
    <definedName name="_xlnm.Print_Area" localSheetId="16">J!$A$1:$I$47</definedName>
    <definedName name="BuiltIn_Print_Area" localSheetId="4">#REF!</definedName>
    <definedName name="BuiltIn_Print_Area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3" i="56" l="1"/>
  <c r="G102" i="56"/>
  <c r="G104" i="56" s="1"/>
  <c r="G86" i="56"/>
  <c r="G87" i="56" s="1"/>
  <c r="G88" i="56" s="1"/>
  <c r="C18" i="45" l="1"/>
  <c r="J25" i="45"/>
  <c r="J33" i="45"/>
  <c r="J34" i="45" s="1"/>
  <c r="I18" i="50" l="1"/>
  <c r="J32" i="45"/>
  <c r="F45" i="52"/>
  <c r="K21" i="55" l="1"/>
  <c r="K40" i="55" s="1"/>
  <c r="K44" i="55" s="1"/>
  <c r="L21" i="55"/>
  <c r="L40" i="55" s="1"/>
  <c r="G21" i="55"/>
  <c r="I21" i="55"/>
  <c r="J21" i="55"/>
  <c r="J40" i="55" s="1"/>
  <c r="G28" i="55"/>
  <c r="I28" i="55"/>
  <c r="K28" i="55"/>
  <c r="L28" i="55"/>
  <c r="J31" i="55"/>
  <c r="I36" i="55"/>
  <c r="J36" i="55"/>
  <c r="K36" i="55"/>
  <c r="L36" i="55"/>
  <c r="I44" i="55"/>
  <c r="G36" i="55" l="1"/>
  <c r="G40" i="55"/>
  <c r="G44" i="55" s="1"/>
  <c r="G23" i="1"/>
  <c r="I25" i="50" l="1"/>
  <c r="E25" i="50"/>
  <c r="J25" i="50" s="1"/>
  <c r="C24" i="50"/>
  <c r="D24" i="50"/>
  <c r="F24" i="50"/>
  <c r="G24" i="50"/>
  <c r="H24" i="50"/>
  <c r="I24" i="50"/>
  <c r="E23" i="50"/>
  <c r="J23" i="50" s="1"/>
  <c r="E18" i="50"/>
  <c r="B24" i="50"/>
  <c r="E24" i="50" l="1"/>
  <c r="J18" i="50"/>
  <c r="J24" i="50" s="1"/>
  <c r="H15" i="48"/>
  <c r="D39" i="29"/>
  <c r="I23" i="40"/>
  <c r="I11" i="40"/>
  <c r="J30" i="49" l="1"/>
  <c r="I30" i="49"/>
  <c r="G42" i="29" l="1"/>
  <c r="F31" i="49"/>
  <c r="L31" i="49" s="1"/>
  <c r="C39" i="29" l="1"/>
  <c r="I21" i="40"/>
  <c r="G14" i="1"/>
  <c r="C10" i="1"/>
  <c r="G39" i="29" l="1"/>
  <c r="F37" i="29"/>
  <c r="D15" i="29"/>
  <c r="D41" i="29" s="1"/>
  <c r="C15" i="29"/>
  <c r="B15" i="29"/>
  <c r="E36" i="52"/>
  <c r="H39" i="52"/>
  <c r="H41" i="52" s="1"/>
  <c r="E36" i="13" l="1"/>
  <c r="E32" i="13"/>
  <c r="C15" i="52" l="1"/>
  <c r="D16" i="52" l="1"/>
  <c r="E16" i="52" s="1"/>
  <c r="F24" i="52"/>
  <c r="F30" i="52"/>
  <c r="F32" i="52" s="1"/>
  <c r="F51" i="52" s="1"/>
  <c r="C37" i="52"/>
  <c r="D38" i="52"/>
  <c r="C42" i="52"/>
  <c r="C49" i="52"/>
  <c r="E49" i="52"/>
  <c r="F49" i="52"/>
  <c r="F14" i="8"/>
  <c r="K21" i="49"/>
  <c r="F21" i="49"/>
  <c r="H30" i="49"/>
  <c r="G30" i="49"/>
  <c r="C30" i="49"/>
  <c r="D30" i="49"/>
  <c r="E30" i="49"/>
  <c r="K27" i="49"/>
  <c r="D39" i="52" l="1"/>
  <c r="D41" i="52" s="1"/>
  <c r="E41" i="52" s="1"/>
  <c r="E45" i="52" s="1"/>
  <c r="D40" i="52"/>
  <c r="C40" i="52" s="1"/>
  <c r="L21" i="49"/>
  <c r="C38" i="52"/>
  <c r="D18" i="52"/>
  <c r="E18" i="52" s="1"/>
  <c r="D17" i="52"/>
  <c r="E17" i="52" s="1"/>
  <c r="K25" i="49"/>
  <c r="K23" i="49"/>
  <c r="K19" i="49"/>
  <c r="K17" i="49"/>
  <c r="F29" i="49"/>
  <c r="F27" i="49"/>
  <c r="L27" i="49" s="1"/>
  <c r="F25" i="49"/>
  <c r="F23" i="49"/>
  <c r="F19" i="49"/>
  <c r="F17" i="49"/>
  <c r="K15" i="49"/>
  <c r="B15" i="49"/>
  <c r="C45" i="52" l="1"/>
  <c r="C39" i="52"/>
  <c r="K30" i="49"/>
  <c r="F15" i="49"/>
  <c r="L15" i="49" s="1"/>
  <c r="B30" i="49"/>
  <c r="D19" i="52"/>
  <c r="E19" i="52" s="1"/>
  <c r="L25" i="49"/>
  <c r="L23" i="49"/>
  <c r="L19" i="49"/>
  <c r="L17" i="49"/>
  <c r="L29" i="49"/>
  <c r="H17" i="48"/>
  <c r="C17" i="48"/>
  <c r="C18" i="48" s="1"/>
  <c r="I15" i="48"/>
  <c r="I16" i="48"/>
  <c r="G17" i="48"/>
  <c r="E14" i="48"/>
  <c r="E17" i="48" s="1"/>
  <c r="D17" i="48"/>
  <c r="I10" i="48"/>
  <c r="B17" i="48"/>
  <c r="B18" i="48" s="1"/>
  <c r="F17" i="48"/>
  <c r="J18" i="48"/>
  <c r="I14" i="48" l="1"/>
  <c r="L30" i="49"/>
  <c r="F30" i="49"/>
  <c r="D20" i="52"/>
  <c r="E20" i="52" s="1"/>
  <c r="D21" i="52"/>
  <c r="E21" i="52" s="1"/>
  <c r="I17" i="48"/>
  <c r="J15" i="40"/>
  <c r="D22" i="52" l="1"/>
  <c r="E22" i="52" s="1"/>
  <c r="D23" i="52"/>
  <c r="E23" i="52" s="1"/>
  <c r="E30" i="15"/>
  <c r="E29" i="15"/>
  <c r="E28" i="15"/>
  <c r="E24" i="52" l="1"/>
  <c r="E30" i="52"/>
  <c r="E32" i="52" s="1"/>
  <c r="E51" i="52" s="1"/>
  <c r="C30" i="52"/>
  <c r="C32" i="52" s="1"/>
  <c r="C51" i="52" s="1"/>
  <c r="C24" i="52"/>
  <c r="G39" i="47"/>
  <c r="E38" i="47"/>
  <c r="D38" i="47"/>
  <c r="C38" i="47"/>
  <c r="B38" i="47"/>
  <c r="F36" i="47"/>
  <c r="F34" i="47"/>
  <c r="F32" i="47"/>
  <c r="F30" i="47"/>
  <c r="F28" i="47"/>
  <c r="F26" i="47"/>
  <c r="F24" i="47"/>
  <c r="F22" i="47"/>
  <c r="F20" i="47"/>
  <c r="F18" i="47"/>
  <c r="F16" i="47"/>
  <c r="F14" i="47"/>
  <c r="F12" i="47"/>
  <c r="F38" i="47" l="1"/>
  <c r="G41" i="29"/>
  <c r="H14" i="46" l="1"/>
  <c r="I32" i="46"/>
  <c r="L32" i="46" s="1"/>
  <c r="I30" i="46"/>
  <c r="I28" i="46"/>
  <c r="I26" i="46"/>
  <c r="I24" i="46"/>
  <c r="I20" i="46"/>
  <c r="I18" i="46"/>
  <c r="L18" i="46" s="1"/>
  <c r="I16" i="46"/>
  <c r="L16" i="46" s="1"/>
  <c r="I14" i="46"/>
  <c r="L14" i="46" s="1"/>
  <c r="P10" i="46" s="1"/>
  <c r="P13" i="46"/>
  <c r="P15" i="46"/>
  <c r="P17" i="46"/>
  <c r="P19" i="46"/>
  <c r="P21" i="46"/>
  <c r="P23" i="46"/>
  <c r="D12" i="46"/>
  <c r="F12" i="46"/>
  <c r="F32" i="46"/>
  <c r="G32" i="46" s="1"/>
  <c r="F30" i="46"/>
  <c r="F28" i="46"/>
  <c r="F26" i="46"/>
  <c r="F24" i="46"/>
  <c r="F20" i="46"/>
  <c r="F18" i="46"/>
  <c r="F16" i="46"/>
  <c r="F14" i="46"/>
  <c r="G14" i="46" s="1"/>
  <c r="L12" i="46"/>
  <c r="C16" i="46"/>
  <c r="D18" i="46"/>
  <c r="D20" i="46"/>
  <c r="H20" i="46"/>
  <c r="G22" i="46"/>
  <c r="L22" i="46"/>
  <c r="G24" i="46"/>
  <c r="L24" i="46"/>
  <c r="D26" i="46"/>
  <c r="D28" i="46"/>
  <c r="L28" i="46"/>
  <c r="E30" i="46"/>
  <c r="J30" i="46"/>
  <c r="G34" i="46"/>
  <c r="L34" i="46"/>
  <c r="G36" i="46"/>
  <c r="L36" i="46"/>
  <c r="G38" i="46"/>
  <c r="L38" i="46"/>
  <c r="M38" i="46" s="1"/>
  <c r="C40" i="46"/>
  <c r="H40" i="46"/>
  <c r="J40" i="46"/>
  <c r="K40" i="46"/>
  <c r="G41" i="46"/>
  <c r="L41" i="46"/>
  <c r="M22" i="46" l="1"/>
  <c r="P22" i="46" s="1"/>
  <c r="G30" i="46"/>
  <c r="G16" i="46"/>
  <c r="M16" i="46" s="1"/>
  <c r="L20" i="46"/>
  <c r="L30" i="46"/>
  <c r="M36" i="46"/>
  <c r="G28" i="46"/>
  <c r="M28" i="46" s="1"/>
  <c r="G12" i="46"/>
  <c r="M12" i="46" s="1"/>
  <c r="P12" i="46" s="1"/>
  <c r="G20" i="46"/>
  <c r="M34" i="46"/>
  <c r="G18" i="46"/>
  <c r="M18" i="46" s="1"/>
  <c r="P18" i="46" s="1"/>
  <c r="M41" i="46"/>
  <c r="E40" i="46"/>
  <c r="G26" i="46"/>
  <c r="M32" i="46"/>
  <c r="M30" i="46"/>
  <c r="I40" i="46"/>
  <c r="L26" i="46"/>
  <c r="M24" i="46"/>
  <c r="P24" i="46" s="1"/>
  <c r="M14" i="46"/>
  <c r="P14" i="46" s="1"/>
  <c r="F40" i="46"/>
  <c r="D40" i="46"/>
  <c r="J27" i="40"/>
  <c r="J33" i="40" s="1"/>
  <c r="D26" i="45"/>
  <c r="C26" i="45"/>
  <c r="G40" i="46" l="1"/>
  <c r="L40" i="46"/>
  <c r="M20" i="46"/>
  <c r="P20" i="46" s="1"/>
  <c r="M26" i="46"/>
  <c r="P16" i="46"/>
  <c r="M40" i="46" l="1"/>
  <c r="B18" i="8"/>
  <c r="I15" i="40" l="1"/>
  <c r="E28" i="13" l="1"/>
  <c r="F13" i="29" l="1"/>
  <c r="F15" i="29"/>
  <c r="F17" i="29"/>
  <c r="F19" i="29"/>
  <c r="F21" i="29"/>
  <c r="F23" i="29"/>
  <c r="F25" i="29"/>
  <c r="F27" i="29"/>
  <c r="F29" i="29"/>
  <c r="F31" i="29"/>
  <c r="F33" i="29"/>
  <c r="F35" i="29"/>
  <c r="F39" i="29"/>
  <c r="B41" i="29"/>
  <c r="C41" i="29"/>
  <c r="E41" i="29"/>
  <c r="I27" i="40" l="1"/>
  <c r="E35" i="13" s="1"/>
  <c r="F41" i="29"/>
  <c r="I33" i="40" l="1"/>
  <c r="C23" i="1"/>
  <c r="B39" i="27" l="1"/>
  <c r="B30" i="27"/>
  <c r="B22" i="27"/>
  <c r="B13" i="27"/>
  <c r="B5" i="27"/>
  <c r="B20" i="26"/>
  <c r="C20" i="26"/>
  <c r="B44" i="25"/>
  <c r="B22" i="25"/>
  <c r="C44" i="25"/>
  <c r="C22" i="25"/>
  <c r="B56" i="23" l="1"/>
  <c r="B27" i="23"/>
  <c r="B29" i="23" s="1"/>
  <c r="B30" i="23" s="1"/>
  <c r="B20" i="23"/>
  <c r="B21" i="23" s="1"/>
  <c r="E56" i="23" l="1"/>
  <c r="B59" i="23"/>
  <c r="C9" i="24"/>
  <c r="B10" i="24"/>
  <c r="B8" i="24"/>
  <c r="B9" i="24" s="1"/>
  <c r="B17" i="24"/>
  <c r="B8" i="23"/>
  <c r="B11" i="24" l="1"/>
  <c r="B13" i="24" s="1"/>
  <c r="E3" i="24"/>
  <c r="H14" i="1" l="1"/>
  <c r="D23" i="1"/>
  <c r="D14" i="1"/>
  <c r="D25" i="1" l="1"/>
  <c r="H19" i="1"/>
  <c r="H25" i="1" s="1"/>
  <c r="E14" i="8" l="1"/>
  <c r="D32" i="15" l="1"/>
  <c r="A32" i="15"/>
  <c r="B32" i="15" l="1"/>
  <c r="E32" i="15"/>
  <c r="E15" i="8" l="1"/>
  <c r="F15" i="8" s="1"/>
  <c r="F18" i="8" s="1"/>
  <c r="E18" i="8" l="1"/>
  <c r="C18" i="8"/>
  <c r="D18" i="8"/>
  <c r="G19" i="1"/>
  <c r="E31" i="13" s="1"/>
  <c r="G25" i="1" l="1"/>
  <c r="F35" i="13" l="1"/>
  <c r="E17" i="13"/>
  <c r="F31" i="13"/>
  <c r="C14" i="1" l="1"/>
  <c r="B22" i="23" l="1"/>
  <c r="E27" i="13" l="1"/>
  <c r="C25" i="1"/>
  <c r="E14" i="13" l="1"/>
  <c r="F27" i="13"/>
</calcChain>
</file>

<file path=xl/sharedStrings.xml><?xml version="1.0" encoding="utf-8"?>
<sst xmlns="http://schemas.openxmlformats.org/spreadsheetml/2006/main" count="943" uniqueCount="560">
  <si>
    <t>A C T I V O</t>
  </si>
  <si>
    <t>PASIVO</t>
  </si>
  <si>
    <t>ACTIVO CORRIENTE</t>
  </si>
  <si>
    <t>PASIVO CORRIENTE</t>
  </si>
  <si>
    <t>Total del Activo Corriente</t>
  </si>
  <si>
    <t>Total del Pasivo Corriente</t>
  </si>
  <si>
    <t>ACTIVO NO CORRIENTE</t>
  </si>
  <si>
    <t>Total del Activo no Corriente</t>
  </si>
  <si>
    <t>TOTAL  ACTIVO</t>
  </si>
  <si>
    <t>(Expresado en Guaraníes)</t>
  </si>
  <si>
    <t xml:space="preserve"> </t>
  </si>
  <si>
    <t xml:space="preserve">   Impuesto a la Renta</t>
  </si>
  <si>
    <t>RUBROS</t>
  </si>
  <si>
    <t>RESERVAS</t>
  </si>
  <si>
    <t>AL INICIO DEL</t>
  </si>
  <si>
    <t>AL CIERRE DEL</t>
  </si>
  <si>
    <t>CUENTAS</t>
  </si>
  <si>
    <t>DEL PERIODO</t>
  </si>
  <si>
    <t>RESULTANTE</t>
  </si>
  <si>
    <t>ACTIVOS INTANGIBLES</t>
  </si>
  <si>
    <t>ANEXO B</t>
  </si>
  <si>
    <t xml:space="preserve">                                VALORES DE ORIGEN</t>
  </si>
  <si>
    <t xml:space="preserve">        AMORTIZACIONES</t>
  </si>
  <si>
    <t>AUMENTO</t>
  </si>
  <si>
    <t>DISMINUCION</t>
  </si>
  <si>
    <t>ACUMULADAS</t>
  </si>
  <si>
    <t>DEL</t>
  </si>
  <si>
    <t>BAJAS</t>
  </si>
  <si>
    <t xml:space="preserve">ACUM.AL CIERRE </t>
  </si>
  <si>
    <t xml:space="preserve">NETO </t>
  </si>
  <si>
    <t xml:space="preserve">INVERSIONES, ACCIONES, DEBENTURES Y OTROS TITULOS EMITIDOS EN SERIE </t>
  </si>
  <si>
    <t>PARTICIPACION EN OTRAS SOCIEDADES</t>
  </si>
  <si>
    <t>ANEXO C</t>
  </si>
  <si>
    <t>INFORMACION SOBRE EL EMISOR</t>
  </si>
  <si>
    <t>CLASE</t>
  </si>
  <si>
    <t>VALOR</t>
  </si>
  <si>
    <t>CANTIDAD</t>
  </si>
  <si>
    <t>NOMINAL</t>
  </si>
  <si>
    <t>UNITARIO</t>
  </si>
  <si>
    <t>TOTAL</t>
  </si>
  <si>
    <t>COTIZACION</t>
  </si>
  <si>
    <t>RESULTADO</t>
  </si>
  <si>
    <t>(NO APLICABLE)</t>
  </si>
  <si>
    <t>(DETALLAR)</t>
  </si>
  <si>
    <t>OTRAS INVERSIONES</t>
  </si>
  <si>
    <t>ANEXO D</t>
  </si>
  <si>
    <t>VALOR DE</t>
  </si>
  <si>
    <t>AMORTIZAC.</t>
  </si>
  <si>
    <t>VALOR REGISTRADO</t>
  </si>
  <si>
    <t>COSTO</t>
  </si>
  <si>
    <t>INVERSIONES CORRIENTES</t>
  </si>
  <si>
    <t>SUBTOTAL</t>
  </si>
  <si>
    <t>INVERSIONES NO CORRIENTES</t>
  </si>
  <si>
    <t>PREVISIONES</t>
  </si>
  <si>
    <t>ANEXO E</t>
  </si>
  <si>
    <t>SALDOS AL INICIO</t>
  </si>
  <si>
    <t>AUMENTOS</t>
  </si>
  <si>
    <t>DISMINUCIONES</t>
  </si>
  <si>
    <t xml:space="preserve">SALDOS AL </t>
  </si>
  <si>
    <t>DEDUCIDAS DEL ACTIVO</t>
  </si>
  <si>
    <t>ANEXO F</t>
  </si>
  <si>
    <t>I.</t>
  </si>
  <si>
    <t>COSTO DE MERCADERIAS O PRODUCTOS VENDIDOS</t>
  </si>
  <si>
    <t>Mercaderías de reventa</t>
  </si>
  <si>
    <t>a) Compras</t>
  </si>
  <si>
    <t>II.</t>
  </si>
  <si>
    <t>COSTO DE SERVICIOS PRESTADOS</t>
  </si>
  <si>
    <t>Y SERVICIOS PRESTADOS</t>
  </si>
  <si>
    <t>DETALLE</t>
  </si>
  <si>
    <t>INFORMACION REQUERIDA SOBRE COSTOS Y GASTOS</t>
  </si>
  <si>
    <t>ANEXO H</t>
  </si>
  <si>
    <t>Servicios Básicos</t>
  </si>
  <si>
    <t>Otros Gastos</t>
  </si>
  <si>
    <t>DATOS ESTADISTICOS</t>
  </si>
  <si>
    <t>ANEXO I</t>
  </si>
  <si>
    <t>INDICADORES OPERATIVOS</t>
  </si>
  <si>
    <t>Cantidad de Empleados y Obreros</t>
  </si>
  <si>
    <t>INDICES ECONOMICOS - FINANCIEROS</t>
  </si>
  <si>
    <t>ANEXO J</t>
  </si>
  <si>
    <t>LIQUIDEZ (1)</t>
  </si>
  <si>
    <t>ENDEUDAMIENTO (2)</t>
  </si>
  <si>
    <t xml:space="preserve">        Pasivo Corriente</t>
  </si>
  <si>
    <t>Composición del Capital</t>
  </si>
  <si>
    <t>Acciones</t>
  </si>
  <si>
    <t>Suscripto</t>
  </si>
  <si>
    <t>Integrado</t>
  </si>
  <si>
    <t>Cantidad</t>
  </si>
  <si>
    <t>Tipo</t>
  </si>
  <si>
    <t>G.</t>
  </si>
  <si>
    <t>Contribuciones sociales</t>
  </si>
  <si>
    <t>Gastos de publicidad y propaganda</t>
  </si>
  <si>
    <t>EJERCICIO</t>
  </si>
  <si>
    <t>Existencias al Comienzo del Ejercicio</t>
  </si>
  <si>
    <t>Compras y Costos de Producción del Ejercicio</t>
  </si>
  <si>
    <t>Existencia al cierre del Ejercicio</t>
  </si>
  <si>
    <t>TOTAL PASIVO Y PATRIMONIO NETO</t>
  </si>
  <si>
    <t>PERIODO</t>
  </si>
  <si>
    <t xml:space="preserve">TOTALES </t>
  </si>
  <si>
    <t>Las notas y anexos que se acompañan forman parte integrante de estos estados financieros.</t>
  </si>
  <si>
    <t>REVALUO</t>
  </si>
  <si>
    <t>ACUMULADO AL FIN DEL PERIODO</t>
  </si>
  <si>
    <t>ESTADOS CONTABLES</t>
  </si>
  <si>
    <t xml:space="preserve">Patrimonio Neto </t>
  </si>
  <si>
    <t xml:space="preserve">   Resultado Neto</t>
  </si>
  <si>
    <t xml:space="preserve">Total Pasivo </t>
  </si>
  <si>
    <t>Diferencia de Cambio</t>
  </si>
  <si>
    <t xml:space="preserve">Otros Créditos </t>
  </si>
  <si>
    <t xml:space="preserve">   Ganancia del Período</t>
  </si>
  <si>
    <t>AL INICIO PERIODO</t>
  </si>
  <si>
    <t>NOTAS</t>
  </si>
  <si>
    <t xml:space="preserve">Disponibilidades </t>
  </si>
  <si>
    <t xml:space="preserve">Créditos por Ventas </t>
  </si>
  <si>
    <t xml:space="preserve">Bienes de Cambio </t>
  </si>
  <si>
    <t xml:space="preserve">Deudas Financieras </t>
  </si>
  <si>
    <t xml:space="preserve">Deudas Comerciales  </t>
  </si>
  <si>
    <t xml:space="preserve">Deudas Sociales e Impositivas </t>
  </si>
  <si>
    <t>Anexo F</t>
  </si>
  <si>
    <t>Anexo H</t>
  </si>
  <si>
    <t xml:space="preserve">   Gastos de Administración </t>
  </si>
  <si>
    <t xml:space="preserve">   Gastos de Comercialización </t>
  </si>
  <si>
    <t xml:space="preserve">   Otros Ingresos </t>
  </si>
  <si>
    <t xml:space="preserve">   Costo de las Mercaderías Vendidas </t>
  </si>
  <si>
    <t xml:space="preserve">   Ventas Netas </t>
  </si>
  <si>
    <t xml:space="preserve">Propiedades, Planta y Equipo </t>
  </si>
  <si>
    <t xml:space="preserve">       Patrimonio Neto </t>
  </si>
  <si>
    <t xml:space="preserve">    Patrimonio Neto Excluido el Resultado del Ejerc.</t>
  </si>
  <si>
    <t>LEGAL</t>
  </si>
  <si>
    <t>Presidente</t>
  </si>
  <si>
    <t>ESTADO DE VARIACION DEL PATRIMONIO NETO</t>
  </si>
  <si>
    <t>COSTO DE MERCADERIAS O PRODUCTOS VENDIDOS O SERVICIOS PRESTADOS</t>
  </si>
  <si>
    <t>Síndico</t>
  </si>
  <si>
    <t>Gastos Pagados por Adelantado</t>
  </si>
  <si>
    <t>Sueldos y Jornales</t>
  </si>
  <si>
    <t>Gastos de rodados</t>
  </si>
  <si>
    <t>Créditos incobrables</t>
  </si>
  <si>
    <t>GASTOS DE COMERCIALIZACIÓN</t>
  </si>
  <si>
    <t>GASTOS DE ADMINISTRACIÓN</t>
  </si>
  <si>
    <t>GASTOS FINANCIEROS</t>
  </si>
  <si>
    <t>GASTOS NO OPERATIVOS</t>
  </si>
  <si>
    <t>Cantidad de Sucursales (unidades físicas)</t>
  </si>
  <si>
    <t>Lic. Ronald Duerksen F.</t>
  </si>
  <si>
    <t xml:space="preserve">        Contador</t>
  </si>
  <si>
    <t xml:space="preserve">Impuestos, Tasas y contribuciones </t>
  </si>
  <si>
    <t>Wilfried Ediger</t>
  </si>
  <si>
    <t xml:space="preserve">  Presidente</t>
  </si>
  <si>
    <t>Votos</t>
  </si>
  <si>
    <t>Intereses a bancos y Bonos</t>
  </si>
  <si>
    <t>FACULTATIVA</t>
  </si>
  <si>
    <t>Volumen de Ventas (miles de guaraníes)</t>
  </si>
  <si>
    <t>Consumo de Energía (miles de guaraníes)</t>
  </si>
  <si>
    <t xml:space="preserve">1)     Activo Corriente                                                                       = </t>
  </si>
  <si>
    <t>2)     Total del Pasivo                                                                       =</t>
  </si>
  <si>
    <t>3)     Resultado antes del Impuesto a la Renta                                   =</t>
  </si>
  <si>
    <t xml:space="preserve">     Síndico</t>
  </si>
  <si>
    <t xml:space="preserve">                                        Síndico</t>
  </si>
  <si>
    <t xml:space="preserve">   Reserva Legal</t>
  </si>
  <si>
    <t>Deudores por Ventas</t>
  </si>
  <si>
    <t>Regalías y honorarios por servicios técnicos</t>
  </si>
  <si>
    <t xml:space="preserve">Temi Goertzen </t>
  </si>
  <si>
    <t>Depreciación de propiedades, planta y equipo</t>
  </si>
  <si>
    <t>Previsión p/ Cuentas Incobrables</t>
  </si>
  <si>
    <t>Previsiones para Obsolescencia</t>
  </si>
  <si>
    <t>ESTADO DE RESULTADOS</t>
  </si>
  <si>
    <t>CAPITAL</t>
  </si>
  <si>
    <t>Previsión p/ Publicidad y Propaganda</t>
  </si>
  <si>
    <t>Las notas que se acompañan forman parte integrante de estos estados financieros.</t>
  </si>
  <si>
    <t>Cuenta</t>
  </si>
  <si>
    <t>Saldo expresado en Guaraníes al:</t>
  </si>
  <si>
    <t>Saldo Expresado en Guaraníes al:</t>
  </si>
  <si>
    <t>(-) Previsión p/ Cuentas Incobrables</t>
  </si>
  <si>
    <t>Cheques Adelantados</t>
  </si>
  <si>
    <t>Cheques Rechazados</t>
  </si>
  <si>
    <t>(-) Previsión p/ Cheques Rechazados</t>
  </si>
  <si>
    <t>TOTALES</t>
  </si>
  <si>
    <t>Situación</t>
  </si>
  <si>
    <t>Monto</t>
  </si>
  <si>
    <t xml:space="preserve">Previsiones </t>
  </si>
  <si>
    <t>(en G.)</t>
  </si>
  <si>
    <t>% Prev. s/ Cartera</t>
  </si>
  <si>
    <t>A. Total Cartera no Vencida</t>
  </si>
  <si>
    <t>B. Composición Cartera Vencida</t>
  </si>
  <si>
    <t>   B.1. Normal</t>
  </si>
  <si>
    <t>   B.2. En Gestión de Cobro</t>
  </si>
  <si>
    <t>   B.3. En Gestión de Cobro Judicial</t>
  </si>
  <si>
    <t>Sub-total Cartera Vencida</t>
  </si>
  <si>
    <t>TOTAL DE LA CARTERA AL 31/03/2018 (A+B)</t>
  </si>
  <si>
    <t>(-) TOTAL PREVISIONES AL 31/03/2018</t>
  </si>
  <si>
    <t>TOTAL NETO CARTERA DE CREDITOS AL 31/03/2018</t>
  </si>
  <si>
    <t>Retención IVA</t>
  </si>
  <si>
    <t>Retención Impuesto a la Renta</t>
  </si>
  <si>
    <t>Anticipo Impuesto a la Renta</t>
  </si>
  <si>
    <t>Impuesto al Valor Agregado</t>
  </si>
  <si>
    <t>Adelanto de Sueldos y Remuneraciones</t>
  </si>
  <si>
    <t>Garantía de Alquiler</t>
  </si>
  <si>
    <t>Anticipo a Proveedores</t>
  </si>
  <si>
    <t>Mercaderías para reventa</t>
  </si>
  <si>
    <t>Previsiones para obsolescencia</t>
  </si>
  <si>
    <t>Mercaderías en curso</t>
  </si>
  <si>
    <t>CORRIENTE</t>
  </si>
  <si>
    <t xml:space="preserve">Préstamos </t>
  </si>
  <si>
    <t>Banco Familiar</t>
  </si>
  <si>
    <t>Banco Familiar Intereses a Pagar</t>
  </si>
  <si>
    <t>Banco Regional Intereses a Pagar</t>
  </si>
  <si>
    <t>Total Préstamos</t>
  </si>
  <si>
    <t>Sobregiro Bancario</t>
  </si>
  <si>
    <t>Total Sobregiro</t>
  </si>
  <si>
    <t>TOTAL CORRIENTE</t>
  </si>
  <si>
    <t>Banco Interfisa</t>
  </si>
  <si>
    <t xml:space="preserve">Itau </t>
  </si>
  <si>
    <t xml:space="preserve">Itau Intereses a Pagar   </t>
  </si>
  <si>
    <t xml:space="preserve">Intereses no Devengados     </t>
  </si>
  <si>
    <t>Banco Regional</t>
  </si>
  <si>
    <t>Banco BBVA</t>
  </si>
  <si>
    <t>Banco BBVA Interes a pagar</t>
  </si>
  <si>
    <t>Banco BBVA Interes no Deveng</t>
  </si>
  <si>
    <t>Banco Interfisa Intereses a pagar</t>
  </si>
  <si>
    <t>Banco Interfisa Int. No devengados</t>
  </si>
  <si>
    <t xml:space="preserve">Banco Familiar </t>
  </si>
  <si>
    <t>Banco Familiar Int. No Devengados</t>
  </si>
  <si>
    <t>Banco Regional Int. No Devengados</t>
  </si>
  <si>
    <t>Banco Do Brasil</t>
  </si>
  <si>
    <t>Banco Do Brasil Intereses a Pagar</t>
  </si>
  <si>
    <t>Banco Do Brasil Int. No Devengados</t>
  </si>
  <si>
    <t>Banco Familiar IVA no Devengado</t>
  </si>
  <si>
    <t>NO CORRIENTE</t>
  </si>
  <si>
    <t xml:space="preserve">Bonos Emitidos     </t>
  </si>
  <si>
    <t xml:space="preserve">Interes de Bonos a Pagar         </t>
  </si>
  <si>
    <t xml:space="preserve">Intereses no Devengados         </t>
  </si>
  <si>
    <t xml:space="preserve">Banco Regional           </t>
  </si>
  <si>
    <t xml:space="preserve">Banco Regional Intereses a Pagar          </t>
  </si>
  <si>
    <t xml:space="preserve">Banco Regional Inter.No Deveng.            </t>
  </si>
  <si>
    <t xml:space="preserve">Banco Regional IVA no Devengado           </t>
  </si>
  <si>
    <t>Banco Itaú</t>
  </si>
  <si>
    <t>Banco Itau Intereses a Pagar</t>
  </si>
  <si>
    <t xml:space="preserve">Bonos 2013            </t>
  </si>
  <si>
    <t>Banco Atlas</t>
  </si>
  <si>
    <t>Banco Atlas Intereses a Pagar</t>
  </si>
  <si>
    <t>Banco Atlas Intereses no Deveng.</t>
  </si>
  <si>
    <t>Banco Itau Intereses no Deveng.</t>
  </si>
  <si>
    <t>Banco Familiar Intereses no Deveng.</t>
  </si>
  <si>
    <t xml:space="preserve">Intereses de Bonos a Pagar 2013        </t>
  </si>
  <si>
    <t xml:space="preserve">Intereses no Devengados 2013 </t>
  </si>
  <si>
    <t>TOTAL NO CORRIENTE</t>
  </si>
  <si>
    <t>Proveedores de Bienes y Servicios</t>
  </si>
  <si>
    <t>Adelanto de Clientes</t>
  </si>
  <si>
    <t>30/06/118</t>
  </si>
  <si>
    <t>Dto. 13424 Ret. IVA a Pagar</t>
  </si>
  <si>
    <t>Impuesto al Valor Agregado Débito</t>
  </si>
  <si>
    <t>I.P.S. a Pagar</t>
  </si>
  <si>
    <t>Provisión Impuesto a la Renta</t>
  </si>
  <si>
    <t>Provisión para Donaciones</t>
  </si>
  <si>
    <t>Provisión para Aguinaldo</t>
  </si>
  <si>
    <t xml:space="preserve">Ventas de Mercaderías </t>
  </si>
  <si>
    <t>(-) Descuentos</t>
  </si>
  <si>
    <t>(-) Devoluciones</t>
  </si>
  <si>
    <t>Venta de Bienes de Uso</t>
  </si>
  <si>
    <t>Intereses Cobrados</t>
  </si>
  <si>
    <t>Diferencia de Cambios</t>
  </si>
  <si>
    <t>Ingresos Varios</t>
  </si>
  <si>
    <t xml:space="preserve">Ejercicio  Finalizado al </t>
  </si>
  <si>
    <t xml:space="preserve">   Ganancia  ordinaria</t>
  </si>
  <si>
    <t>tores, síndicos y consejo de vigilancia</t>
  </si>
  <si>
    <t>Remuneraciones de administradores, direc</t>
  </si>
  <si>
    <t xml:space="preserve"> Temi Goertzen</t>
  </si>
  <si>
    <t>Totales al 31/12/2017</t>
  </si>
  <si>
    <t>Bienes a Conformar Rodados</t>
  </si>
  <si>
    <t>Bienes a Conformar Inmuebles</t>
  </si>
  <si>
    <t>Mejoras en predio ajeno</t>
  </si>
  <si>
    <t>Rodados</t>
  </si>
  <si>
    <t>Equipos de informática</t>
  </si>
  <si>
    <t>Muebles y equipos</t>
  </si>
  <si>
    <t>Herramientas y enseres</t>
  </si>
  <si>
    <t>Máquinas y Equipos de Taller</t>
  </si>
  <si>
    <t>Instalaciones</t>
  </si>
  <si>
    <t>Obras Km 5</t>
  </si>
  <si>
    <t>Obras - Ñemby</t>
  </si>
  <si>
    <t>Edificios</t>
  </si>
  <si>
    <t>Terrenos</t>
  </si>
  <si>
    <t>ACUMULADO</t>
  </si>
  <si>
    <t>ALTAS</t>
  </si>
  <si>
    <t>AL INICIO</t>
  </si>
  <si>
    <t>AL CIERRE</t>
  </si>
  <si>
    <t>NETO</t>
  </si>
  <si>
    <t>DEPRECIACIONES</t>
  </si>
  <si>
    <t>VALORES DE ORIGEN</t>
  </si>
  <si>
    <t>Nº</t>
  </si>
  <si>
    <t>ANEXO A</t>
  </si>
  <si>
    <t>PROPIEDADES, PLANTA Y EQUIPO</t>
  </si>
  <si>
    <t>BALANCE GENERAL AL 30 DE JUNIO DE 2018 Y 31 DE DICIEMBRE DE 2017</t>
  </si>
  <si>
    <t>US$</t>
  </si>
  <si>
    <t>PASIVOS CORRIENTES</t>
  </si>
  <si>
    <t>ACTIVOS CORRIENTES</t>
  </si>
  <si>
    <t>ACTIVO</t>
  </si>
  <si>
    <t>VIGENTE</t>
  </si>
  <si>
    <t>MONTO</t>
  </si>
  <si>
    <t>CAMBIO</t>
  </si>
  <si>
    <t>MONEDA LOCAL</t>
  </si>
  <si>
    <t>MONEDA EXTRANJERA</t>
  </si>
  <si>
    <t>ANEXO G</t>
  </si>
  <si>
    <t>ACTIVOS Y PASIVOS EN MONEDA EXTRANJERA</t>
  </si>
  <si>
    <t>(Expresado en Guaraníes y Moneda Extranjera)</t>
  </si>
  <si>
    <t xml:space="preserve">   Gastos Financieros y Otros </t>
  </si>
  <si>
    <t>EXPRESADO EN GUARANIES</t>
  </si>
  <si>
    <t>31/12/2018</t>
  </si>
  <si>
    <t>Totales al 30/06/2018</t>
  </si>
  <si>
    <t>Bienes a Conformar - Edificios</t>
  </si>
  <si>
    <t>OK</t>
  </si>
  <si>
    <t>BALANCE GENERAL AL 31 DE DICIEMBRE DE 2017 Y 2016</t>
  </si>
  <si>
    <t>Remuneraciones de administradores, directores,</t>
  </si>
  <si>
    <t>síndicos y consejo de vigilancia</t>
  </si>
  <si>
    <t>TOTALES 31/12/2017</t>
  </si>
  <si>
    <t>TOTALES 31/12/2016</t>
  </si>
  <si>
    <t>TOTALES 31/12/18</t>
  </si>
  <si>
    <t>Por el ejercicio anual Nº 47 iniciado el 01/01/2019 al 31/03/19 presentado en forma comparativa con el periodo anterior</t>
  </si>
  <si>
    <t>Denominación: ATLANTIC SOCIEDAD ANONIMA EMISORA</t>
  </si>
  <si>
    <t>Domicilio legal: R.I. 18 Pitiantuta N° 1191 casi Rivarola Matto. Asunción</t>
  </si>
  <si>
    <t>Actividad principal: Importaciones y Representaciones</t>
  </si>
  <si>
    <t>Inscripción en el Registro Público de Comercio Nº 230 de los Estatutos Sociales  y sus modificaciones Nº 699, 993, 36, 81, 647, 1214, 1237, 763, 590, 128, 1155, 367, 650, 286, 842, 845, 846, 431, 77, 65, 629  y 84.</t>
  </si>
  <si>
    <t>Fecha de vencimiento del Estatuto o Contrato Social: Año 2093.</t>
  </si>
  <si>
    <t>Voto Múltiple</t>
  </si>
  <si>
    <t>Voto Simple</t>
  </si>
  <si>
    <t>Lic. Diego Bareiro</t>
  </si>
  <si>
    <t>Lic. Jorge Soto</t>
  </si>
  <si>
    <t>Sr. Nordahl Siemens</t>
  </si>
  <si>
    <t>BALANCE GENERAL AL 31 DE MARZO DE 2019</t>
  </si>
  <si>
    <t xml:space="preserve">CON CIFRAS COMPARATIVAS AL 31 DE DICIEMBRE DE 2018 </t>
  </si>
  <si>
    <t>Cargos Diferidos</t>
  </si>
  <si>
    <t>Otros Pasivos</t>
  </si>
  <si>
    <t>POR EL PERIODO COMPRENDIDO ENTRE EL 01 DE ENERO Y EL 31 DE MARZO DE 2019</t>
  </si>
  <si>
    <t>Comparativo con cifras del mismo periodo del año anterior</t>
  </si>
  <si>
    <t>Inscripción en la Comisión Nacional de Valores:  N° 18, Según Resolución Nº 176</t>
  </si>
  <si>
    <t>Inscripción en la Bolsa de Valores y Productos de Asunción Sociedad Anónima:  N° 24, Según Resolución Nº 85/5</t>
  </si>
  <si>
    <t>GASTOS DE ALMACENAMIENTO</t>
  </si>
  <si>
    <t>Las notas y anexos que se acompañan forman parte integrante de estos estados financieros</t>
  </si>
  <si>
    <t>Utilidad del Ejercicio</t>
  </si>
  <si>
    <t>Reserva de Revalúo</t>
  </si>
  <si>
    <t>Movimientos Subsecuentes</t>
  </si>
  <si>
    <t>Saldos al  inicio del período</t>
  </si>
  <si>
    <t>DEL EJERCICIO</t>
  </si>
  <si>
    <t>ACUMULADOS</t>
  </si>
  <si>
    <t>SOCIAL</t>
  </si>
  <si>
    <t>PATRIMONIO</t>
  </si>
  <si>
    <t>RESULTADOS</t>
  </si>
  <si>
    <t>Saldos al 31/03/19</t>
  </si>
  <si>
    <t>Saldos al 31/03/18</t>
  </si>
  <si>
    <t>ACCIONISTAS</t>
  </si>
  <si>
    <t>Autovehículos</t>
  </si>
  <si>
    <t>Eq. Informática</t>
  </si>
  <si>
    <t>Herramientas</t>
  </si>
  <si>
    <t>Maquinarias</t>
  </si>
  <si>
    <t xml:space="preserve"> Muebles y Utiles</t>
  </si>
  <si>
    <t>ACUM. AL CIERRE</t>
  </si>
  <si>
    <t>REVALUO DEL</t>
  </si>
  <si>
    <t>BAJAS DEL</t>
  </si>
  <si>
    <t>ALTAS DEL</t>
  </si>
  <si>
    <t>%</t>
  </si>
  <si>
    <t>ALTAS Y TRANS.</t>
  </si>
  <si>
    <t>Mejoras en Propiedad de Terceros</t>
  </si>
  <si>
    <t>Obras en Curso</t>
  </si>
  <si>
    <t>TOTALES 31/03/19</t>
  </si>
  <si>
    <t xml:space="preserve"> -0-</t>
  </si>
  <si>
    <t>TEMPORARIAS</t>
  </si>
  <si>
    <t>INVERSIONES</t>
  </si>
  <si>
    <t>PATRIMONIO NETO</t>
  </si>
  <si>
    <t>PARTICIPAC.</t>
  </si>
  <si>
    <t>LIBROS</t>
  </si>
  <si>
    <t>PROPORC.</t>
  </si>
  <si>
    <t>EMISOR</t>
  </si>
  <si>
    <t>PRINCIPAL</t>
  </si>
  <si>
    <t>DE</t>
  </si>
  <si>
    <t>PATRIMONIAL</t>
  </si>
  <si>
    <t xml:space="preserve">DE LOS VALORES </t>
  </si>
  <si>
    <t>S/ULTIMO BALANCE</t>
  </si>
  <si>
    <t>ACTIVIDAD</t>
  </si>
  <si>
    <t>DENOMINACION Y CARACTERISTICA</t>
  </si>
  <si>
    <t>31/03/19</t>
  </si>
  <si>
    <t xml:space="preserve">        Síndico</t>
  </si>
  <si>
    <t>31/03/2019</t>
  </si>
  <si>
    <t>EJERCICIO AL 31/03/2019</t>
  </si>
  <si>
    <t>Inmuebles y Edificios</t>
  </si>
  <si>
    <t>SUBTOTALES</t>
  </si>
  <si>
    <t>Intereses Bonos a Pagar LP</t>
  </si>
  <si>
    <t>Bonos a Pagar LP</t>
  </si>
  <si>
    <t>PASIVOS NO CORRIENTES</t>
  </si>
  <si>
    <t>Intereses Bonos a Pagar</t>
  </si>
  <si>
    <t>Bonos a Pagar</t>
  </si>
  <si>
    <t>Cuentas a Pagar M/E</t>
  </si>
  <si>
    <t>Fletes  a Pagar M/E</t>
  </si>
  <si>
    <t>Proveedores Locales M/E</t>
  </si>
  <si>
    <t>Proveedores del Exterior</t>
  </si>
  <si>
    <t xml:space="preserve">Intereses Bonos a Vencer </t>
  </si>
  <si>
    <t>ACTIVOS NO CORRIENTES</t>
  </si>
  <si>
    <t>Anticipos Proveedores del Exterior</t>
  </si>
  <si>
    <t>Valores a Vencer M/E</t>
  </si>
  <si>
    <t>Bancop M/E</t>
  </si>
  <si>
    <t>Itaú</t>
  </si>
  <si>
    <t>Regional M/E</t>
  </si>
  <si>
    <t>Banco Sudameris</t>
  </si>
  <si>
    <t>Caja Moneda Extranjera</t>
  </si>
  <si>
    <t>AL 31/12/2018</t>
  </si>
  <si>
    <t>AL 31/03/19</t>
  </si>
  <si>
    <t>Banco Continental S.A.E.C.A.</t>
  </si>
  <si>
    <t>Deudores Varios</t>
  </si>
  <si>
    <t>Anticipo de Clientes</t>
  </si>
  <si>
    <t>Proveedores M/N y M/E</t>
  </si>
  <si>
    <t>Comisión y Gastos Financieros</t>
  </si>
  <si>
    <t>Intereses Pagados</t>
  </si>
  <si>
    <t>TOTALES 31/03/18</t>
  </si>
  <si>
    <t>3.f y Anexo A</t>
  </si>
  <si>
    <t xml:space="preserve">   Gastos de Almacenamiento y Distribución</t>
  </si>
  <si>
    <t>TOTALES AL 31/03/2019</t>
  </si>
  <si>
    <t>TOTALES AL 31/12/2018</t>
  </si>
  <si>
    <t>PASIVO NO CORRIENTE</t>
  </si>
  <si>
    <t>Transferencia a Resultados Acumulados</t>
  </si>
  <si>
    <t>ESTADO DE FLUJO DE EFECTIVO</t>
  </si>
  <si>
    <t>POR EL PERIODO COMPRENDIDO ENTRE EL 01 DE ENERO AL 31 DE MARZO DEL 2019</t>
  </si>
  <si>
    <t>FLUJO DE EFECTIVO POR ACTIVIDADES DE OPERACION</t>
  </si>
  <si>
    <t>NOTA</t>
  </si>
  <si>
    <t>2° Trimestre</t>
  </si>
  <si>
    <t>3° Trimestre</t>
  </si>
  <si>
    <t>Ventas netas (cobros netos a clientes)</t>
  </si>
  <si>
    <t>Costo de ventas (pagos netos a proveedores)</t>
  </si>
  <si>
    <t xml:space="preserve">Efectivo pagado a empleados </t>
  </si>
  <si>
    <t>Efectivo cobrado/usado por otras actividades</t>
  </si>
  <si>
    <t>Efectivo neto proveniente de actividades de operación</t>
  </si>
  <si>
    <t>FLUJO DE EFECTIVO POR ACTIVIDADES DE INVERSION</t>
  </si>
  <si>
    <t>Adquisición de bienes de uso</t>
  </si>
  <si>
    <t>Efectivo neto proveniente de actividades de inversión</t>
  </si>
  <si>
    <t>FLUJO DE EFECTIVO POR ACTIVIDADES DE FINANCIACION</t>
  </si>
  <si>
    <t>Pago de Deudas Financieras</t>
  </si>
  <si>
    <t>Dividendos Pagados</t>
  </si>
  <si>
    <t>Efectivo neto proveniente de actividades de financiación</t>
  </si>
  <si>
    <t>Variación neta de la diferencia cambiaria</t>
  </si>
  <si>
    <t>Variación neta del efectivo y equivalentes a efectivo</t>
  </si>
  <si>
    <t>Más: Efectivo al inicio del período</t>
  </si>
  <si>
    <t>Efectivo al cierre del período</t>
  </si>
  <si>
    <t>Nordahl Siemens</t>
  </si>
  <si>
    <t xml:space="preserve">      Síndico</t>
  </si>
  <si>
    <r>
      <t xml:space="preserve">Auditor </t>
    </r>
    <r>
      <rPr>
        <b/>
        <sz val="10"/>
        <rFont val="Arial"/>
        <family val="2"/>
      </rPr>
      <t>(*)</t>
    </r>
  </si>
  <si>
    <t>Pago a Proveedores y Empleados</t>
  </si>
  <si>
    <t>Otros Beneficios</t>
  </si>
  <si>
    <t>Impuestos, Tasas y Patentes</t>
  </si>
  <si>
    <t>Software Informático</t>
  </si>
  <si>
    <t>Llave de Negocio</t>
  </si>
  <si>
    <t>EJERCICIO AL 31/03/18</t>
  </si>
  <si>
    <t xml:space="preserve">BALANCE GENERAL AL 31 DE MARZO DE 2019 </t>
  </si>
  <si>
    <t>Adquisición de Intangibles</t>
  </si>
  <si>
    <t>N/A</t>
  </si>
  <si>
    <t>RENTABILIDAD (3): Solo aplica al cierre del ejercicio</t>
  </si>
  <si>
    <t>|         11321004   ANTICIPO PROVEEDORES</t>
  </si>
  <si>
    <t>|         11321019   REVAL. ANT.PROVEED.</t>
  </si>
  <si>
    <t>|         11410314   EM/RF: ENT/PRESTAC</t>
  </si>
  <si>
    <t>|         11412011   ARANCEL ADUANERO</t>
  </si>
  <si>
    <t>|         11412012   DESESTIBA</t>
  </si>
  <si>
    <t>|         11412013   FLETE LOCAL E INTERN</t>
  </si>
  <si>
    <t>|         11412014   GASTOS BANCARIOS</t>
  </si>
  <si>
    <t>|         11412018   GASTOS VAR IMPORT</t>
  </si>
  <si>
    <t>|         11412019   SEGUROS IMPORTAC</t>
  </si>
  <si>
    <t>|         11412020   TASAS PORTURIAS</t>
  </si>
  <si>
    <t>|         11412021   GASTOS DESPACHO</t>
  </si>
  <si>
    <t>|         11430001   MERCADERIAS EN TRANS</t>
  </si>
  <si>
    <t>MERCADERIAS EN TRANSITO</t>
  </si>
  <si>
    <t>CUENTAS INVOLUCRADAS</t>
  </si>
  <si>
    <t>TOTAL MERCADERIAS EN TRANSITO</t>
  </si>
  <si>
    <t>PRODUCTOS TERMINADOS</t>
  </si>
  <si>
    <t>PREVISION POR OBSOLESCENCIA</t>
  </si>
  <si>
    <t>|           11321008   DEB. A REGUL.</t>
  </si>
  <si>
    <t>|           11321015   DEUDORES VARIOS</t>
  </si>
  <si>
    <t>|           11321025   ANTIC POR HONORARIOS</t>
  </si>
  <si>
    <t>|             11212401   ANTICIPO DE CLIENTES</t>
  </si>
  <si>
    <t>TOTAL BIENES DE CAMBIO</t>
  </si>
  <si>
    <t>1+2+3+4+5+6</t>
  </si>
  <si>
    <t>Neto de Previsión</t>
  </si>
  <si>
    <t>CON CIFRAS COMPARATIVAS AL 31 DE MARZO DE 2018</t>
  </si>
  <si>
    <t>INFORME SOBRE PERSONAS VINCULADAS O RELACIONADAS AL 31 DE MARZO DE 2019</t>
  </si>
  <si>
    <t>A) PARTES VINCULADAS O RELACIONADAS</t>
  </si>
  <si>
    <t>Según Art. 34 de la Ley 1.284/98</t>
  </si>
  <si>
    <t>Inciso a) Personas con derecho a voto que controlen al menos el diez porciento del capital de las mismas.</t>
  </si>
  <si>
    <t>Nombres y Apellidos</t>
  </si>
  <si>
    <t>% del capital Integrado</t>
  </si>
  <si>
    <t>1)  Carlos T. Walde</t>
  </si>
  <si>
    <t>2)  Agnes de Walde</t>
  </si>
  <si>
    <t>3) Ernesto F. Walde</t>
  </si>
  <si>
    <t>4) Roland Walde</t>
  </si>
  <si>
    <t>Inciso b)  A las sociedades anónimas en las que éstas controlen por lo menos el diez porciento del capital.</t>
  </si>
  <si>
    <t>NO APLICABLE</t>
  </si>
  <si>
    <t>Inciso c) A sus accionistas que tengan potestad de elegir en asambleas al menos un director.</t>
  </si>
  <si>
    <t>Inciso d) A sus directores, administradores, síndicos, auditores y apoderados.</t>
  </si>
  <si>
    <t>1) Nordahl Siemens</t>
  </si>
  <si>
    <t>6) Ernesto Walde</t>
  </si>
  <si>
    <t>Director Suplente</t>
  </si>
  <si>
    <t>2) Carlos T. Walde</t>
  </si>
  <si>
    <t>Vice Presidente</t>
  </si>
  <si>
    <t>7) Ernesto Wiens</t>
  </si>
  <si>
    <t>3) Eldon Unruh</t>
  </si>
  <si>
    <t>Director Titular</t>
  </si>
  <si>
    <t>8) Thomas Walde</t>
  </si>
  <si>
    <t>9) Jorge Soto</t>
  </si>
  <si>
    <t>Síndico Titular</t>
  </si>
  <si>
    <t>5) Helmut Klassen</t>
  </si>
  <si>
    <t>Inciso e) Los cónyuges y parientes hasta el segundo grado de consanguinidad de las personas referidas en los incisos anteriores.</t>
  </si>
  <si>
    <t>1) Horst Walde</t>
  </si>
  <si>
    <t>2) Gisela de Walde</t>
  </si>
  <si>
    <t>3) Alice de Walde</t>
  </si>
  <si>
    <t>4) Agatha de Walde</t>
  </si>
  <si>
    <t>5) Claus de Walde</t>
  </si>
  <si>
    <t>6) Mathias Walde</t>
  </si>
  <si>
    <t>7) Anita de Siemens</t>
  </si>
  <si>
    <t>8) Sophie de Unruh</t>
  </si>
  <si>
    <t>9) Diane de Klassen</t>
  </si>
  <si>
    <t>10) Yanine de Wiens</t>
  </si>
  <si>
    <t>11) Ernesto Wiens</t>
  </si>
  <si>
    <t>12) Clarisse de Lowen</t>
  </si>
  <si>
    <t>Según Art. 27 de la Res. 763/04</t>
  </si>
  <si>
    <t xml:space="preserve">Inversiones de la sociedad en valores de otras empresas que representen más del 10 % del activo de la sociedad </t>
  </si>
  <si>
    <t>Nombre de la Empresa</t>
  </si>
  <si>
    <t>Monto de la inversión</t>
  </si>
  <si>
    <t>Tipo de Valor</t>
  </si>
  <si>
    <r>
      <t>Indicar el porcentaje de participación en el capital integrado de la sociedad emisora (</t>
    </r>
    <r>
      <rPr>
        <b/>
        <u/>
        <sz val="9"/>
        <color indexed="8"/>
        <rFont val="Calibri"/>
        <family val="2"/>
      </rPr>
      <t>solo en el caso de inversión en acciones</t>
    </r>
    <r>
      <rPr>
        <b/>
        <sz val="9"/>
        <color indexed="8"/>
        <rFont val="Calibri"/>
        <family val="2"/>
      </rPr>
      <t>)</t>
    </r>
  </si>
  <si>
    <t>LA SOCIEDAD NO REGISTRA INVERSIONES EN OTRAS EMPRESAS</t>
  </si>
  <si>
    <t>Activos de la sociedad comprometidos en más del 20% en garantía de obligaciones de otra u otras empresas</t>
  </si>
  <si>
    <t>Valor de los Bienes Gravados</t>
  </si>
  <si>
    <t>Tipo de Bien o Valor</t>
  </si>
  <si>
    <t>Monto de la deuda Garantizada</t>
  </si>
  <si>
    <t>LA SOCIEDAD NO  REGISTRA ACTIVOS COMPROMETIDOS EN GARANTIA POR OBLIGACIONES EN OTRA U OTRAS EMPRESAS</t>
  </si>
  <si>
    <t>Según Art. 28 de la Res. 763/04</t>
  </si>
  <si>
    <t>Según Art. 1°) Resolución CNV N°1257/100</t>
  </si>
  <si>
    <t>Nombre de la Sociedad Vinculada</t>
  </si>
  <si>
    <t>Factores de Vinculación</t>
  </si>
  <si>
    <t>ALAS S.A.</t>
  </si>
  <si>
    <t>Accionista/Cliente</t>
  </si>
  <si>
    <t xml:space="preserve">      Contador</t>
  </si>
  <si>
    <t xml:space="preserve">     Sindico</t>
  </si>
  <si>
    <t xml:space="preserve">         Presidente</t>
  </si>
  <si>
    <t>B) SALDO CON  PARTES RELACIONADAS</t>
  </si>
  <si>
    <r>
      <t xml:space="preserve">     </t>
    </r>
    <r>
      <rPr>
        <b/>
        <sz val="11"/>
        <color indexed="8"/>
        <rFont val="Calibri"/>
        <family val="2"/>
      </rPr>
      <t xml:space="preserve">Al 31/12/2019 Y 31/12/2018 </t>
    </r>
  </si>
  <si>
    <t xml:space="preserve"> En forma comparativa con el mismo período del año anterior.</t>
  </si>
  <si>
    <r>
      <t>Activo</t>
    </r>
    <r>
      <rPr>
        <b/>
        <sz val="11"/>
        <color indexed="8"/>
        <rFont val="Calibri"/>
        <family val="2"/>
      </rPr>
      <t xml:space="preserve"> </t>
    </r>
  </si>
  <si>
    <t>Obs.: (distinguir nombres de partes relacionadas indicadas en A)</t>
  </si>
  <si>
    <t>Cuentas por cobrar</t>
  </si>
  <si>
    <t>Pasivo</t>
  </si>
  <si>
    <t>Cuentas a pagar</t>
  </si>
  <si>
    <t>ROLAND WALDE</t>
  </si>
  <si>
    <t>AGNES WALDE</t>
  </si>
  <si>
    <t>ERNESTO WALDE</t>
  </si>
  <si>
    <t>CARLOS WALDE</t>
  </si>
  <si>
    <r>
      <t>Ingresos</t>
    </r>
    <r>
      <rPr>
        <b/>
        <sz val="11"/>
        <color indexed="8"/>
        <rFont val="Calibri"/>
        <family val="2"/>
      </rPr>
      <t xml:space="preserve"> ( con sus conceptos y distinguir nombre de partes relacionadas indicadas en A) </t>
    </r>
  </si>
  <si>
    <t>favor si podría desglosar si hubo ingresos cobrados a partes vinculados, de ser asi desglosar</t>
  </si>
  <si>
    <t>NO APLICA</t>
  </si>
  <si>
    <r>
      <t>Egresos</t>
    </r>
    <r>
      <rPr>
        <b/>
        <sz val="11"/>
        <color indexed="8"/>
        <rFont val="Calibri"/>
        <family val="2"/>
      </rPr>
      <t xml:space="preserve"> ( con sus conceptos y distinguir nombre de partes relacionadas indicadas en A) </t>
    </r>
  </si>
  <si>
    <t>Identificación</t>
  </si>
  <si>
    <t>Concepto</t>
  </si>
  <si>
    <t>Cargo</t>
  </si>
  <si>
    <t>Remuneracion Personal superior</t>
  </si>
  <si>
    <t>Eldon Unruh</t>
  </si>
  <si>
    <t>Carlos T. Walde</t>
  </si>
  <si>
    <t>Roland Walde</t>
  </si>
  <si>
    <t>Jorge Soto</t>
  </si>
  <si>
    <t>Honorarios Profesionales</t>
  </si>
  <si>
    <t>(1) En el ejercicio 2018 se expuso en forma global.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</si>
</sst>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(* #,##0_);_(* \(#,##0\);_(* &quot;-&quot;_);_(@_)"/>
    <numFmt numFmtId="165" formatCode="_-* #,##0\ _P_t_s_-;\-* #,##0\ _P_t_s_-;_-* &quot;-&quot;\ _P_t_s_-;_-@_-"/>
    <numFmt numFmtId="166" formatCode="_-* #,##0.00\ _P_t_s_-;\-* #,##0.00\ _P_t_s_-;_-* &quot;-&quot;??\ _P_t_s_-;_-@_-"/>
    <numFmt numFmtId="167" formatCode="_-* #,##0.000\ _P_t_s_-;\-* #,##0.000\ _P_t_s_-;_-* &quot;-&quot;\ _P_t_s_-;_-@_-"/>
    <numFmt numFmtId="168" formatCode="#,##0_ ;\-#,##0\ "/>
    <numFmt numFmtId="169" formatCode="0.000"/>
    <numFmt numFmtId="170" formatCode="#,##0;\(#,##0\)"/>
    <numFmt numFmtId="171" formatCode="_(* #,##0_);_(* \(#,##0\);_(* &quot;-&quot;??_);_(@_)"/>
    <numFmt numFmtId="172" formatCode="#,##0.000"/>
    <numFmt numFmtId="173" formatCode="_-* #,##0\ _P_t_s_-;\-* #,##0\ _P_t_s_-;_-* &quot;-&quot;??\ _P_t_s_-;_-@_-"/>
    <numFmt numFmtId="174" formatCode="dd/mm/yyyy;@"/>
    <numFmt numFmtId="175" formatCode="_-* #,##0\ _G_s_._-;\-* #,##0\ _G_s_._-;_-* &quot;-&quot;\ _G_s_._-;_-@_-"/>
    <numFmt numFmtId="176" formatCode="&quot;$&quot;#,##0.00;[Red]\-&quot;$&quot;#,##0.00"/>
    <numFmt numFmtId="177" formatCode="_-* #,##0.00\ _€_-;\-* #,##0.00\ _€_-;_-* \-??\ _€_-;_-@_-"/>
    <numFmt numFmtId="178" formatCode="#,##0\ ;\(#,##0\)"/>
    <numFmt numFmtId="179" formatCode="_(* #,##0.00_);_(* \(#,##0.00\);_(* &quot;-&quot;??_);_(@_)"/>
  </numFmts>
  <fonts count="9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3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u/>
      <sz val="13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  <font>
      <b/>
      <u/>
      <sz val="11"/>
      <name val="Arial"/>
      <family val="2"/>
    </font>
    <font>
      <b/>
      <u val="double"/>
      <sz val="11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8"/>
      <color rgb="FF000000"/>
      <name val="Arial"/>
      <family val="2"/>
    </font>
    <font>
      <b/>
      <sz val="9"/>
      <color rgb="FFFF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u/>
      <sz val="9"/>
      <name val="Arial"/>
      <family val="2"/>
    </font>
    <font>
      <sz val="8"/>
      <color theme="1"/>
      <name val="Arial"/>
      <family val="2"/>
    </font>
    <font>
      <sz val="13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3"/>
      <color theme="1"/>
      <name val="Arial"/>
      <family val="2"/>
    </font>
    <font>
      <b/>
      <sz val="8"/>
      <color theme="1"/>
      <name val="Arial"/>
      <family val="2"/>
    </font>
    <font>
      <sz val="14"/>
      <color theme="5"/>
      <name val="Arial"/>
      <family val="2"/>
    </font>
    <font>
      <u/>
      <sz val="10"/>
      <color indexed="12"/>
      <name val="Arial"/>
      <family val="2"/>
    </font>
    <font>
      <sz val="8"/>
      <color rgb="FF000000"/>
      <name val="Helvetica"/>
    </font>
    <font>
      <sz val="11"/>
      <color theme="1"/>
      <name val="Arial"/>
      <family val="2"/>
    </font>
    <font>
      <sz val="11"/>
      <color rgb="FF000000"/>
      <name val="Helvetica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i/>
      <sz val="10"/>
      <name val="Arial"/>
      <family val="2"/>
    </font>
    <font>
      <b/>
      <sz val="10"/>
      <name val="Geneva"/>
    </font>
    <font>
      <b/>
      <sz val="11"/>
      <name val="Arial Narrow"/>
      <family val="2"/>
    </font>
    <font>
      <b/>
      <u/>
      <sz val="10"/>
      <name val="Geneva"/>
    </font>
    <font>
      <sz val="10"/>
      <name val="Arial Narrow"/>
      <family val="2"/>
    </font>
    <font>
      <b/>
      <sz val="10"/>
      <name val="Arial Narrow"/>
      <family val="2"/>
    </font>
    <font>
      <b/>
      <sz val="6"/>
      <name val="Arial"/>
      <family val="2"/>
    </font>
    <font>
      <b/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31" fillId="0" borderId="0"/>
    <xf numFmtId="9" fontId="4" fillId="0" borderId="0" applyFont="0" applyFill="0" applyBorder="0" applyAlignment="0" applyProtection="0"/>
    <xf numFmtId="0" fontId="4" fillId="0" borderId="0"/>
    <xf numFmtId="0" fontId="44" fillId="0" borderId="0"/>
    <xf numFmtId="9" fontId="44" fillId="0" borderId="0" applyFont="0" applyFill="0" applyBorder="0" applyAlignment="0" applyProtection="0"/>
    <xf numFmtId="0" fontId="44" fillId="0" borderId="0"/>
    <xf numFmtId="175" fontId="4" fillId="0" borderId="0" applyFont="0" applyFill="0" applyBorder="0" applyAlignment="0" applyProtection="0"/>
    <xf numFmtId="0" fontId="45" fillId="0" borderId="0"/>
    <xf numFmtId="0" fontId="46" fillId="0" borderId="0"/>
    <xf numFmtId="43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" fillId="0" borderId="0">
      <alignment vertical="top"/>
    </xf>
    <xf numFmtId="43" fontId="4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176" fontId="4" fillId="0" borderId="0" applyFont="0" applyFill="0" applyAlignment="0" applyProtection="0"/>
    <xf numFmtId="41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77" fontId="4" fillId="0" borderId="0" applyFill="0" applyBorder="0" applyAlignment="0" applyProtection="0"/>
    <xf numFmtId="9" fontId="4" fillId="0" borderId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79" fontId="4" fillId="0" borderId="0" applyFont="0" applyFill="0" applyBorder="0" applyAlignment="0" applyProtection="0"/>
  </cellStyleXfs>
  <cellXfs count="930">
    <xf numFmtId="0" fontId="0" fillId="0" borderId="0" xfId="0"/>
    <xf numFmtId="0" fontId="5" fillId="0" borderId="0" xfId="0" applyFont="1"/>
    <xf numFmtId="0" fontId="0" fillId="0" borderId="0" xfId="0" applyBorder="1"/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0" fontId="5" fillId="0" borderId="12" xfId="0" applyFont="1" applyBorder="1"/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Border="1" applyProtection="1">
      <protection locked="0"/>
    </xf>
    <xf numFmtId="0" fontId="14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/>
    <xf numFmtId="0" fontId="18" fillId="0" borderId="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3" fillId="0" borderId="13" xfId="0" applyFont="1" applyBorder="1" applyAlignment="1">
      <alignment horizontal="centerContinuous"/>
    </xf>
    <xf numFmtId="0" fontId="13" fillId="0" borderId="14" xfId="0" applyFont="1" applyBorder="1" applyAlignment="1">
      <alignment horizontal="centerContinuous"/>
    </xf>
    <xf numFmtId="3" fontId="0" fillId="0" borderId="0" xfId="0" applyNumberFormat="1"/>
    <xf numFmtId="0" fontId="13" fillId="0" borderId="15" xfId="0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3" fontId="15" fillId="0" borderId="0" xfId="0" applyNumberFormat="1" applyFont="1"/>
    <xf numFmtId="0" fontId="14" fillId="0" borderId="0" xfId="0" applyFont="1"/>
    <xf numFmtId="0" fontId="5" fillId="0" borderId="1" xfId="0" applyFont="1" applyBorder="1"/>
    <xf numFmtId="0" fontId="26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5" fillId="0" borderId="5" xfId="0" applyFont="1" applyBorder="1"/>
    <xf numFmtId="0" fontId="18" fillId="0" borderId="5" xfId="0" applyFont="1" applyBorder="1"/>
    <xf numFmtId="0" fontId="5" fillId="0" borderId="7" xfId="0" applyFont="1" applyBorder="1"/>
    <xf numFmtId="0" fontId="18" fillId="0" borderId="3" xfId="0" applyFont="1" applyBorder="1"/>
    <xf numFmtId="0" fontId="18" fillId="0" borderId="6" xfId="0" applyFont="1" applyBorder="1"/>
    <xf numFmtId="0" fontId="18" fillId="0" borderId="9" xfId="0" applyFont="1" applyBorder="1"/>
    <xf numFmtId="0" fontId="5" fillId="0" borderId="20" xfId="0" applyFont="1" applyBorder="1"/>
    <xf numFmtId="0" fontId="6" fillId="0" borderId="22" xfId="0" applyFont="1" applyBorder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23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9" fillId="0" borderId="1" xfId="0" applyFont="1" applyBorder="1" applyAlignment="1">
      <alignment horizontal="center"/>
    </xf>
    <xf numFmtId="0" fontId="22" fillId="0" borderId="15" xfId="0" applyFont="1" applyFill="1" applyBorder="1" applyAlignment="1">
      <alignment horizontal="centerContinuous"/>
    </xf>
    <xf numFmtId="0" fontId="13" fillId="0" borderId="0" xfId="0" applyFont="1" applyFill="1" applyBorder="1" applyAlignment="1">
      <alignment horizontal="centerContinuous"/>
    </xf>
    <xf numFmtId="0" fontId="19" fillId="0" borderId="0" xfId="0" applyFont="1" applyFill="1" applyBorder="1" applyAlignment="1">
      <alignment horizontal="centerContinuous"/>
    </xf>
    <xf numFmtId="0" fontId="6" fillId="0" borderId="22" xfId="0" applyFont="1" applyFill="1" applyBorder="1" applyAlignment="1">
      <alignment horizontal="centerContinuous"/>
    </xf>
    <xf numFmtId="0" fontId="6" fillId="0" borderId="15" xfId="0" applyFont="1" applyFill="1" applyBorder="1"/>
    <xf numFmtId="0" fontId="6" fillId="0" borderId="0" xfId="0" applyFont="1" applyFill="1" applyBorder="1"/>
    <xf numFmtId="0" fontId="6" fillId="0" borderId="22" xfId="0" applyFont="1" applyFill="1" applyBorder="1"/>
    <xf numFmtId="0" fontId="15" fillId="0" borderId="15" xfId="0" applyFont="1" applyFill="1" applyBorder="1"/>
    <xf numFmtId="0" fontId="15" fillId="0" borderId="0" xfId="0" applyFont="1" applyFill="1" applyBorder="1"/>
    <xf numFmtId="0" fontId="15" fillId="0" borderId="22" xfId="0" applyFont="1" applyFill="1" applyBorder="1"/>
    <xf numFmtId="0" fontId="15" fillId="0" borderId="24" xfId="0" applyFont="1" applyFill="1" applyBorder="1"/>
    <xf numFmtId="0" fontId="15" fillId="0" borderId="2" xfId="0" applyFont="1" applyFill="1" applyBorder="1"/>
    <xf numFmtId="0" fontId="15" fillId="0" borderId="25" xfId="0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4" fillId="0" borderId="1" xfId="0" applyFont="1" applyBorder="1"/>
    <xf numFmtId="0" fontId="36" fillId="0" borderId="0" xfId="0" applyFont="1"/>
    <xf numFmtId="0" fontId="4" fillId="0" borderId="0" xfId="0" applyFont="1" applyProtection="1">
      <protection locked="0"/>
    </xf>
    <xf numFmtId="170" fontId="37" fillId="0" borderId="0" xfId="9" applyNumberFormat="1" applyFont="1" applyBorder="1" applyAlignment="1"/>
    <xf numFmtId="0" fontId="4" fillId="0" borderId="1" xfId="0" applyFont="1" applyFill="1" applyBorder="1"/>
    <xf numFmtId="10" fontId="0" fillId="0" borderId="0" xfId="0" applyNumberFormat="1" applyFill="1" applyBorder="1"/>
    <xf numFmtId="10" fontId="0" fillId="0" borderId="0" xfId="0" applyNumberFormat="1" applyFill="1" applyBorder="1" applyAlignment="1">
      <alignment horizontal="right"/>
    </xf>
    <xf numFmtId="170" fontId="32" fillId="0" borderId="0" xfId="9" applyNumberFormat="1" applyFont="1" applyFill="1" applyBorder="1" applyAlignment="1">
      <alignment horizontal="left"/>
    </xf>
    <xf numFmtId="4" fontId="0" fillId="0" borderId="0" xfId="0" applyNumberFormat="1" applyFill="1" applyBorder="1"/>
    <xf numFmtId="0" fontId="4" fillId="0" borderId="7" xfId="0" applyFont="1" applyFill="1" applyBorder="1"/>
    <xf numFmtId="170" fontId="37" fillId="0" borderId="0" xfId="9" applyNumberFormat="1" applyFont="1" applyBorder="1" applyAlignment="1">
      <alignment horizontal="center"/>
    </xf>
    <xf numFmtId="173" fontId="0" fillId="0" borderId="0" xfId="1" applyNumberFormat="1" applyFont="1" applyFill="1"/>
    <xf numFmtId="0" fontId="0" fillId="0" borderId="0" xfId="0" applyFill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3" fontId="7" fillId="0" borderId="0" xfId="0" applyNumberFormat="1" applyFont="1" applyFill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170" fontId="37" fillId="0" borderId="0" xfId="9" applyNumberFormat="1" applyFont="1" applyBorder="1" applyAlignment="1">
      <alignment horizontal="left"/>
    </xf>
    <xf numFmtId="165" fontId="0" fillId="0" borderId="7" xfId="2" applyFont="1" applyFill="1" applyBorder="1"/>
    <xf numFmtId="0" fontId="8" fillId="0" borderId="5" xfId="0" applyFont="1" applyFill="1" applyBorder="1"/>
    <xf numFmtId="0" fontId="35" fillId="0" borderId="0" xfId="0" applyFont="1" applyBorder="1" applyAlignment="1"/>
    <xf numFmtId="170" fontId="34" fillId="0" borderId="0" xfId="0" applyNumberFormat="1" applyFont="1" applyBorder="1" applyAlignment="1"/>
    <xf numFmtId="170" fontId="37" fillId="0" borderId="0" xfId="0" applyNumberFormat="1" applyFont="1" applyBorder="1" applyAlignment="1"/>
    <xf numFmtId="0" fontId="37" fillId="0" borderId="0" xfId="0" applyFont="1" applyBorder="1" applyAlignment="1"/>
    <xf numFmtId="0" fontId="4" fillId="0" borderId="0" xfId="0" applyFont="1" applyFill="1" applyBorder="1"/>
    <xf numFmtId="2" fontId="0" fillId="0" borderId="0" xfId="0" applyNumberFormat="1" applyFill="1" applyBorder="1"/>
    <xf numFmtId="0" fontId="4" fillId="0" borderId="0" xfId="0" applyFont="1" applyFill="1"/>
    <xf numFmtId="170" fontId="37" fillId="0" borderId="0" xfId="0" applyNumberFormat="1" applyFont="1" applyFill="1" applyBorder="1" applyAlignment="1"/>
    <xf numFmtId="0" fontId="15" fillId="0" borderId="0" xfId="0" applyFont="1" applyFill="1"/>
    <xf numFmtId="0" fontId="22" fillId="0" borderId="0" xfId="0" applyFont="1" applyFill="1" applyAlignment="1">
      <alignment horizontal="centerContinuous"/>
    </xf>
    <xf numFmtId="0" fontId="13" fillId="0" borderId="0" xfId="0" applyFont="1" applyFill="1"/>
    <xf numFmtId="0" fontId="16" fillId="0" borderId="0" xfId="0" applyFont="1" applyFill="1"/>
    <xf numFmtId="165" fontId="0" fillId="0" borderId="0" xfId="2" applyFont="1" applyFill="1" applyBorder="1"/>
    <xf numFmtId="0" fontId="0" fillId="0" borderId="5" xfId="0" applyFill="1" applyBorder="1"/>
    <xf numFmtId="0" fontId="4" fillId="0" borderId="0" xfId="0" applyFont="1" applyFill="1" applyProtection="1">
      <protection locked="0"/>
    </xf>
    <xf numFmtId="0" fontId="13" fillId="0" borderId="0" xfId="0" applyFont="1" applyFill="1" applyProtection="1">
      <protection locked="0"/>
    </xf>
    <xf numFmtId="0" fontId="13" fillId="0" borderId="0" xfId="0" applyFont="1" applyFill="1" applyBorder="1" applyProtection="1">
      <protection locked="0"/>
    </xf>
    <xf numFmtId="0" fontId="15" fillId="0" borderId="0" xfId="0" applyFont="1" applyFill="1" applyProtection="1">
      <protection locked="0"/>
    </xf>
    <xf numFmtId="0" fontId="22" fillId="0" borderId="0" xfId="0" applyFont="1" applyFill="1"/>
    <xf numFmtId="0" fontId="0" fillId="0" borderId="3" xfId="0" applyFill="1" applyBorder="1"/>
    <xf numFmtId="0" fontId="3" fillId="0" borderId="0" xfId="0" applyFont="1" applyFill="1"/>
    <xf numFmtId="0" fontId="26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23" fillId="0" borderId="0" xfId="0" applyFont="1" applyFill="1"/>
    <xf numFmtId="0" fontId="8" fillId="0" borderId="12" xfId="0" applyFont="1" applyFill="1" applyBorder="1" applyAlignment="1">
      <alignment horizontal="center"/>
    </xf>
    <xf numFmtId="0" fontId="8" fillId="0" borderId="0" xfId="0" quotePrefix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0" fillId="0" borderId="5" xfId="0" applyFont="1" applyFill="1" applyBorder="1"/>
    <xf numFmtId="0" fontId="8" fillId="0" borderId="3" xfId="0" applyFont="1" applyFill="1" applyBorder="1"/>
    <xf numFmtId="0" fontId="12" fillId="0" borderId="0" xfId="0" applyFont="1" applyFill="1" applyProtection="1">
      <protection locked="0"/>
    </xf>
    <xf numFmtId="170" fontId="37" fillId="0" borderId="0" xfId="9" applyNumberFormat="1" applyFont="1" applyFill="1" applyBorder="1" applyAlignment="1">
      <alignment horizontal="center"/>
    </xf>
    <xf numFmtId="0" fontId="0" fillId="0" borderId="6" xfId="0" applyFill="1" applyBorder="1"/>
    <xf numFmtId="0" fontId="0" fillId="0" borderId="2" xfId="0" applyFill="1" applyBorder="1"/>
    <xf numFmtId="0" fontId="41" fillId="0" borderId="0" xfId="0" applyFont="1" applyFill="1" applyBorder="1" applyProtection="1">
      <protection locked="0"/>
    </xf>
    <xf numFmtId="0" fontId="11" fillId="0" borderId="0" xfId="0" applyFont="1" applyFill="1" applyProtection="1"/>
    <xf numFmtId="2" fontId="0" fillId="0" borderId="0" xfId="0" applyNumberFormat="1" applyFill="1"/>
    <xf numFmtId="3" fontId="0" fillId="0" borderId="0" xfId="0" applyNumberFormat="1" applyFill="1"/>
    <xf numFmtId="165" fontId="15" fillId="0" borderId="0" xfId="2" applyFont="1" applyFill="1" applyBorder="1"/>
    <xf numFmtId="3" fontId="12" fillId="0" borderId="0" xfId="0" applyNumberFormat="1" applyFont="1" applyFill="1" applyProtection="1">
      <protection locked="0"/>
    </xf>
    <xf numFmtId="170" fontId="38" fillId="0" borderId="0" xfId="9" applyNumberFormat="1" applyFont="1" applyFill="1" applyBorder="1"/>
    <xf numFmtId="170" fontId="38" fillId="0" borderId="0" xfId="9" applyNumberFormat="1" applyFont="1" applyFill="1" applyBorder="1" applyAlignment="1"/>
    <xf numFmtId="170" fontId="38" fillId="0" borderId="0" xfId="9" applyNumberFormat="1" applyFont="1" applyFill="1" applyBorder="1" applyAlignment="1">
      <alignment horizontal="center"/>
    </xf>
    <xf numFmtId="170" fontId="32" fillId="0" borderId="5" xfId="9" applyNumberFormat="1" applyFont="1" applyFill="1" applyBorder="1" applyAlignment="1">
      <alignment horizontal="left"/>
    </xf>
    <xf numFmtId="0" fontId="14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7" fillId="0" borderId="0" xfId="0" applyFont="1" applyFill="1" applyAlignment="1">
      <alignment horizontal="right"/>
    </xf>
    <xf numFmtId="0" fontId="7" fillId="0" borderId="3" xfId="0" applyFont="1" applyFill="1" applyBorder="1"/>
    <xf numFmtId="0" fontId="7" fillId="0" borderId="4" xfId="0" applyFont="1" applyFill="1" applyBorder="1"/>
    <xf numFmtId="0" fontId="7" fillId="0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Continuous"/>
    </xf>
    <xf numFmtId="165" fontId="0" fillId="0" borderId="5" xfId="2" applyFont="1" applyFill="1" applyBorder="1"/>
    <xf numFmtId="165" fontId="0" fillId="0" borderId="8" xfId="2" applyFont="1" applyFill="1" applyBorder="1"/>
    <xf numFmtId="165" fontId="0" fillId="0" borderId="21" xfId="2" applyFont="1" applyFill="1" applyBorder="1"/>
    <xf numFmtId="167" fontId="0" fillId="0" borderId="0" xfId="2" applyNumberFormat="1" applyFont="1" applyFill="1" applyBorder="1"/>
    <xf numFmtId="169" fontId="4" fillId="0" borderId="5" xfId="2" applyNumberFormat="1" applyFont="1" applyFill="1" applyBorder="1" applyAlignment="1">
      <alignment horizontal="center" vertical="center"/>
    </xf>
    <xf numFmtId="169" fontId="4" fillId="0" borderId="21" xfId="2" applyNumberFormat="1" applyFont="1" applyFill="1" applyBorder="1" applyAlignment="1">
      <alignment horizontal="center" vertical="center"/>
    </xf>
    <xf numFmtId="2" fontId="4" fillId="0" borderId="0" xfId="2" applyNumberFormat="1" applyFont="1" applyFill="1" applyBorder="1" applyAlignment="1">
      <alignment horizontal="center" vertical="center"/>
    </xf>
    <xf numFmtId="2" fontId="0" fillId="0" borderId="21" xfId="2" applyNumberFormat="1" applyFont="1" applyFill="1" applyBorder="1" applyAlignment="1">
      <alignment horizontal="center" vertical="center"/>
    </xf>
    <xf numFmtId="169" fontId="0" fillId="0" borderId="6" xfId="2" applyNumberFormat="1" applyFont="1" applyFill="1" applyBorder="1" applyAlignment="1">
      <alignment horizontal="center" vertical="center"/>
    </xf>
    <xf numFmtId="169" fontId="0" fillId="0" borderId="19" xfId="2" applyNumberFormat="1" applyFont="1" applyFill="1" applyBorder="1" applyAlignment="1">
      <alignment horizontal="center" vertical="center"/>
    </xf>
    <xf numFmtId="169" fontId="0" fillId="0" borderId="2" xfId="2" applyNumberFormat="1" applyFont="1" applyFill="1" applyBorder="1" applyAlignment="1">
      <alignment horizontal="center" vertical="center"/>
    </xf>
    <xf numFmtId="173" fontId="4" fillId="0" borderId="0" xfId="1" applyNumberFormat="1" applyFont="1" applyFill="1" applyBorder="1"/>
    <xf numFmtId="0" fontId="30" fillId="0" borderId="0" xfId="0" applyFont="1" applyFill="1"/>
    <xf numFmtId="0" fontId="19" fillId="0" borderId="0" xfId="0" applyFont="1" applyFill="1" applyAlignment="1"/>
    <xf numFmtId="173" fontId="0" fillId="0" borderId="0" xfId="0" applyNumberFormat="1" applyFill="1"/>
    <xf numFmtId="173" fontId="23" fillId="0" borderId="0" xfId="1" applyNumberFormat="1" applyFont="1" applyFill="1"/>
    <xf numFmtId="165" fontId="4" fillId="0" borderId="7" xfId="2" applyFont="1" applyBorder="1" applyAlignment="1">
      <alignment horizontal="center"/>
    </xf>
    <xf numFmtId="172" fontId="0" fillId="0" borderId="0" xfId="0" applyNumberFormat="1" applyFill="1"/>
    <xf numFmtId="170" fontId="37" fillId="0" borderId="0" xfId="0" applyNumberFormat="1" applyFont="1" applyBorder="1" applyAlignment="1">
      <alignment horizontal="center"/>
    </xf>
    <xf numFmtId="14" fontId="7" fillId="0" borderId="4" xfId="0" applyNumberFormat="1" applyFont="1" applyFill="1" applyBorder="1"/>
    <xf numFmtId="0" fontId="10" fillId="0" borderId="1" xfId="0" applyFont="1" applyFill="1" applyBorder="1"/>
    <xf numFmtId="173" fontId="10" fillId="0" borderId="7" xfId="1" applyNumberFormat="1" applyFont="1" applyFill="1" applyBorder="1"/>
    <xf numFmtId="165" fontId="10" fillId="0" borderId="7" xfId="2" applyFont="1" applyFill="1" applyBorder="1"/>
    <xf numFmtId="0" fontId="15" fillId="0" borderId="16" xfId="0" applyFont="1" applyBorder="1"/>
    <xf numFmtId="0" fontId="15" fillId="0" borderId="17" xfId="0" applyFont="1" applyBorder="1"/>
    <xf numFmtId="3" fontId="15" fillId="0" borderId="17" xfId="0" applyNumberFormat="1" applyFont="1" applyBorder="1"/>
    <xf numFmtId="3" fontId="15" fillId="0" borderId="18" xfId="0" applyNumberFormat="1" applyFont="1" applyBorder="1"/>
    <xf numFmtId="0" fontId="15" fillId="0" borderId="15" xfId="0" applyFont="1" applyFill="1" applyBorder="1"/>
    <xf numFmtId="0" fontId="15" fillId="0" borderId="0" xfId="0" applyFont="1" applyFill="1" applyBorder="1"/>
    <xf numFmtId="0" fontId="15" fillId="0" borderId="22" xfId="0" applyFont="1" applyFill="1" applyBorder="1"/>
    <xf numFmtId="0" fontId="15" fillId="0" borderId="24" xfId="0" applyFont="1" applyFill="1" applyBorder="1"/>
    <xf numFmtId="0" fontId="15" fillId="0" borderId="2" xfId="0" applyFont="1" applyFill="1" applyBorder="1"/>
    <xf numFmtId="0" fontId="15" fillId="0" borderId="25" xfId="0" applyFont="1" applyFill="1" applyBorder="1"/>
    <xf numFmtId="0" fontId="15" fillId="0" borderId="15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2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3" fontId="15" fillId="0" borderId="0" xfId="0" applyNumberFormat="1" applyFont="1" applyFill="1" applyBorder="1"/>
    <xf numFmtId="3" fontId="27" fillId="0" borderId="0" xfId="0" applyNumberFormat="1" applyFont="1" applyFill="1" applyBorder="1"/>
    <xf numFmtId="3" fontId="15" fillId="0" borderId="22" xfId="0" applyNumberFormat="1" applyFont="1" applyFill="1" applyBorder="1" applyAlignment="1">
      <alignment horizontal="center"/>
    </xf>
    <xf numFmtId="3" fontId="27" fillId="0" borderId="22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3" fontId="15" fillId="0" borderId="15" xfId="0" applyNumberFormat="1" applyFont="1" applyFill="1" applyBorder="1" applyAlignment="1">
      <alignment horizontal="center"/>
    </xf>
    <xf numFmtId="165" fontId="15" fillId="0" borderId="0" xfId="2" applyFont="1" applyBorder="1" applyAlignment="1">
      <alignment horizontal="center"/>
    </xf>
    <xf numFmtId="3" fontId="14" fillId="0" borderId="15" xfId="0" applyNumberFormat="1" applyFont="1" applyFill="1" applyBorder="1" applyAlignment="1">
      <alignment horizontal="center"/>
    </xf>
    <xf numFmtId="165" fontId="14" fillId="0" borderId="0" xfId="2" applyFont="1" applyBorder="1" applyAlignment="1">
      <alignment horizontal="center"/>
    </xf>
    <xf numFmtId="14" fontId="9" fillId="0" borderId="12" xfId="0" applyNumberFormat="1" applyFont="1" applyBorder="1" applyAlignment="1">
      <alignment horizontal="center"/>
    </xf>
    <xf numFmtId="3" fontId="48" fillId="0" borderId="0" xfId="0" applyNumberFormat="1" applyFont="1"/>
    <xf numFmtId="165" fontId="10" fillId="0" borderId="7" xfId="2" applyFont="1" applyFill="1" applyBorder="1" applyAlignment="1">
      <alignment horizontal="right" indent="2"/>
    </xf>
    <xf numFmtId="165" fontId="10" fillId="0" borderId="1" xfId="2" applyFont="1" applyFill="1" applyBorder="1" applyAlignment="1">
      <alignment horizontal="right" indent="2"/>
    </xf>
    <xf numFmtId="171" fontId="10" fillId="0" borderId="7" xfId="0" applyNumberFormat="1" applyFont="1" applyFill="1" applyBorder="1"/>
    <xf numFmtId="14" fontId="8" fillId="0" borderId="6" xfId="0" quotePrefix="1" applyNumberFormat="1" applyFont="1" applyFill="1" applyBorder="1" applyAlignment="1">
      <alignment horizontal="center"/>
    </xf>
    <xf numFmtId="14" fontId="9" fillId="0" borderId="5" xfId="0" quotePrefix="1" applyNumberFormat="1" applyFont="1" applyBorder="1" applyAlignment="1">
      <alignment horizontal="center"/>
    </xf>
    <xf numFmtId="173" fontId="49" fillId="0" borderId="0" xfId="1" applyNumberFormat="1" applyFont="1" applyFill="1"/>
    <xf numFmtId="3" fontId="0" fillId="0" borderId="0" xfId="0" applyNumberFormat="1"/>
    <xf numFmtId="0" fontId="3" fillId="0" borderId="7" xfId="0" applyFont="1" applyFill="1" applyBorder="1" applyAlignment="1">
      <alignment horizontal="center"/>
    </xf>
    <xf numFmtId="170" fontId="32" fillId="0" borderId="0" xfId="9" applyNumberFormat="1" applyFont="1" applyFill="1" applyBorder="1" applyAlignment="1">
      <alignment horizontal="left"/>
    </xf>
    <xf numFmtId="170" fontId="37" fillId="0" borderId="0" xfId="9" applyNumberFormat="1" applyFont="1" applyFill="1" applyBorder="1" applyAlignment="1"/>
    <xf numFmtId="0" fontId="4" fillId="0" borderId="5" xfId="0" applyFont="1" applyFill="1" applyBorder="1"/>
    <xf numFmtId="165" fontId="0" fillId="0" borderId="0" xfId="2" applyFont="1" applyFill="1" applyBorder="1"/>
    <xf numFmtId="0" fontId="3" fillId="0" borderId="0" xfId="0" applyFont="1" applyFill="1" applyBorder="1" applyAlignment="1">
      <alignment horizontal="center"/>
    </xf>
    <xf numFmtId="0" fontId="4" fillId="0" borderId="5" xfId="0" quotePrefix="1" applyFont="1" applyFill="1" applyBorder="1" applyAlignment="1">
      <alignment horizontal="left"/>
    </xf>
    <xf numFmtId="174" fontId="3" fillId="0" borderId="20" xfId="0" applyNumberFormat="1" applyFont="1" applyFill="1" applyBorder="1" applyAlignment="1">
      <alignment horizontal="center"/>
    </xf>
    <xf numFmtId="170" fontId="3" fillId="0" borderId="20" xfId="1" applyNumberFormat="1" applyFont="1" applyBorder="1" applyAlignment="1">
      <alignment vertical="center"/>
    </xf>
    <xf numFmtId="0" fontId="4" fillId="0" borderId="0" xfId="7"/>
    <xf numFmtId="0" fontId="4" fillId="0" borderId="2" xfId="7" applyBorder="1"/>
    <xf numFmtId="0" fontId="4" fillId="0" borderId="5" xfId="7" applyBorder="1"/>
    <xf numFmtId="0" fontId="4" fillId="0" borderId="6" xfId="7" applyBorder="1"/>
    <xf numFmtId="0" fontId="13" fillId="0" borderId="0" xfId="7" applyFont="1" applyProtection="1">
      <protection locked="0"/>
    </xf>
    <xf numFmtId="0" fontId="15" fillId="0" borderId="0" xfId="7" applyFont="1"/>
    <xf numFmtId="3" fontId="4" fillId="0" borderId="0" xfId="7" applyNumberFormat="1"/>
    <xf numFmtId="0" fontId="22" fillId="0" borderId="0" xfId="7" applyFont="1" applyAlignment="1">
      <alignment horizontal="centerContinuous"/>
    </xf>
    <xf numFmtId="0" fontId="13" fillId="0" borderId="0" xfId="7" applyFont="1"/>
    <xf numFmtId="0" fontId="24" fillId="0" borderId="0" xfId="7" applyFont="1" applyAlignment="1">
      <alignment horizontal="center"/>
    </xf>
    <xf numFmtId="0" fontId="3" fillId="0" borderId="5" xfId="7" applyFont="1" applyBorder="1"/>
    <xf numFmtId="3" fontId="3" fillId="0" borderId="12" xfId="2" applyNumberFormat="1" applyFont="1" applyBorder="1" applyAlignment="1">
      <alignment horizontal="right"/>
    </xf>
    <xf numFmtId="0" fontId="4" fillId="0" borderId="0" xfId="7" applyFill="1"/>
    <xf numFmtId="0" fontId="41" fillId="0" borderId="0" xfId="7" applyFont="1" applyFill="1" applyBorder="1" applyProtection="1">
      <protection locked="0"/>
    </xf>
    <xf numFmtId="3" fontId="4" fillId="0" borderId="5" xfId="7" applyNumberFormat="1" applyBorder="1" applyAlignment="1">
      <alignment horizontal="right"/>
    </xf>
    <xf numFmtId="3" fontId="4" fillId="0" borderId="12" xfId="2" applyNumberFormat="1" applyFont="1" applyFill="1" applyBorder="1" applyAlignment="1">
      <alignment horizontal="right"/>
    </xf>
    <xf numFmtId="165" fontId="4" fillId="0" borderId="7" xfId="2" applyFont="1" applyFill="1" applyBorder="1"/>
    <xf numFmtId="165" fontId="4" fillId="0" borderId="12" xfId="2" applyFont="1" applyFill="1" applyBorder="1"/>
    <xf numFmtId="0" fontId="4" fillId="0" borderId="5" xfId="7" applyFill="1" applyBorder="1"/>
    <xf numFmtId="0" fontId="13" fillId="0" borderId="0" xfId="7" applyFont="1" applyFill="1" applyBorder="1" applyProtection="1">
      <protection locked="0"/>
    </xf>
    <xf numFmtId="0" fontId="3" fillId="0" borderId="20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1" xfId="0" applyFont="1" applyFill="1" applyBorder="1"/>
    <xf numFmtId="3" fontId="50" fillId="0" borderId="0" xfId="0" applyNumberFormat="1" applyFont="1"/>
    <xf numFmtId="0" fontId="4" fillId="0" borderId="7" xfId="0" applyFont="1" applyFill="1" applyBorder="1" applyAlignment="1">
      <alignment horizontal="left"/>
    </xf>
    <xf numFmtId="3" fontId="4" fillId="0" borderId="7" xfId="2" applyNumberFormat="1" applyFont="1" applyFill="1" applyBorder="1" applyAlignment="1">
      <alignment horizontal="right"/>
    </xf>
    <xf numFmtId="0" fontId="4" fillId="0" borderId="7" xfId="0" quotePrefix="1" applyFont="1" applyFill="1" applyBorder="1" applyAlignment="1">
      <alignment horizontal="left"/>
    </xf>
    <xf numFmtId="0" fontId="3" fillId="0" borderId="7" xfId="0" quotePrefix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/>
    <xf numFmtId="3" fontId="3" fillId="0" borderId="20" xfId="2" applyNumberFormat="1" applyFont="1" applyFill="1" applyBorder="1" applyAlignment="1">
      <alignment horizontal="right"/>
    </xf>
    <xf numFmtId="3" fontId="4" fillId="0" borderId="1" xfId="2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left"/>
    </xf>
    <xf numFmtId="0" fontId="3" fillId="0" borderId="7" xfId="0" quotePrefix="1" applyFont="1" applyFill="1" applyBorder="1" applyAlignment="1">
      <alignment horizontal="left"/>
    </xf>
    <xf numFmtId="0" fontId="3" fillId="0" borderId="5" xfId="0" quotePrefix="1" applyFont="1" applyFill="1" applyBorder="1" applyAlignment="1">
      <alignment horizontal="center"/>
    </xf>
    <xf numFmtId="0" fontId="3" fillId="0" borderId="6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2" xfId="0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right"/>
    </xf>
    <xf numFmtId="3" fontId="4" fillId="0" borderId="21" xfId="2" applyNumberFormat="1" applyFont="1" applyFill="1" applyBorder="1" applyAlignment="1">
      <alignment horizontal="right"/>
    </xf>
    <xf numFmtId="168" fontId="4" fillId="0" borderId="7" xfId="2" applyNumberFormat="1" applyFont="1" applyFill="1" applyBorder="1" applyAlignment="1">
      <alignment horizontal="right"/>
    </xf>
    <xf numFmtId="0" fontId="4" fillId="0" borderId="0" xfId="7" applyFont="1" applyFill="1"/>
    <xf numFmtId="0" fontId="4" fillId="0" borderId="6" xfId="7" applyFont="1" applyFill="1" applyBorder="1"/>
    <xf numFmtId="0" fontId="4" fillId="0" borderId="1" xfId="0" applyFont="1" applyBorder="1"/>
    <xf numFmtId="0" fontId="4" fillId="0" borderId="7" xfId="0" applyFont="1" applyBorder="1"/>
    <xf numFmtId="0" fontId="14" fillId="0" borderId="20" xfId="0" quotePrefix="1" applyFont="1" applyBorder="1" applyAlignment="1">
      <alignment horizontal="left"/>
    </xf>
    <xf numFmtId="14" fontId="51" fillId="3" borderId="20" xfId="0" applyNumberFormat="1" applyFont="1" applyFill="1" applyBorder="1" applyAlignment="1">
      <alignment horizontal="center" vertical="center"/>
    </xf>
    <xf numFmtId="0" fontId="52" fillId="0" borderId="20" xfId="0" applyFont="1" applyBorder="1" applyAlignment="1">
      <alignment vertical="center"/>
    </xf>
    <xf numFmtId="3" fontId="48" fillId="0" borderId="20" xfId="0" applyNumberFormat="1" applyFont="1" applyBorder="1"/>
    <xf numFmtId="3" fontId="52" fillId="0" borderId="20" xfId="0" applyNumberFormat="1" applyFont="1" applyBorder="1" applyAlignment="1">
      <alignment horizontal="right" vertical="center"/>
    </xf>
    <xf numFmtId="3" fontId="51" fillId="3" borderId="20" xfId="0" applyNumberFormat="1" applyFont="1" applyFill="1" applyBorder="1" applyAlignment="1">
      <alignment horizontal="right" vertical="center"/>
    </xf>
    <xf numFmtId="0" fontId="10" fillId="0" borderId="20" xfId="0" applyFont="1" applyBorder="1" applyAlignment="1">
      <alignment vertical="center"/>
    </xf>
    <xf numFmtId="3" fontId="10" fillId="0" borderId="20" xfId="0" applyNumberFormat="1" applyFont="1" applyBorder="1" applyAlignment="1">
      <alignment horizontal="right" vertical="center"/>
    </xf>
    <xf numFmtId="0" fontId="8" fillId="3" borderId="20" xfId="0" applyFont="1" applyFill="1" applyBorder="1" applyAlignment="1">
      <alignment vertical="center"/>
    </xf>
    <xf numFmtId="3" fontId="8" fillId="3" borderId="20" xfId="0" applyNumberFormat="1" applyFont="1" applyFill="1" applyBorder="1" applyAlignment="1">
      <alignment horizontal="right" vertical="center"/>
    </xf>
    <xf numFmtId="9" fontId="0" fillId="0" borderId="0" xfId="10" applyFont="1"/>
    <xf numFmtId="0" fontId="51" fillId="4" borderId="20" xfId="0" applyFont="1" applyFill="1" applyBorder="1" applyAlignment="1">
      <alignment horizontal="center" vertical="center"/>
    </xf>
    <xf numFmtId="0" fontId="51" fillId="4" borderId="20" xfId="0" applyFont="1" applyFill="1" applyBorder="1" applyAlignment="1">
      <alignment vertical="center"/>
    </xf>
    <xf numFmtId="3" fontId="51" fillId="4" borderId="20" xfId="0" applyNumberFormat="1" applyFont="1" applyFill="1" applyBorder="1" applyAlignment="1">
      <alignment horizontal="right" vertical="center"/>
    </xf>
    <xf numFmtId="10" fontId="52" fillId="4" borderId="20" xfId="0" applyNumberFormat="1" applyFont="1" applyFill="1" applyBorder="1" applyAlignment="1">
      <alignment horizontal="right" vertical="center"/>
    </xf>
    <xf numFmtId="0" fontId="52" fillId="4" borderId="20" xfId="0" applyFont="1" applyFill="1" applyBorder="1" applyAlignment="1">
      <alignment vertical="center"/>
    </xf>
    <xf numFmtId="0" fontId="51" fillId="4" borderId="20" xfId="0" applyFont="1" applyFill="1" applyBorder="1" applyAlignment="1">
      <alignment horizontal="right" vertical="center"/>
    </xf>
    <xf numFmtId="0" fontId="52" fillId="4" borderId="20" xfId="0" applyFont="1" applyFill="1" applyBorder="1" applyAlignment="1">
      <alignment horizontal="right" vertical="center"/>
    </xf>
    <xf numFmtId="3" fontId="52" fillId="4" borderId="20" xfId="0" applyNumberFormat="1" applyFont="1" applyFill="1" applyBorder="1" applyAlignment="1">
      <alignment horizontal="right" vertical="center"/>
    </xf>
    <xf numFmtId="10" fontId="51" fillId="4" borderId="20" xfId="0" applyNumberFormat="1" applyFont="1" applyFill="1" applyBorder="1" applyAlignment="1">
      <alignment horizontal="right" vertical="center"/>
    </xf>
    <xf numFmtId="0" fontId="52" fillId="4" borderId="20" xfId="0" applyFont="1" applyFill="1" applyBorder="1" applyAlignment="1">
      <alignment horizontal="left" vertical="center" indent="1"/>
    </xf>
    <xf numFmtId="14" fontId="51" fillId="3" borderId="20" xfId="0" applyNumberFormat="1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justify" vertical="center" wrapText="1"/>
    </xf>
    <xf numFmtId="0" fontId="10" fillId="0" borderId="20" xfId="0" applyFont="1" applyBorder="1" applyAlignment="1">
      <alignment horizontal="right" vertical="center" wrapText="1"/>
    </xf>
    <xf numFmtId="3" fontId="10" fillId="0" borderId="20" xfId="0" applyNumberFormat="1" applyFont="1" applyBorder="1" applyAlignment="1">
      <alignment horizontal="right" vertical="center" wrapText="1"/>
    </xf>
    <xf numFmtId="3" fontId="52" fillId="0" borderId="20" xfId="0" applyNumberFormat="1" applyFont="1" applyBorder="1" applyAlignment="1">
      <alignment horizontal="right" vertical="center" wrapText="1"/>
    </xf>
    <xf numFmtId="0" fontId="52" fillId="0" borderId="20" xfId="0" applyFont="1" applyBorder="1" applyAlignment="1">
      <alignment horizontal="right" vertical="center" wrapText="1"/>
    </xf>
    <xf numFmtId="0" fontId="8" fillId="3" borderId="20" xfId="0" applyFont="1" applyFill="1" applyBorder="1" applyAlignment="1">
      <alignment horizontal="justify" vertical="center" wrapText="1"/>
    </xf>
    <xf numFmtId="3" fontId="8" fillId="3" borderId="20" xfId="0" applyNumberFormat="1" applyFont="1" applyFill="1" applyBorder="1" applyAlignment="1">
      <alignment horizontal="right" vertical="center" wrapText="1"/>
    </xf>
    <xf numFmtId="3" fontId="51" fillId="3" borderId="20" xfId="0" applyNumberFormat="1" applyFont="1" applyFill="1" applyBorder="1" applyAlignment="1">
      <alignment horizontal="right" vertical="center" wrapText="1"/>
    </xf>
    <xf numFmtId="0" fontId="4" fillId="0" borderId="20" xfId="11" applyFont="1" applyFill="1" applyBorder="1" applyAlignment="1">
      <alignment horizontal="left" vertical="center"/>
    </xf>
    <xf numFmtId="3" fontId="50" fillId="0" borderId="20" xfId="0" applyNumberFormat="1" applyFont="1" applyFill="1" applyBorder="1"/>
    <xf numFmtId="0" fontId="36" fillId="0" borderId="20" xfId="0" applyFont="1" applyFill="1" applyBorder="1"/>
    <xf numFmtId="0" fontId="50" fillId="0" borderId="20" xfId="0" applyFont="1" applyFill="1" applyBorder="1"/>
    <xf numFmtId="0" fontId="39" fillId="0" borderId="20" xfId="0" applyFont="1" applyFill="1" applyBorder="1"/>
    <xf numFmtId="0" fontId="4" fillId="5" borderId="20" xfId="11" applyFont="1" applyFill="1" applyBorder="1" applyAlignment="1">
      <alignment horizontal="left"/>
    </xf>
    <xf numFmtId="0" fontId="4" fillId="0" borderId="20" xfId="11" applyFont="1" applyFill="1" applyBorder="1" applyAlignment="1">
      <alignment horizontal="left"/>
    </xf>
    <xf numFmtId="3" fontId="4" fillId="0" borderId="20" xfId="2" applyNumberFormat="1" applyFont="1" applyFill="1" applyBorder="1" applyAlignment="1">
      <alignment horizontal="right"/>
    </xf>
    <xf numFmtId="3" fontId="4" fillId="0" borderId="20" xfId="2" applyNumberFormat="1" applyFont="1" applyFill="1" applyBorder="1"/>
    <xf numFmtId="3" fontId="3" fillId="0" borderId="20" xfId="2" applyNumberFormat="1" applyFont="1" applyFill="1" applyBorder="1"/>
    <xf numFmtId="3" fontId="43" fillId="0" borderId="20" xfId="0" applyNumberFormat="1" applyFont="1" applyFill="1" applyBorder="1" applyAlignment="1">
      <alignment horizontal="right"/>
    </xf>
    <xf numFmtId="3" fontId="36" fillId="5" borderId="20" xfId="0" applyNumberFormat="1" applyFont="1" applyFill="1" applyBorder="1"/>
    <xf numFmtId="3" fontId="39" fillId="0" borderId="20" xfId="0" applyNumberFormat="1" applyFont="1" applyFill="1" applyBorder="1" applyAlignment="1">
      <alignment horizontal="right"/>
    </xf>
    <xf numFmtId="0" fontId="3" fillId="0" borderId="20" xfId="11" applyFont="1" applyFill="1" applyBorder="1" applyAlignment="1">
      <alignment horizontal="left"/>
    </xf>
    <xf numFmtId="3" fontId="36" fillId="0" borderId="20" xfId="0" applyNumberFormat="1" applyFont="1" applyFill="1" applyBorder="1"/>
    <xf numFmtId="3" fontId="0" fillId="0" borderId="0" xfId="0" applyNumberFormat="1" applyFill="1" applyAlignment="1">
      <alignment horizontal="right"/>
    </xf>
    <xf numFmtId="0" fontId="53" fillId="0" borderId="20" xfId="0" applyFont="1" applyBorder="1" applyAlignment="1">
      <alignment horizontal="justify" vertical="center" wrapText="1"/>
    </xf>
    <xf numFmtId="0" fontId="34" fillId="0" borderId="20" xfId="0" applyFont="1" applyBorder="1" applyAlignment="1">
      <alignment vertical="center" wrapText="1"/>
    </xf>
    <xf numFmtId="3" fontId="4" fillId="5" borderId="20" xfId="2" applyNumberFormat="1" applyFont="1" applyFill="1" applyBorder="1"/>
    <xf numFmtId="0" fontId="4" fillId="0" borderId="12" xfId="11" applyFont="1" applyFill="1" applyBorder="1" applyAlignment="1">
      <alignment horizontal="left" vertical="center"/>
    </xf>
    <xf numFmtId="3" fontId="4" fillId="0" borderId="12" xfId="2" applyNumberFormat="1" applyFont="1" applyFill="1" applyBorder="1"/>
    <xf numFmtId="0" fontId="0" fillId="0" borderId="0" xfId="0" applyAlignment="1"/>
    <xf numFmtId="0" fontId="51" fillId="6" borderId="20" xfId="0" applyFont="1" applyFill="1" applyBorder="1" applyAlignment="1">
      <alignment horizontal="justify" vertical="center"/>
    </xf>
    <xf numFmtId="0" fontId="8" fillId="3" borderId="20" xfId="0" applyFont="1" applyFill="1" applyBorder="1" applyAlignment="1">
      <alignment horizontal="right" vertical="center" wrapText="1"/>
    </xf>
    <xf numFmtId="14" fontId="8" fillId="3" borderId="20" xfId="0" applyNumberFormat="1" applyFont="1" applyFill="1" applyBorder="1" applyAlignment="1">
      <alignment horizontal="center" vertical="center" wrapText="1"/>
    </xf>
    <xf numFmtId="14" fontId="8" fillId="3" borderId="20" xfId="0" applyNumberFormat="1" applyFont="1" applyFill="1" applyBorder="1" applyAlignment="1">
      <alignment horizontal="center" vertical="center"/>
    </xf>
    <xf numFmtId="0" fontId="10" fillId="0" borderId="20" xfId="0" applyFont="1" applyBorder="1" applyAlignment="1">
      <alignment vertical="center" wrapText="1"/>
    </xf>
    <xf numFmtId="3" fontId="48" fillId="0" borderId="20" xfId="0" applyNumberFormat="1" applyFont="1" applyBorder="1" applyAlignment="1">
      <alignment vertical="center" wrapText="1"/>
    </xf>
    <xf numFmtId="0" fontId="4" fillId="0" borderId="5" xfId="7" applyFont="1" applyFill="1" applyBorder="1"/>
    <xf numFmtId="0" fontId="3" fillId="0" borderId="12" xfId="7" applyFont="1" applyFill="1" applyBorder="1" applyAlignment="1">
      <alignment horizontal="center"/>
    </xf>
    <xf numFmtId="174" fontId="3" fillId="0" borderId="20" xfId="7" applyNumberFormat="1" applyFont="1" applyFill="1" applyBorder="1" applyAlignment="1">
      <alignment horizontal="center"/>
    </xf>
    <xf numFmtId="0" fontId="13" fillId="0" borderId="0" xfId="7" applyFont="1" applyFill="1" applyProtection="1">
      <protection locked="0"/>
    </xf>
    <xf numFmtId="0" fontId="42" fillId="0" borderId="0" xfId="7" applyFont="1" applyFill="1" applyAlignment="1">
      <alignment horizontal="left" readingOrder="2"/>
    </xf>
    <xf numFmtId="168" fontId="4" fillId="0" borderId="0" xfId="7" applyNumberFormat="1" applyFill="1"/>
    <xf numFmtId="0" fontId="13" fillId="0" borderId="0" xfId="7" applyFont="1" applyFill="1"/>
    <xf numFmtId="168" fontId="13" fillId="0" borderId="0" xfId="7" applyNumberFormat="1" applyFont="1" applyFill="1"/>
    <xf numFmtId="3" fontId="4" fillId="0" borderId="0" xfId="7" applyNumberFormat="1" applyFill="1"/>
    <xf numFmtId="0" fontId="16" fillId="0" borderId="0" xfId="7" applyFont="1" applyFill="1"/>
    <xf numFmtId="0" fontId="21" fillId="0" borderId="0" xfId="7" applyFont="1" applyFill="1" applyAlignment="1">
      <alignment horizontal="centerContinuous"/>
    </xf>
    <xf numFmtId="0" fontId="11" fillId="0" borderId="0" xfId="7" applyFont="1" applyFill="1" applyAlignment="1">
      <alignment horizontal="centerContinuous"/>
    </xf>
    <xf numFmtId="0" fontId="11" fillId="0" borderId="0" xfId="7" applyFont="1" applyFill="1" applyBorder="1" applyAlignment="1">
      <alignment horizontal="centerContinuous"/>
    </xf>
    <xf numFmtId="0" fontId="13" fillId="0" borderId="0" xfId="7" applyFont="1" applyAlignment="1">
      <alignment horizontal="centerContinuous"/>
    </xf>
    <xf numFmtId="0" fontId="13" fillId="0" borderId="0" xfId="7" applyFont="1" applyAlignment="1">
      <alignment horizontal="left"/>
    </xf>
    <xf numFmtId="0" fontId="10" fillId="0" borderId="0" xfId="7" applyFont="1"/>
    <xf numFmtId="3" fontId="0" fillId="0" borderId="7" xfId="2" applyNumberFormat="1" applyFont="1" applyBorder="1" applyAlignment="1">
      <alignment horizontal="right"/>
    </xf>
    <xf numFmtId="3" fontId="0" fillId="0" borderId="12" xfId="2" applyNumberFormat="1" applyFont="1" applyBorder="1" applyAlignment="1">
      <alignment horizontal="right"/>
    </xf>
    <xf numFmtId="0" fontId="15" fillId="0" borderId="0" xfId="7" applyFont="1" applyFill="1"/>
    <xf numFmtId="0" fontId="22" fillId="0" borderId="0" xfId="7" applyFont="1" applyFill="1" applyAlignment="1">
      <alignment horizontal="centerContinuous"/>
    </xf>
    <xf numFmtId="0" fontId="17" fillId="0" borderId="0" xfId="7" applyFont="1" applyFill="1" applyAlignment="1">
      <alignment horizontal="center"/>
    </xf>
    <xf numFmtId="0" fontId="21" fillId="0" borderId="0" xfId="7" applyFont="1" applyFill="1" applyAlignment="1">
      <alignment horizontal="center"/>
    </xf>
    <xf numFmtId="0" fontId="3" fillId="0" borderId="1" xfId="7" applyFont="1" applyFill="1" applyBorder="1" applyAlignment="1">
      <alignment horizontal="center"/>
    </xf>
    <xf numFmtId="0" fontId="3" fillId="0" borderId="4" xfId="7" applyFont="1" applyFill="1" applyBorder="1" applyAlignment="1">
      <alignment horizontal="centerContinuous"/>
    </xf>
    <xf numFmtId="0" fontId="3" fillId="0" borderId="8" xfId="7" applyFont="1" applyFill="1" applyBorder="1" applyAlignment="1">
      <alignment horizontal="centerContinuous"/>
    </xf>
    <xf numFmtId="0" fontId="3" fillId="0" borderId="12" xfId="7" applyFont="1" applyFill="1" applyBorder="1"/>
    <xf numFmtId="174" fontId="3" fillId="0" borderId="20" xfId="7" quotePrefix="1" applyNumberFormat="1" applyFont="1" applyFill="1" applyBorder="1" applyAlignment="1">
      <alignment horizontal="centerContinuous"/>
    </xf>
    <xf numFmtId="0" fontId="8" fillId="0" borderId="0" xfId="7" applyFont="1" applyFill="1" applyBorder="1" applyAlignment="1">
      <alignment horizontal="centerContinuous"/>
    </xf>
    <xf numFmtId="0" fontId="3" fillId="0" borderId="5" xfId="7" applyFont="1" applyFill="1" applyBorder="1"/>
    <xf numFmtId="0" fontId="8" fillId="0" borderId="1" xfId="7" applyFont="1" applyFill="1" applyBorder="1" applyAlignment="1">
      <alignment horizontal="centerContinuous"/>
    </xf>
    <xf numFmtId="0" fontId="28" fillId="0" borderId="0" xfId="7" applyFont="1" applyFill="1"/>
    <xf numFmtId="0" fontId="4" fillId="0" borderId="0" xfId="7" applyFont="1" applyFill="1" applyProtection="1">
      <protection locked="0"/>
    </xf>
    <xf numFmtId="0" fontId="15" fillId="0" borderId="0" xfId="7" applyFont="1" applyFill="1" applyProtection="1">
      <protection locked="0"/>
    </xf>
    <xf numFmtId="165" fontId="4" fillId="0" borderId="0" xfId="2" applyFill="1"/>
    <xf numFmtId="0" fontId="3" fillId="0" borderId="1" xfId="7" applyFont="1" applyFill="1" applyBorder="1"/>
    <xf numFmtId="165" fontId="4" fillId="0" borderId="1" xfId="2" applyFont="1" applyFill="1" applyBorder="1"/>
    <xf numFmtId="168" fontId="4" fillId="0" borderId="12" xfId="2" applyNumberFormat="1" applyFont="1" applyFill="1" applyBorder="1" applyAlignment="1">
      <alignment horizontal="right"/>
    </xf>
    <xf numFmtId="0" fontId="3" fillId="0" borderId="20" xfId="7" quotePrefix="1" applyFont="1" applyFill="1" applyBorder="1" applyAlignment="1">
      <alignment horizontal="left"/>
    </xf>
    <xf numFmtId="168" fontId="3" fillId="0" borderId="20" xfId="2" applyNumberFormat="1" applyFont="1" applyFill="1" applyBorder="1" applyAlignment="1">
      <alignment horizontal="right"/>
    </xf>
    <xf numFmtId="0" fontId="3" fillId="0" borderId="1" xfId="7" applyFont="1" applyFill="1" applyBorder="1" applyAlignment="1">
      <alignment horizontal="centerContinuous"/>
    </xf>
    <xf numFmtId="0" fontId="4" fillId="0" borderId="7" xfId="7" applyFont="1" applyFill="1" applyBorder="1"/>
    <xf numFmtId="0" fontId="4" fillId="0" borderId="7" xfId="7" quotePrefix="1" applyFont="1" applyFill="1" applyBorder="1" applyAlignment="1">
      <alignment horizontal="left"/>
    </xf>
    <xf numFmtId="3" fontId="50" fillId="0" borderId="7" xfId="0" applyNumberFormat="1" applyFont="1" applyFill="1" applyBorder="1"/>
    <xf numFmtId="0" fontId="4" fillId="0" borderId="7" xfId="7" applyFont="1" applyFill="1" applyBorder="1" applyAlignment="1">
      <alignment vertical="center" wrapText="1"/>
    </xf>
    <xf numFmtId="0" fontId="4" fillId="0" borderId="7" xfId="7" applyFont="1" applyFill="1" applyBorder="1" applyAlignment="1">
      <alignment horizontal="left"/>
    </xf>
    <xf numFmtId="0" fontId="4" fillId="0" borderId="4" xfId="7" applyBorder="1"/>
    <xf numFmtId="0" fontId="4" fillId="0" borderId="3" xfId="7" applyBorder="1"/>
    <xf numFmtId="0" fontId="3" fillId="0" borderId="0" xfId="7" applyFont="1"/>
    <xf numFmtId="0" fontId="3" fillId="0" borderId="20" xfId="7" applyFont="1" applyFill="1" applyBorder="1"/>
    <xf numFmtId="0" fontId="3" fillId="0" borderId="5" xfId="7" applyFont="1" applyFill="1" applyBorder="1" applyAlignment="1">
      <alignment horizontal="center"/>
    </xf>
    <xf numFmtId="0" fontId="3" fillId="0" borderId="21" xfId="7" applyFont="1" applyFill="1" applyBorder="1" applyAlignment="1">
      <alignment horizontal="center"/>
    </xf>
    <xf numFmtId="0" fontId="4" fillId="0" borderId="21" xfId="0" applyFont="1" applyFill="1" applyBorder="1"/>
    <xf numFmtId="3" fontId="4" fillId="0" borderId="8" xfId="2" applyNumberFormat="1" applyFont="1" applyFill="1" applyBorder="1" applyAlignment="1">
      <alignment horizontal="right"/>
    </xf>
    <xf numFmtId="3" fontId="3" fillId="0" borderId="28" xfId="2" applyNumberFormat="1" applyFont="1" applyFill="1" applyBorder="1" applyAlignment="1">
      <alignment horizontal="right"/>
    </xf>
    <xf numFmtId="3" fontId="3" fillId="0" borderId="12" xfId="2" applyNumberFormat="1" applyFont="1" applyFill="1" applyBorder="1" applyAlignment="1">
      <alignment horizontal="right"/>
    </xf>
    <xf numFmtId="0" fontId="22" fillId="0" borderId="0" xfId="7" applyFont="1" applyAlignment="1">
      <alignment horizontal="center"/>
    </xf>
    <xf numFmtId="3" fontId="52" fillId="0" borderId="5" xfId="0" applyNumberFormat="1" applyFont="1" applyBorder="1"/>
    <xf numFmtId="3" fontId="10" fillId="0" borderId="21" xfId="2" applyNumberFormat="1" applyFont="1" applyFill="1" applyBorder="1" applyAlignment="1">
      <alignment horizontal="right"/>
    </xf>
    <xf numFmtId="3" fontId="8" fillId="0" borderId="20" xfId="2" applyNumberFormat="1" applyFont="1" applyFill="1" applyBorder="1" applyAlignment="1">
      <alignment horizontal="right"/>
    </xf>
    <xf numFmtId="3" fontId="10" fillId="0" borderId="7" xfId="2" applyNumberFormat="1" applyFont="1" applyFill="1" applyBorder="1" applyAlignment="1">
      <alignment horizontal="right"/>
    </xf>
    <xf numFmtId="4" fontId="8" fillId="0" borderId="7" xfId="2" applyNumberFormat="1" applyFont="1" applyFill="1" applyBorder="1" applyAlignment="1">
      <alignment horizontal="right"/>
    </xf>
    <xf numFmtId="3" fontId="10" fillId="0" borderId="7" xfId="0" applyNumberFormat="1" applyFont="1" applyFill="1" applyBorder="1" applyAlignment="1">
      <alignment horizontal="right"/>
    </xf>
    <xf numFmtId="3" fontId="8" fillId="0" borderId="9" xfId="2" applyNumberFormat="1" applyFont="1" applyFill="1" applyBorder="1" applyAlignment="1">
      <alignment horizontal="right"/>
    </xf>
    <xf numFmtId="3" fontId="10" fillId="0" borderId="5" xfId="2" applyNumberFormat="1" applyFont="1" applyFill="1" applyBorder="1" applyAlignment="1">
      <alignment horizontal="right"/>
    </xf>
    <xf numFmtId="4" fontId="8" fillId="0" borderId="5" xfId="2" applyNumberFormat="1" applyFont="1" applyFill="1" applyBorder="1" applyAlignment="1">
      <alignment horizontal="right"/>
    </xf>
    <xf numFmtId="170" fontId="32" fillId="0" borderId="0" xfId="9" applyNumberFormat="1" applyFont="1" applyAlignment="1">
      <alignment horizontal="left"/>
    </xf>
    <xf numFmtId="0" fontId="41" fillId="0" borderId="0" xfId="7" applyFont="1" applyProtection="1">
      <protection locked="0"/>
    </xf>
    <xf numFmtId="170" fontId="37" fillId="0" borderId="0" xfId="9" applyNumberFormat="1" applyFont="1"/>
    <xf numFmtId="170" fontId="37" fillId="0" borderId="0" xfId="9" applyNumberFormat="1" applyFont="1" applyAlignment="1">
      <alignment horizontal="center"/>
    </xf>
    <xf numFmtId="0" fontId="4" fillId="0" borderId="0" xfId="7" applyProtection="1">
      <protection locked="0"/>
    </xf>
    <xf numFmtId="165" fontId="4" fillId="0" borderId="0" xfId="7" applyNumberFormat="1"/>
    <xf numFmtId="0" fontId="4" fillId="0" borderId="12" xfId="7" applyBorder="1"/>
    <xf numFmtId="164" fontId="3" fillId="0" borderId="20" xfId="2" applyNumberFormat="1" applyFont="1" applyBorder="1" applyAlignment="1">
      <alignment horizontal="left"/>
    </xf>
    <xf numFmtId="0" fontId="3" fillId="0" borderId="7" xfId="7" applyFont="1" applyBorder="1" applyAlignment="1">
      <alignment horizontal="center"/>
    </xf>
    <xf numFmtId="0" fontId="3" fillId="0" borderId="5" xfId="7" quotePrefix="1" applyFont="1" applyBorder="1" applyAlignment="1">
      <alignment horizontal="left"/>
    </xf>
    <xf numFmtId="164" fontId="0" fillId="0" borderId="7" xfId="2" applyNumberFormat="1" applyFont="1" applyBorder="1" applyAlignment="1">
      <alignment horizontal="left"/>
    </xf>
    <xf numFmtId="164" fontId="4" fillId="0" borderId="7" xfId="2" applyNumberFormat="1" applyBorder="1" applyAlignment="1">
      <alignment horizontal="left"/>
    </xf>
    <xf numFmtId="0" fontId="4" fillId="0" borderId="5" xfId="7" quotePrefix="1" applyBorder="1" applyAlignment="1">
      <alignment horizontal="left"/>
    </xf>
    <xf numFmtId="165" fontId="0" fillId="0" borderId="7" xfId="2" applyFont="1" applyBorder="1" applyAlignment="1">
      <alignment horizontal="right"/>
    </xf>
    <xf numFmtId="0" fontId="4" fillId="0" borderId="7" xfId="7" applyBorder="1"/>
    <xf numFmtId="174" fontId="3" fillId="0" borderId="20" xfId="7" applyNumberFormat="1" applyFont="1" applyBorder="1" applyAlignment="1">
      <alignment horizontal="center"/>
    </xf>
    <xf numFmtId="0" fontId="3" fillId="0" borderId="12" xfId="7" applyFont="1" applyBorder="1" applyAlignment="1">
      <alignment horizontal="center"/>
    </xf>
    <xf numFmtId="0" fontId="4" fillId="0" borderId="10" xfId="7" applyBorder="1" applyAlignment="1">
      <alignment horizontal="centerContinuous"/>
    </xf>
    <xf numFmtId="0" fontId="3" fillId="0" borderId="9" xfId="7" applyFont="1" applyBorder="1" applyAlignment="1">
      <alignment horizontal="centerContinuous"/>
    </xf>
    <xf numFmtId="0" fontId="4" fillId="0" borderId="1" xfId="7" applyBorder="1"/>
    <xf numFmtId="0" fontId="8" fillId="0" borderId="0" xfId="7" applyFont="1"/>
    <xf numFmtId="171" fontId="4" fillId="0" borderId="0" xfId="1" applyNumberFormat="1"/>
    <xf numFmtId="0" fontId="4" fillId="0" borderId="0" xfId="7" applyAlignment="1">
      <alignment horizontal="center"/>
    </xf>
    <xf numFmtId="170" fontId="4" fillId="0" borderId="7" xfId="1" applyNumberFormat="1" applyBorder="1"/>
    <xf numFmtId="0" fontId="22" fillId="0" borderId="0" xfId="7" applyFont="1"/>
    <xf numFmtId="173" fontId="36" fillId="0" borderId="0" xfId="1" applyNumberFormat="1" applyFont="1"/>
    <xf numFmtId="173" fontId="54" fillId="0" borderId="0" xfId="1" applyNumberFormat="1" applyFont="1"/>
    <xf numFmtId="170" fontId="4" fillId="0" borderId="0" xfId="1" applyNumberFormat="1"/>
    <xf numFmtId="165" fontId="0" fillId="0" borderId="7" xfId="2" applyFont="1" applyBorder="1" applyAlignment="1">
      <alignment horizontal="left"/>
    </xf>
    <xf numFmtId="165" fontId="4" fillId="0" borderId="7" xfId="2" applyBorder="1" applyAlignment="1">
      <alignment horizontal="left"/>
    </xf>
    <xf numFmtId="3" fontId="4" fillId="0" borderId="12" xfId="2" applyNumberFormat="1" applyBorder="1" applyAlignment="1">
      <alignment horizontal="right"/>
    </xf>
    <xf numFmtId="165" fontId="4" fillId="0" borderId="0" xfId="2"/>
    <xf numFmtId="3" fontId="0" fillId="0" borderId="3" xfId="2" applyNumberFormat="1" applyFont="1" applyBorder="1" applyAlignment="1">
      <alignment horizontal="right"/>
    </xf>
    <xf numFmtId="3" fontId="0" fillId="0" borderId="5" xfId="2" applyNumberFormat="1" applyFont="1" applyBorder="1" applyAlignment="1">
      <alignment horizontal="right"/>
    </xf>
    <xf numFmtId="3" fontId="0" fillId="0" borderId="6" xfId="2" applyNumberFormat="1" applyFont="1" applyBorder="1" applyAlignment="1">
      <alignment horizontal="right"/>
    </xf>
    <xf numFmtId="3" fontId="4" fillId="0" borderId="7" xfId="7" applyNumberFormat="1" applyBorder="1" applyAlignment="1">
      <alignment horizontal="right"/>
    </xf>
    <xf numFmtId="0" fontId="8" fillId="0" borderId="1" xfId="0" applyFont="1" applyBorder="1" applyAlignment="1">
      <alignment horizontal="centerContinuous"/>
    </xf>
    <xf numFmtId="165" fontId="0" fillId="0" borderId="7" xfId="2" applyFont="1" applyBorder="1"/>
    <xf numFmtId="165" fontId="4" fillId="0" borderId="12" xfId="2" applyBorder="1"/>
    <xf numFmtId="165" fontId="4" fillId="0" borderId="7" xfId="2" applyFill="1" applyBorder="1"/>
    <xf numFmtId="0" fontId="39" fillId="0" borderId="0" xfId="0" applyFont="1"/>
    <xf numFmtId="0" fontId="41" fillId="0" borderId="0" xfId="0" applyFont="1" applyProtection="1">
      <protection locked="0"/>
    </xf>
    <xf numFmtId="170" fontId="37" fillId="0" borderId="0" xfId="0" applyNumberFormat="1" applyFont="1"/>
    <xf numFmtId="0" fontId="37" fillId="0" borderId="0" xfId="0" applyFont="1"/>
    <xf numFmtId="0" fontId="37" fillId="0" borderId="0" xfId="0" applyFont="1" applyAlignment="1">
      <alignment horizontal="center"/>
    </xf>
    <xf numFmtId="170" fontId="36" fillId="0" borderId="0" xfId="0" applyNumberFormat="1" applyFont="1"/>
    <xf numFmtId="3" fontId="36" fillId="0" borderId="0" xfId="0" applyNumberFormat="1" applyFont="1"/>
    <xf numFmtId="170" fontId="39" fillId="0" borderId="0" xfId="0" applyNumberFormat="1" applyFont="1"/>
    <xf numFmtId="3" fontId="39" fillId="0" borderId="0" xfId="0" applyNumberFormat="1" applyFont="1"/>
    <xf numFmtId="170" fontId="3" fillId="0" borderId="20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70" fontId="4" fillId="0" borderId="7" xfId="0" applyNumberFormat="1" applyFont="1" applyBorder="1"/>
    <xf numFmtId="170" fontId="4" fillId="0" borderId="12" xfId="0" applyNumberFormat="1" applyFont="1" applyBorder="1"/>
    <xf numFmtId="0" fontId="4" fillId="0" borderId="12" xfId="0" applyFont="1" applyBorder="1"/>
    <xf numFmtId="0" fontId="4" fillId="0" borderId="6" xfId="0" applyFont="1" applyBorder="1" applyAlignment="1">
      <alignment horizontal="center"/>
    </xf>
    <xf numFmtId="170" fontId="3" fillId="0" borderId="7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Continuous"/>
    </xf>
    <xf numFmtId="0" fontId="3" fillId="0" borderId="11" xfId="0" applyFont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55" fillId="0" borderId="0" xfId="0" applyFont="1"/>
    <xf numFmtId="0" fontId="56" fillId="0" borderId="0" xfId="0" applyFont="1" applyAlignment="1">
      <alignment horizontal="right"/>
    </xf>
    <xf numFmtId="0" fontId="57" fillId="0" borderId="0" xfId="0" applyFont="1" applyAlignment="1">
      <alignment horizontal="right"/>
    </xf>
    <xf numFmtId="0" fontId="58" fillId="0" borderId="0" xfId="0" applyFont="1" applyAlignment="1">
      <alignment horizontal="centerContinuous"/>
    </xf>
    <xf numFmtId="0" fontId="55" fillId="0" borderId="0" xfId="0" applyFont="1" applyAlignment="1">
      <alignment horizontal="centerContinuous"/>
    </xf>
    <xf numFmtId="0" fontId="59" fillId="0" borderId="0" xfId="0" applyFont="1" applyAlignment="1">
      <alignment horizontal="centerContinuous"/>
    </xf>
    <xf numFmtId="0" fontId="54" fillId="0" borderId="0" xfId="0" applyFont="1" applyAlignment="1">
      <alignment horizontal="centerContinuous"/>
    </xf>
    <xf numFmtId="3" fontId="62" fillId="0" borderId="0" xfId="0" applyNumberFormat="1" applyFont="1"/>
    <xf numFmtId="0" fontId="63" fillId="0" borderId="0" xfId="0" applyFont="1"/>
    <xf numFmtId="3" fontId="64" fillId="0" borderId="0" xfId="0" applyNumberFormat="1" applyFont="1"/>
    <xf numFmtId="170" fontId="63" fillId="0" borderId="0" xfId="0" applyNumberFormat="1" applyFont="1"/>
    <xf numFmtId="3" fontId="65" fillId="0" borderId="0" xfId="0" applyNumberFormat="1" applyFont="1"/>
    <xf numFmtId="3" fontId="63" fillId="0" borderId="0" xfId="0" applyNumberFormat="1" applyFont="1"/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/>
    <xf numFmtId="170" fontId="4" fillId="5" borderId="7" xfId="0" applyNumberFormat="1" applyFont="1" applyFill="1" applyBorder="1"/>
    <xf numFmtId="170" fontId="3" fillId="5" borderId="7" xfId="0" applyNumberFormat="1" applyFont="1" applyFill="1" applyBorder="1"/>
    <xf numFmtId="0" fontId="36" fillId="5" borderId="0" xfId="0" applyFont="1" applyFill="1"/>
    <xf numFmtId="3" fontId="64" fillId="5" borderId="0" xfId="0" applyNumberFormat="1" applyFont="1" applyFill="1"/>
    <xf numFmtId="170" fontId="36" fillId="5" borderId="0" xfId="0" applyNumberFormat="1" applyFont="1" applyFill="1"/>
    <xf numFmtId="170" fontId="37" fillId="0" borderId="0" xfId="9" applyNumberFormat="1" applyFont="1" applyAlignment="1">
      <alignment horizontal="center"/>
    </xf>
    <xf numFmtId="0" fontId="3" fillId="0" borderId="7" xfId="7" applyFont="1" applyBorder="1" applyAlignment="1">
      <alignment horizontal="center"/>
    </xf>
    <xf numFmtId="164" fontId="4" fillId="0" borderId="0" xfId="7" applyNumberFormat="1"/>
    <xf numFmtId="0" fontId="8" fillId="0" borderId="6" xfId="0" applyFont="1" applyFill="1" applyBorder="1"/>
    <xf numFmtId="171" fontId="8" fillId="0" borderId="12" xfId="0" applyNumberFormat="1" applyFont="1" applyFill="1" applyBorder="1"/>
    <xf numFmtId="0" fontId="21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4" fillId="0" borderId="4" xfId="0" applyFont="1" applyBorder="1" applyAlignment="1">
      <alignment horizontal="centerContinuous"/>
    </xf>
    <xf numFmtId="0" fontId="14" fillId="0" borderId="8" xfId="0" applyFont="1" applyBorder="1" applyAlignment="1">
      <alignment horizontal="centerContinuous"/>
    </xf>
    <xf numFmtId="0" fontId="14" fillId="0" borderId="12" xfId="0" applyFont="1" applyBorder="1" applyAlignment="1">
      <alignment horizontal="center"/>
    </xf>
    <xf numFmtId="174" fontId="14" fillId="0" borderId="10" xfId="0" applyNumberFormat="1" applyFont="1" applyBorder="1" applyAlignment="1">
      <alignment horizontal="center"/>
    </xf>
    <xf numFmtId="0" fontId="15" fillId="0" borderId="5" xfId="0" applyFont="1" applyBorder="1"/>
    <xf numFmtId="165" fontId="15" fillId="0" borderId="5" xfId="2" applyFont="1" applyBorder="1"/>
    <xf numFmtId="168" fontId="15" fillId="0" borderId="5" xfId="2" applyNumberFormat="1" applyFont="1" applyBorder="1" applyAlignment="1">
      <alignment horizontal="right"/>
    </xf>
    <xf numFmtId="165" fontId="15" fillId="0" borderId="1" xfId="2" applyFont="1" applyBorder="1"/>
    <xf numFmtId="0" fontId="15" fillId="0" borderId="5" xfId="0" quotePrefix="1" applyFont="1" applyBorder="1" applyAlignment="1">
      <alignment horizontal="left"/>
    </xf>
    <xf numFmtId="168" fontId="15" fillId="0" borderId="7" xfId="2" applyNumberFormat="1" applyFont="1" applyBorder="1" applyAlignment="1">
      <alignment horizontal="right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left"/>
    </xf>
    <xf numFmtId="168" fontId="15" fillId="0" borderId="12" xfId="2" applyNumberFormat="1" applyFont="1" applyBorder="1" applyAlignment="1">
      <alignment horizontal="right"/>
    </xf>
    <xf numFmtId="168" fontId="14" fillId="0" borderId="20" xfId="2" applyNumberFormat="1" applyFont="1" applyBorder="1" applyAlignment="1">
      <alignment horizontal="right"/>
    </xf>
    <xf numFmtId="168" fontId="14" fillId="0" borderId="2" xfId="0" applyNumberFormat="1" applyFont="1" applyBorder="1" applyAlignment="1">
      <alignment horizontal="right"/>
    </xf>
    <xf numFmtId="0" fontId="13" fillId="0" borderId="0" xfId="0" applyFont="1"/>
    <xf numFmtId="168" fontId="13" fillId="0" borderId="0" xfId="0" applyNumberFormat="1" applyFont="1"/>
    <xf numFmtId="168" fontId="0" fillId="0" borderId="0" xfId="0" applyNumberFormat="1"/>
    <xf numFmtId="170" fontId="32" fillId="0" borderId="5" xfId="9" applyNumberFormat="1" applyFont="1" applyBorder="1" applyAlignment="1">
      <alignment horizontal="left"/>
    </xf>
    <xf numFmtId="0" fontId="42" fillId="0" borderId="0" xfId="0" applyFont="1" applyAlignment="1">
      <alignment horizontal="left" readingOrder="2"/>
    </xf>
    <xf numFmtId="0" fontId="3" fillId="0" borderId="10" xfId="7" applyFont="1" applyFill="1" applyBorder="1" applyAlignment="1">
      <alignment horizontal="centerContinuous"/>
    </xf>
    <xf numFmtId="170" fontId="37" fillId="0" borderId="0" xfId="9" applyNumberFormat="1" applyFont="1" applyBorder="1" applyAlignment="1">
      <alignment horizontal="center"/>
    </xf>
    <xf numFmtId="0" fontId="11" fillId="0" borderId="0" xfId="0" applyFont="1" applyFill="1" applyAlignment="1" applyProtection="1">
      <alignment horizontal="center"/>
    </xf>
    <xf numFmtId="170" fontId="37" fillId="0" borderId="0" xfId="9" applyNumberFormat="1" applyFont="1" applyFill="1" applyBorder="1" applyAlignment="1">
      <alignment horizontal="center"/>
    </xf>
    <xf numFmtId="170" fontId="37" fillId="0" borderId="0" xfId="9" applyNumberFormat="1" applyFont="1" applyFill="1" applyBorder="1" applyAlignment="1">
      <alignment horizontal="left"/>
    </xf>
    <xf numFmtId="0" fontId="3" fillId="0" borderId="1" xfId="7" applyFont="1" applyFill="1" applyBorder="1" applyAlignment="1">
      <alignment horizontal="center"/>
    </xf>
    <xf numFmtId="0" fontId="3" fillId="0" borderId="7" xfId="7" applyFont="1" applyFill="1" applyBorder="1" applyAlignment="1">
      <alignment horizontal="center"/>
    </xf>
    <xf numFmtId="0" fontId="15" fillId="0" borderId="15" xfId="0" applyFont="1" applyFill="1" applyBorder="1" applyAlignment="1">
      <alignment horizontal="justify" vertical="top"/>
    </xf>
    <xf numFmtId="0" fontId="15" fillId="0" borderId="0" xfId="0" applyFont="1" applyFill="1" applyBorder="1" applyAlignment="1">
      <alignment horizontal="justify" vertical="top"/>
    </xf>
    <xf numFmtId="0" fontId="15" fillId="0" borderId="22" xfId="0" applyFont="1" applyFill="1" applyBorder="1" applyAlignment="1">
      <alignment horizontal="justify" vertical="top"/>
    </xf>
    <xf numFmtId="0" fontId="5" fillId="0" borderId="0" xfId="7" applyFont="1"/>
    <xf numFmtId="0" fontId="4" fillId="0" borderId="0" xfId="7" applyFont="1"/>
    <xf numFmtId="0" fontId="4" fillId="0" borderId="0" xfId="7" applyFont="1" applyAlignment="1">
      <alignment horizontal="left"/>
    </xf>
    <xf numFmtId="3" fontId="4" fillId="0" borderId="0" xfId="7" applyNumberFormat="1" applyFont="1"/>
    <xf numFmtId="3" fontId="13" fillId="0" borderId="0" xfId="7" applyNumberFormat="1" applyFont="1"/>
    <xf numFmtId="3" fontId="4" fillId="0" borderId="0" xfId="7" applyNumberFormat="1" applyFont="1" applyFill="1"/>
    <xf numFmtId="3" fontId="3" fillId="0" borderId="20" xfId="7" applyNumberFormat="1" applyFont="1" applyFill="1" applyBorder="1"/>
    <xf numFmtId="3" fontId="3" fillId="0" borderId="20" xfId="7" applyNumberFormat="1" applyFont="1" applyBorder="1"/>
    <xf numFmtId="0" fontId="36" fillId="0" borderId="0" xfId="7" applyFont="1"/>
    <xf numFmtId="0" fontId="54" fillId="0" borderId="0" xfId="7" applyFont="1"/>
    <xf numFmtId="3" fontId="54" fillId="0" borderId="0" xfId="7" applyNumberFormat="1" applyFont="1"/>
    <xf numFmtId="3" fontId="36" fillId="0" borderId="0" xfId="7" applyNumberFormat="1" applyFont="1"/>
    <xf numFmtId="3" fontId="39" fillId="0" borderId="20" xfId="7" applyNumberFormat="1" applyFont="1" applyFill="1" applyBorder="1"/>
    <xf numFmtId="3" fontId="39" fillId="0" borderId="20" xfId="7" applyNumberFormat="1" applyFont="1" applyBorder="1"/>
    <xf numFmtId="0" fontId="39" fillId="0" borderId="9" xfId="7" applyFont="1" applyBorder="1"/>
    <xf numFmtId="3" fontId="5" fillId="0" borderId="0" xfId="7" applyNumberFormat="1" applyFont="1"/>
    <xf numFmtId="0" fontId="4" fillId="0" borderId="5" xfId="7" applyFont="1" applyBorder="1"/>
    <xf numFmtId="3" fontId="4" fillId="0" borderId="1" xfId="7" applyNumberFormat="1" applyFont="1" applyFill="1" applyBorder="1"/>
    <xf numFmtId="3" fontId="4" fillId="0" borderId="1" xfId="7" applyNumberFormat="1" applyFont="1" applyBorder="1"/>
    <xf numFmtId="3" fontId="4" fillId="0" borderId="3" xfId="7" applyNumberFormat="1" applyFont="1" applyBorder="1"/>
    <xf numFmtId="0" fontId="3" fillId="0" borderId="3" xfId="7" applyFont="1" applyBorder="1"/>
    <xf numFmtId="0" fontId="5" fillId="0" borderId="0" xfId="7" applyFont="1" applyAlignment="1">
      <alignment horizontal="center"/>
    </xf>
    <xf numFmtId="0" fontId="4" fillId="0" borderId="0" xfId="7" applyFont="1" applyAlignment="1">
      <alignment horizontal="center"/>
    </xf>
    <xf numFmtId="0" fontId="8" fillId="0" borderId="1" xfId="7" applyFont="1" applyBorder="1" applyAlignment="1">
      <alignment horizontal="center"/>
    </xf>
    <xf numFmtId="0" fontId="3" fillId="0" borderId="7" xfId="7" applyFont="1" applyBorder="1" applyAlignment="1">
      <alignment horizontal="centerContinuous"/>
    </xf>
    <xf numFmtId="14" fontId="3" fillId="0" borderId="20" xfId="7" applyNumberFormat="1" applyFont="1" applyBorder="1" applyAlignment="1">
      <alignment horizontal="center"/>
    </xf>
    <xf numFmtId="14" fontId="3" fillId="0" borderId="10" xfId="7" applyNumberFormat="1" applyFont="1" applyBorder="1" applyAlignment="1">
      <alignment horizontal="center"/>
    </xf>
    <xf numFmtId="0" fontId="3" fillId="0" borderId="8" xfId="7" applyFont="1" applyBorder="1" applyAlignment="1">
      <alignment horizontal="centerContinuous"/>
    </xf>
    <xf numFmtId="0" fontId="3" fillId="0" borderId="4" xfId="7" applyFont="1" applyBorder="1" applyAlignment="1">
      <alignment horizontal="centerContinuous"/>
    </xf>
    <xf numFmtId="0" fontId="3" fillId="0" borderId="3" xfId="7" applyFont="1" applyBorder="1" applyAlignment="1">
      <alignment horizontal="centerContinuous"/>
    </xf>
    <xf numFmtId="0" fontId="3" fillId="0" borderId="1" xfId="7" applyFont="1" applyBorder="1"/>
    <xf numFmtId="3" fontId="4" fillId="0" borderId="0" xfId="7" applyNumberFormat="1" applyFont="1" applyAlignment="1">
      <alignment horizontal="centerContinuous"/>
    </xf>
    <xf numFmtId="0" fontId="4" fillId="0" borderId="0" xfId="7" applyFont="1" applyAlignment="1">
      <alignment horizontal="centerContinuous"/>
    </xf>
    <xf numFmtId="0" fontId="3" fillId="0" borderId="0" xfId="7" applyFont="1" applyAlignment="1">
      <alignment horizontal="centerContinuous"/>
    </xf>
    <xf numFmtId="0" fontId="15" fillId="0" borderId="0" xfId="7" applyFont="1" applyAlignment="1">
      <alignment horizontal="centerContinuous"/>
    </xf>
    <xf numFmtId="0" fontId="15" fillId="0" borderId="0" xfId="7" applyFont="1" applyAlignment="1">
      <alignment horizontal="left"/>
    </xf>
    <xf numFmtId="0" fontId="4" fillId="0" borderId="20" xfId="7" applyFont="1" applyBorder="1"/>
    <xf numFmtId="3" fontId="4" fillId="0" borderId="20" xfId="7" applyNumberFormat="1" applyFont="1" applyBorder="1"/>
    <xf numFmtId="3" fontId="4" fillId="0" borderId="20" xfId="7" applyNumberFormat="1" applyFont="1" applyFill="1" applyBorder="1"/>
    <xf numFmtId="0" fontId="17" fillId="0" borderId="20" xfId="7" applyFont="1" applyBorder="1"/>
    <xf numFmtId="0" fontId="39" fillId="0" borderId="0" xfId="7" applyFont="1"/>
    <xf numFmtId="0" fontId="66" fillId="0" borderId="0" xfId="7" applyFont="1"/>
    <xf numFmtId="0" fontId="56" fillId="0" borderId="0" xfId="7" applyFont="1"/>
    <xf numFmtId="3" fontId="39" fillId="0" borderId="0" xfId="7" applyNumberFormat="1" applyFont="1"/>
    <xf numFmtId="0" fontId="67" fillId="0" borderId="0" xfId="7" applyFont="1" applyProtection="1">
      <protection locked="0"/>
    </xf>
    <xf numFmtId="3" fontId="68" fillId="0" borderId="0" xfId="7" applyNumberFormat="1" applyFont="1" applyProtection="1">
      <protection locked="0"/>
    </xf>
    <xf numFmtId="0" fontId="67" fillId="0" borderId="0" xfId="7" applyFont="1" applyBorder="1" applyProtection="1">
      <protection locked="0"/>
    </xf>
    <xf numFmtId="3" fontId="39" fillId="0" borderId="20" xfId="2" applyNumberFormat="1" applyFont="1" applyFill="1" applyBorder="1" applyAlignment="1">
      <alignment horizontal="right"/>
    </xf>
    <xf numFmtId="3" fontId="39" fillId="0" borderId="20" xfId="2" applyNumberFormat="1" applyFont="1" applyBorder="1" applyAlignment="1">
      <alignment horizontal="right"/>
    </xf>
    <xf numFmtId="3" fontId="36" fillId="0" borderId="5" xfId="2" applyNumberFormat="1" applyFont="1" applyBorder="1" applyAlignment="1">
      <alignment horizontal="right"/>
    </xf>
    <xf numFmtId="3" fontId="36" fillId="0" borderId="7" xfId="2" applyNumberFormat="1" applyFont="1" applyFill="1" applyBorder="1" applyAlignment="1">
      <alignment horizontal="right"/>
    </xf>
    <xf numFmtId="3" fontId="36" fillId="0" borderId="5" xfId="2" applyNumberFormat="1" applyFont="1" applyFill="1" applyBorder="1" applyAlignment="1">
      <alignment horizontal="right"/>
    </xf>
    <xf numFmtId="3" fontId="36" fillId="0" borderId="5" xfId="2" quotePrefix="1" applyNumberFormat="1" applyFont="1" applyBorder="1" applyAlignment="1">
      <alignment horizontal="right"/>
    </xf>
    <xf numFmtId="0" fontId="36" fillId="0" borderId="1" xfId="7" applyFont="1" applyBorder="1"/>
    <xf numFmtId="0" fontId="36" fillId="0" borderId="3" xfId="7" applyFont="1" applyBorder="1"/>
    <xf numFmtId="0" fontId="39" fillId="0" borderId="3" xfId="7" applyFont="1" applyFill="1" applyBorder="1"/>
    <xf numFmtId="0" fontId="39" fillId="0" borderId="12" xfId="7" applyFont="1" applyFill="1" applyBorder="1" applyAlignment="1">
      <alignment horizontal="center"/>
    </xf>
    <xf numFmtId="0" fontId="39" fillId="0" borderId="6" xfId="7" applyFont="1" applyFill="1" applyBorder="1" applyAlignment="1">
      <alignment horizontal="center"/>
    </xf>
    <xf numFmtId="0" fontId="39" fillId="0" borderId="5" xfId="7" applyFont="1" applyFill="1" applyBorder="1" applyAlignment="1">
      <alignment horizontal="center"/>
    </xf>
    <xf numFmtId="0" fontId="39" fillId="0" borderId="7" xfId="7" applyFont="1" applyFill="1" applyBorder="1" applyAlignment="1">
      <alignment horizontal="center"/>
    </xf>
    <xf numFmtId="0" fontId="39" fillId="0" borderId="3" xfId="7" applyFont="1" applyFill="1" applyBorder="1" applyAlignment="1">
      <alignment horizontal="center"/>
    </xf>
    <xf numFmtId="0" fontId="39" fillId="0" borderId="1" xfId="7" applyFont="1" applyFill="1" applyBorder="1"/>
    <xf numFmtId="0" fontId="39" fillId="0" borderId="11" xfId="7" applyFont="1" applyFill="1" applyBorder="1" applyAlignment="1">
      <alignment horizontal="centerContinuous"/>
    </xf>
    <xf numFmtId="0" fontId="39" fillId="0" borderId="9" xfId="7" applyFont="1" applyFill="1" applyBorder="1" applyAlignment="1">
      <alignment horizontal="centerContinuous"/>
    </xf>
    <xf numFmtId="0" fontId="59" fillId="0" borderId="0" xfId="7" applyFont="1"/>
    <xf numFmtId="0" fontId="55" fillId="0" borderId="0" xfId="7" applyFont="1"/>
    <xf numFmtId="0" fontId="56" fillId="0" borderId="0" xfId="7" applyFont="1" applyAlignment="1">
      <alignment horizontal="right"/>
    </xf>
    <xf numFmtId="0" fontId="57" fillId="0" borderId="0" xfId="7" applyFont="1" applyAlignment="1">
      <alignment horizontal="right"/>
    </xf>
    <xf numFmtId="0" fontId="58" fillId="0" borderId="0" xfId="7" applyFont="1" applyAlignment="1">
      <alignment horizontal="centerContinuous"/>
    </xf>
    <xf numFmtId="0" fontId="55" fillId="0" borderId="0" xfId="7" applyFont="1" applyAlignment="1">
      <alignment horizontal="centerContinuous"/>
    </xf>
    <xf numFmtId="0" fontId="59" fillId="0" borderId="0" xfId="7" applyFont="1" applyAlignment="1">
      <alignment horizontal="centerContinuous"/>
    </xf>
    <xf numFmtId="0" fontId="54" fillId="0" borderId="0" xfId="7" applyFont="1" applyAlignment="1">
      <alignment horizontal="centerContinuous"/>
    </xf>
    <xf numFmtId="0" fontId="59" fillId="0" borderId="0" xfId="7" applyFont="1" applyAlignment="1">
      <alignment horizontal="center"/>
    </xf>
    <xf numFmtId="0" fontId="12" fillId="0" borderId="0" xfId="7" applyFont="1" applyProtection="1">
      <protection locked="0"/>
    </xf>
    <xf numFmtId="0" fontId="12" fillId="0" borderId="0" xfId="7" applyFont="1" applyBorder="1" applyProtection="1">
      <protection locked="0"/>
    </xf>
    <xf numFmtId="0" fontId="9" fillId="0" borderId="12" xfId="7" quotePrefix="1" applyFont="1" applyBorder="1" applyAlignment="1">
      <alignment horizontal="left"/>
    </xf>
    <xf numFmtId="0" fontId="9" fillId="0" borderId="20" xfId="7" quotePrefix="1" applyFont="1" applyBorder="1" applyAlignment="1">
      <alignment horizontal="left"/>
    </xf>
    <xf numFmtId="165" fontId="8" fillId="0" borderId="7" xfId="2" applyFont="1" applyBorder="1"/>
    <xf numFmtId="165" fontId="10" fillId="0" borderId="7" xfId="2" applyFont="1" applyBorder="1" applyAlignment="1">
      <alignment horizontal="center"/>
    </xf>
    <xf numFmtId="0" fontId="3" fillId="0" borderId="7" xfId="7" applyFont="1" applyBorder="1"/>
    <xf numFmtId="0" fontId="9" fillId="0" borderId="12" xfId="7" applyFont="1" applyBorder="1" applyAlignment="1">
      <alignment horizontal="center"/>
    </xf>
    <xf numFmtId="0" fontId="9" fillId="0" borderId="6" xfId="7" applyFont="1" applyBorder="1" applyAlignment="1">
      <alignment horizontal="center"/>
    </xf>
    <xf numFmtId="0" fontId="9" fillId="0" borderId="12" xfId="7" applyFont="1" applyBorder="1"/>
    <xf numFmtId="0" fontId="9" fillId="0" borderId="7" xfId="7" applyFont="1" applyBorder="1" applyAlignment="1">
      <alignment horizontal="center"/>
    </xf>
    <xf numFmtId="0" fontId="9" fillId="0" borderId="1" xfId="7" applyFont="1" applyBorder="1" applyAlignment="1">
      <alignment horizontal="center"/>
    </xf>
    <xf numFmtId="0" fontId="9" fillId="0" borderId="7" xfId="7" applyFont="1" applyBorder="1"/>
    <xf numFmtId="0" fontId="4" fillId="0" borderId="8" xfId="7" applyBorder="1"/>
    <xf numFmtId="0" fontId="4" fillId="0" borderId="10" xfId="7" applyBorder="1"/>
    <xf numFmtId="0" fontId="4" fillId="0" borderId="11" xfId="7" applyBorder="1"/>
    <xf numFmtId="0" fontId="3" fillId="0" borderId="11" xfId="7" quotePrefix="1" applyFont="1" applyBorder="1" applyAlignment="1">
      <alignment horizontal="left"/>
    </xf>
    <xf numFmtId="0" fontId="3" fillId="0" borderId="9" xfId="7" quotePrefix="1" applyFont="1" applyBorder="1" applyAlignment="1">
      <alignment horizontal="left"/>
    </xf>
    <xf numFmtId="0" fontId="17" fillId="0" borderId="0" xfId="7" applyFont="1" applyBorder="1" applyAlignment="1">
      <alignment horizontal="center"/>
    </xf>
    <xf numFmtId="0" fontId="3" fillId="0" borderId="0" xfId="7" applyFont="1" applyBorder="1"/>
    <xf numFmtId="0" fontId="16" fillId="0" borderId="0" xfId="7" applyFont="1"/>
    <xf numFmtId="0" fontId="16" fillId="0" borderId="0" xfId="7" applyFont="1" applyAlignment="1">
      <alignment horizontal="centerContinuous"/>
    </xf>
    <xf numFmtId="0" fontId="16" fillId="0" borderId="0" xfId="7" applyFont="1" applyAlignment="1"/>
    <xf numFmtId="0" fontId="11" fillId="0" borderId="0" xfId="7" applyFont="1" applyAlignment="1"/>
    <xf numFmtId="0" fontId="11" fillId="0" borderId="0" xfId="7" applyFont="1"/>
    <xf numFmtId="0" fontId="11" fillId="0" borderId="0" xfId="7" applyFont="1" applyAlignment="1">
      <alignment horizontal="centerContinuous"/>
    </xf>
    <xf numFmtId="0" fontId="25" fillId="0" borderId="0" xfId="7" applyFont="1" applyProtection="1">
      <protection locked="0"/>
    </xf>
    <xf numFmtId="0" fontId="25" fillId="0" borderId="0" xfId="7" applyFont="1" applyBorder="1" applyProtection="1">
      <protection locked="0"/>
    </xf>
    <xf numFmtId="0" fontId="13" fillId="0" borderId="20" xfId="7" applyFont="1" applyBorder="1"/>
    <xf numFmtId="0" fontId="13" fillId="0" borderId="11" xfId="7" applyFont="1" applyBorder="1"/>
    <xf numFmtId="0" fontId="13" fillId="0" borderId="7" xfId="7" applyFont="1" applyBorder="1"/>
    <xf numFmtId="0" fontId="22" fillId="0" borderId="12" xfId="7" applyFont="1" applyBorder="1"/>
    <xf numFmtId="0" fontId="13" fillId="0" borderId="12" xfId="7" applyFont="1" applyBorder="1"/>
    <xf numFmtId="0" fontId="22" fillId="0" borderId="7" xfId="7" applyFont="1" applyBorder="1"/>
    <xf numFmtId="0" fontId="13" fillId="0" borderId="7" xfId="7" applyFont="1" applyBorder="1" applyAlignment="1">
      <alignment horizontal="centerContinuous"/>
    </xf>
    <xf numFmtId="0" fontId="22" fillId="0" borderId="7" xfId="7" applyFont="1" applyBorder="1" applyAlignment="1">
      <alignment horizontal="centerContinuous"/>
    </xf>
    <xf numFmtId="0" fontId="13" fillId="0" borderId="1" xfId="7" applyFont="1" applyBorder="1"/>
    <xf numFmtId="0" fontId="22" fillId="0" borderId="1" xfId="7" applyFont="1" applyBorder="1"/>
    <xf numFmtId="0" fontId="22" fillId="0" borderId="19" xfId="7" applyFont="1" applyBorder="1" applyAlignment="1">
      <alignment horizontal="center"/>
    </xf>
    <xf numFmtId="0" fontId="22" fillId="0" borderId="12" xfId="7" applyFont="1" applyBorder="1" applyAlignment="1">
      <alignment horizontal="center"/>
    </xf>
    <xf numFmtId="0" fontId="22" fillId="0" borderId="2" xfId="7" applyFont="1" applyBorder="1" applyAlignment="1">
      <alignment horizontal="center"/>
    </xf>
    <xf numFmtId="0" fontId="13" fillId="0" borderId="2" xfId="7" applyFont="1" applyBorder="1" applyAlignment="1">
      <alignment horizontal="center"/>
    </xf>
    <xf numFmtId="0" fontId="22" fillId="0" borderId="21" xfId="7" applyFont="1" applyBorder="1" applyAlignment="1">
      <alignment horizontal="center"/>
    </xf>
    <xf numFmtId="0" fontId="22" fillId="0" borderId="1" xfId="7" applyFont="1" applyBorder="1" applyAlignment="1">
      <alignment horizontal="center"/>
    </xf>
    <xf numFmtId="0" fontId="22" fillId="0" borderId="0" xfId="7" applyFont="1" applyBorder="1" applyAlignment="1">
      <alignment horizontal="center"/>
    </xf>
    <xf numFmtId="0" fontId="22" fillId="0" borderId="7" xfId="7" applyFont="1" applyBorder="1" applyAlignment="1">
      <alignment horizontal="center"/>
    </xf>
    <xf numFmtId="0" fontId="22" fillId="0" borderId="10" xfId="7" applyFont="1" applyBorder="1" applyAlignment="1">
      <alignment horizontal="centerContinuous"/>
    </xf>
    <xf numFmtId="0" fontId="22" fillId="0" borderId="9" xfId="7" applyFont="1" applyBorder="1" applyAlignment="1">
      <alignment horizontal="centerContinuous"/>
    </xf>
    <xf numFmtId="0" fontId="22" fillId="0" borderId="11" xfId="7" applyFont="1" applyBorder="1" applyAlignment="1">
      <alignment horizontal="centerContinuous"/>
    </xf>
    <xf numFmtId="0" fontId="22" fillId="0" borderId="4" xfId="7" applyFont="1" applyBorder="1" applyAlignment="1">
      <alignment horizontal="center"/>
    </xf>
    <xf numFmtId="0" fontId="20" fillId="0" borderId="0" xfId="7" applyFont="1" applyAlignment="1">
      <alignment horizontal="centerContinuous"/>
    </xf>
    <xf numFmtId="0" fontId="12" fillId="0" borderId="0" xfId="7" applyFont="1"/>
    <xf numFmtId="0" fontId="19" fillId="0" borderId="0" xfId="7" applyFont="1" applyAlignment="1">
      <alignment horizontal="centerContinuous"/>
    </xf>
    <xf numFmtId="0" fontId="3" fillId="0" borderId="1" xfId="7" applyFont="1" applyBorder="1" applyAlignment="1">
      <alignment horizontal="centerContinuous"/>
    </xf>
    <xf numFmtId="0" fontId="14" fillId="0" borderId="20" xfId="7" quotePrefix="1" applyFont="1" applyBorder="1" applyAlignment="1">
      <alignment horizontal="left"/>
    </xf>
    <xf numFmtId="0" fontId="14" fillId="0" borderId="12" xfId="7" quotePrefix="1" applyFont="1" applyBorder="1" applyAlignment="1">
      <alignment horizontal="left"/>
    </xf>
    <xf numFmtId="4" fontId="3" fillId="0" borderId="20" xfId="2" applyNumberFormat="1" applyFont="1" applyFill="1" applyBorder="1" applyAlignment="1">
      <alignment horizontal="right"/>
    </xf>
    <xf numFmtId="165" fontId="3" fillId="0" borderId="20" xfId="2" applyFont="1" applyFill="1" applyBorder="1" applyAlignment="1">
      <alignment horizontal="center"/>
    </xf>
    <xf numFmtId="4" fontId="0" fillId="0" borderId="7" xfId="2" applyNumberFormat="1" applyFont="1" applyBorder="1" applyAlignment="1">
      <alignment horizontal="right"/>
    </xf>
    <xf numFmtId="165" fontId="3" fillId="0" borderId="20" xfId="2" applyFont="1" applyBorder="1" applyAlignment="1">
      <alignment horizontal="center"/>
    </xf>
    <xf numFmtId="3" fontId="3" fillId="0" borderId="20" xfId="2" applyNumberFormat="1" applyFont="1" applyBorder="1" applyAlignment="1">
      <alignment horizontal="right"/>
    </xf>
    <xf numFmtId="3" fontId="0" fillId="0" borderId="20" xfId="2" applyNumberFormat="1" applyFont="1" applyBorder="1" applyAlignment="1">
      <alignment horizontal="right"/>
    </xf>
    <xf numFmtId="4" fontId="3" fillId="0" borderId="20" xfId="2" applyNumberFormat="1" applyFont="1" applyBorder="1" applyAlignment="1">
      <alignment horizontal="right"/>
    </xf>
    <xf numFmtId="0" fontId="13" fillId="0" borderId="0" xfId="7" applyFont="1" applyBorder="1" applyProtection="1">
      <protection locked="0"/>
    </xf>
    <xf numFmtId="165" fontId="0" fillId="0" borderId="7" xfId="2" applyFont="1" applyBorder="1" applyAlignment="1">
      <alignment horizontal="center"/>
    </xf>
    <xf numFmtId="0" fontId="69" fillId="0" borderId="5" xfId="7" applyFont="1" applyBorder="1"/>
    <xf numFmtId="4" fontId="3" fillId="0" borderId="20" xfId="2" applyNumberFormat="1" applyFont="1" applyFill="1" applyBorder="1"/>
    <xf numFmtId="4" fontId="0" fillId="0" borderId="7" xfId="2" applyNumberFormat="1" applyFont="1" applyBorder="1"/>
    <xf numFmtId="4" fontId="3" fillId="0" borderId="20" xfId="2" applyNumberFormat="1" applyFont="1" applyBorder="1" applyAlignment="1"/>
    <xf numFmtId="4" fontId="0" fillId="0" borderId="7" xfId="2" applyNumberFormat="1" applyFont="1" applyBorder="1" applyAlignment="1"/>
    <xf numFmtId="3" fontId="0" fillId="0" borderId="21" xfId="2" applyNumberFormat="1" applyFont="1" applyBorder="1" applyAlignment="1">
      <alignment horizontal="right"/>
    </xf>
    <xf numFmtId="4" fontId="0" fillId="0" borderId="5" xfId="2" applyNumberFormat="1" applyFont="1" applyBorder="1" applyAlignment="1"/>
    <xf numFmtId="4" fontId="0" fillId="0" borderId="12" xfId="2" applyNumberFormat="1" applyFont="1" applyBorder="1" applyAlignment="1"/>
    <xf numFmtId="165" fontId="60" fillId="0" borderId="7" xfId="2" applyFont="1" applyBorder="1"/>
    <xf numFmtId="165" fontId="0" fillId="0" borderId="1" xfId="2" applyFont="1" applyBorder="1"/>
    <xf numFmtId="0" fontId="3" fillId="0" borderId="19" xfId="7" applyFont="1" applyFill="1" applyBorder="1" applyAlignment="1">
      <alignment horizontal="centerContinuous"/>
    </xf>
    <xf numFmtId="0" fontId="3" fillId="0" borderId="20" xfId="7" applyFont="1" applyFill="1" applyBorder="1" applyAlignment="1">
      <alignment horizontal="centerContinuous"/>
    </xf>
    <xf numFmtId="0" fontId="3" fillId="0" borderId="11" xfId="7" applyFont="1" applyFill="1" applyBorder="1" applyAlignment="1"/>
    <xf numFmtId="0" fontId="3" fillId="0" borderId="9" xfId="7" applyFont="1" applyFill="1" applyBorder="1" applyAlignment="1"/>
    <xf numFmtId="0" fontId="21" fillId="0" borderId="0" xfId="7" applyFont="1" applyAlignment="1">
      <alignment horizontal="centerContinuous"/>
    </xf>
    <xf numFmtId="164" fontId="0" fillId="0" borderId="0" xfId="0" applyNumberFormat="1" applyFill="1"/>
    <xf numFmtId="173" fontId="4" fillId="0" borderId="2" xfId="1" applyNumberFormat="1" applyFont="1" applyFill="1" applyBorder="1"/>
    <xf numFmtId="165" fontId="0" fillId="0" borderId="0" xfId="2" applyFont="1" applyFill="1"/>
    <xf numFmtId="165" fontId="40" fillId="0" borderId="0" xfId="2" applyFont="1" applyFill="1"/>
    <xf numFmtId="3" fontId="48" fillId="0" borderId="0" xfId="0" applyNumberFormat="1" applyFont="1" applyFill="1"/>
    <xf numFmtId="0" fontId="11" fillId="0" borderId="0" xfId="0" applyFont="1" applyFill="1" applyAlignment="1" applyProtection="1"/>
    <xf numFmtId="0" fontId="58" fillId="0" borderId="0" xfId="7" applyFont="1" applyAlignment="1"/>
    <xf numFmtId="0" fontId="59" fillId="0" borderId="0" xfId="7" applyFont="1" applyAlignment="1"/>
    <xf numFmtId="14" fontId="8" fillId="0" borderId="12" xfId="0" quotePrefix="1" applyNumberFormat="1" applyFont="1" applyFill="1" applyBorder="1" applyAlignment="1">
      <alignment horizontal="center"/>
    </xf>
    <xf numFmtId="4" fontId="4" fillId="0" borderId="7" xfId="2" applyNumberFormat="1" applyFont="1" applyBorder="1" applyAlignment="1">
      <alignment horizontal="right"/>
    </xf>
    <xf numFmtId="3" fontId="4" fillId="0" borderId="7" xfId="2" applyNumberFormat="1" applyFont="1" applyBorder="1" applyAlignment="1">
      <alignment horizontal="right"/>
    </xf>
    <xf numFmtId="164" fontId="4" fillId="0" borderId="0" xfId="7" applyNumberFormat="1" applyFill="1"/>
    <xf numFmtId="164" fontId="13" fillId="0" borderId="0" xfId="7" applyNumberFormat="1" applyFont="1" applyFill="1"/>
    <xf numFmtId="3" fontId="4" fillId="0" borderId="7" xfId="0" applyNumberFormat="1" applyFont="1" applyBorder="1" applyAlignment="1">
      <alignment horizontal="right" vertical="center"/>
    </xf>
    <xf numFmtId="168" fontId="4" fillId="0" borderId="1" xfId="2" applyNumberFormat="1" applyFont="1" applyFill="1" applyBorder="1" applyAlignment="1">
      <alignment horizontal="right"/>
    </xf>
    <xf numFmtId="3" fontId="50" fillId="0" borderId="0" xfId="0" applyNumberFormat="1" applyFont="1" applyFill="1"/>
    <xf numFmtId="0" fontId="36" fillId="0" borderId="0" xfId="7" applyFont="1" applyProtection="1">
      <protection locked="0"/>
    </xf>
    <xf numFmtId="0" fontId="39" fillId="0" borderId="20" xfId="7" quotePrefix="1" applyFont="1" applyBorder="1" applyAlignment="1">
      <alignment horizontal="left"/>
    </xf>
    <xf numFmtId="0" fontId="36" fillId="0" borderId="5" xfId="7" applyFont="1" applyBorder="1"/>
    <xf numFmtId="0" fontId="36" fillId="0" borderId="5" xfId="7" quotePrefix="1" applyFont="1" applyBorder="1" applyAlignment="1">
      <alignment horizontal="left"/>
    </xf>
    <xf numFmtId="0" fontId="36" fillId="0" borderId="5" xfId="7" applyFont="1" applyBorder="1" applyAlignment="1">
      <alignment horizontal="left"/>
    </xf>
    <xf numFmtId="3" fontId="36" fillId="0" borderId="7" xfId="2" applyNumberFormat="1" applyFont="1" applyBorder="1" applyAlignment="1">
      <alignment horizontal="right"/>
    </xf>
    <xf numFmtId="170" fontId="37" fillId="0" borderId="0" xfId="9" applyNumberFormat="1" applyFont="1" applyBorder="1" applyAlignment="1">
      <alignment horizontal="center"/>
    </xf>
    <xf numFmtId="170" fontId="37" fillId="0" borderId="0" xfId="9" applyNumberFormat="1" applyFont="1" applyFill="1" applyBorder="1" applyAlignment="1">
      <alignment horizontal="center"/>
    </xf>
    <xf numFmtId="170" fontId="37" fillId="0" borderId="0" xfId="9" applyNumberFormat="1" applyFont="1" applyAlignment="1">
      <alignment horizontal="center"/>
    </xf>
    <xf numFmtId="0" fontId="4" fillId="0" borderId="0" xfId="50"/>
    <xf numFmtId="37" fontId="4" fillId="0" borderId="0" xfId="50" applyNumberFormat="1" applyAlignment="1">
      <alignment horizontal="center"/>
    </xf>
    <xf numFmtId="37" fontId="4" fillId="0" borderId="0" xfId="50" applyNumberFormat="1"/>
    <xf numFmtId="0" fontId="19" fillId="0" borderId="0" xfId="50" applyFont="1" applyAlignment="1">
      <alignment horizontal="center"/>
    </xf>
    <xf numFmtId="0" fontId="22" fillId="0" borderId="0" xfId="50" applyFont="1" applyAlignment="1">
      <alignment horizontal="center"/>
    </xf>
    <xf numFmtId="0" fontId="3" fillId="0" borderId="0" xfId="50" applyFont="1" applyAlignment="1">
      <alignment horizontal="center"/>
    </xf>
    <xf numFmtId="37" fontId="3" fillId="0" borderId="0" xfId="50" applyNumberFormat="1" applyFont="1" applyAlignment="1">
      <alignment horizontal="center"/>
    </xf>
    <xf numFmtId="37" fontId="3" fillId="0" borderId="0" xfId="50" applyNumberFormat="1" applyFont="1"/>
    <xf numFmtId="0" fontId="3" fillId="0" borderId="0" xfId="50" applyFont="1"/>
    <xf numFmtId="178" fontId="4" fillId="0" borderId="0" xfId="50" applyNumberFormat="1"/>
    <xf numFmtId="178" fontId="4" fillId="0" borderId="2" xfId="50" applyNumberFormat="1" applyBorder="1"/>
    <xf numFmtId="0" fontId="4" fillId="0" borderId="3" xfId="50" applyBorder="1"/>
    <xf numFmtId="0" fontId="71" fillId="0" borderId="4" xfId="50" applyFont="1" applyBorder="1"/>
    <xf numFmtId="0" fontId="4" fillId="0" borderId="4" xfId="50" applyBorder="1"/>
    <xf numFmtId="170" fontId="72" fillId="0" borderId="4" xfId="9" applyNumberFormat="1" applyFont="1" applyBorder="1" applyAlignment="1">
      <alignment horizontal="center"/>
    </xf>
    <xf numFmtId="37" fontId="73" fillId="0" borderId="4" xfId="50" applyNumberFormat="1" applyFont="1" applyBorder="1"/>
    <xf numFmtId="0" fontId="4" fillId="0" borderId="8" xfId="50" applyBorder="1"/>
    <xf numFmtId="0" fontId="4" fillId="0" borderId="5" xfId="50" applyBorder="1"/>
    <xf numFmtId="0" fontId="71" fillId="0" borderId="0" xfId="50" applyFont="1"/>
    <xf numFmtId="170" fontId="72" fillId="0" borderId="0" xfId="9" applyNumberFormat="1" applyFont="1" applyAlignment="1">
      <alignment horizontal="center"/>
    </xf>
    <xf numFmtId="37" fontId="73" fillId="0" borderId="0" xfId="50" applyNumberFormat="1" applyFont="1"/>
    <xf numFmtId="0" fontId="4" fillId="0" borderId="21" xfId="50" applyBorder="1"/>
    <xf numFmtId="0" fontId="3" fillId="0" borderId="2" xfId="50" applyFont="1" applyBorder="1" applyAlignment="1">
      <alignment horizontal="center"/>
    </xf>
    <xf numFmtId="0" fontId="73" fillId="0" borderId="0" xfId="50" applyFont="1"/>
    <xf numFmtId="178" fontId="3" fillId="0" borderId="0" xfId="50" applyNumberFormat="1" applyFont="1" applyAlignment="1">
      <alignment horizontal="center"/>
    </xf>
    <xf numFmtId="37" fontId="74" fillId="0" borderId="0" xfId="50" applyNumberFormat="1" applyFont="1" applyAlignment="1">
      <alignment horizontal="center"/>
    </xf>
    <xf numFmtId="37" fontId="73" fillId="0" borderId="0" xfId="50" applyNumberFormat="1" applyFont="1" applyAlignment="1">
      <alignment horizontal="center"/>
    </xf>
    <xf numFmtId="3" fontId="4" fillId="0" borderId="0" xfId="51" applyNumberFormat="1"/>
    <xf numFmtId="178" fontId="4" fillId="0" borderId="21" xfId="50" applyNumberFormat="1" applyBorder="1"/>
    <xf numFmtId="171" fontId="4" fillId="0" borderId="0" xfId="52" applyNumberFormat="1"/>
    <xf numFmtId="171" fontId="4" fillId="0" borderId="0" xfId="50" applyNumberFormat="1"/>
    <xf numFmtId="39" fontId="4" fillId="0" borderId="0" xfId="50" applyNumberFormat="1"/>
    <xf numFmtId="3" fontId="4" fillId="0" borderId="2" xfId="51" applyNumberFormat="1" applyBorder="1"/>
    <xf numFmtId="0" fontId="8" fillId="0" borderId="0" xfId="50" applyFont="1"/>
    <xf numFmtId="3" fontId="3" fillId="0" borderId="2" xfId="51" applyNumberFormat="1" applyFont="1" applyBorder="1"/>
    <xf numFmtId="3" fontId="3" fillId="0" borderId="0" xfId="51" applyNumberFormat="1" applyFont="1"/>
    <xf numFmtId="171" fontId="74" fillId="0" borderId="0" xfId="50" applyNumberFormat="1" applyFont="1"/>
    <xf numFmtId="171" fontId="74" fillId="7" borderId="0" xfId="50" applyNumberFormat="1" applyFont="1" applyFill="1"/>
    <xf numFmtId="178" fontId="3" fillId="0" borderId="21" xfId="50" applyNumberFormat="1" applyFont="1" applyBorder="1"/>
    <xf numFmtId="179" fontId="4" fillId="0" borderId="0" xfId="52"/>
    <xf numFmtId="37" fontId="4" fillId="0" borderId="21" xfId="50" applyNumberFormat="1" applyBorder="1"/>
    <xf numFmtId="37" fontId="74" fillId="0" borderId="0" xfId="50" applyNumberFormat="1" applyFont="1"/>
    <xf numFmtId="0" fontId="74" fillId="0" borderId="0" xfId="50" applyFont="1"/>
    <xf numFmtId="37" fontId="73" fillId="0" borderId="0" xfId="52" applyNumberFormat="1" applyFont="1"/>
    <xf numFmtId="37" fontId="73" fillId="0" borderId="0" xfId="5" applyNumberFormat="1" applyFont="1"/>
    <xf numFmtId="39" fontId="4" fillId="0" borderId="0" xfId="52" applyNumberFormat="1"/>
    <xf numFmtId="171" fontId="74" fillId="0" borderId="0" xfId="52" applyNumberFormat="1" applyFont="1"/>
    <xf numFmtId="171" fontId="74" fillId="7" borderId="0" xfId="52" applyNumberFormat="1" applyFont="1" applyFill="1"/>
    <xf numFmtId="173" fontId="0" fillId="0" borderId="0" xfId="5" applyNumberFormat="1" applyFont="1"/>
    <xf numFmtId="3" fontId="3" fillId="0" borderId="29" xfId="51" applyNumberFormat="1" applyFont="1" applyBorder="1"/>
    <xf numFmtId="0" fontId="4" fillId="0" borderId="6" xfId="50" applyBorder="1"/>
    <xf numFmtId="0" fontId="4" fillId="0" borderId="2" xfId="50" applyBorder="1"/>
    <xf numFmtId="37" fontId="4" fillId="0" borderId="2" xfId="50" applyNumberFormat="1" applyBorder="1"/>
    <xf numFmtId="0" fontId="4" fillId="0" borderId="19" xfId="50" applyBorder="1"/>
    <xf numFmtId="170" fontId="4" fillId="0" borderId="0" xfId="50" applyNumberFormat="1"/>
    <xf numFmtId="170" fontId="75" fillId="0" borderId="0" xfId="50" applyNumberFormat="1" applyFont="1"/>
    <xf numFmtId="170" fontId="37" fillId="0" borderId="0" xfId="9" applyNumberFormat="1" applyFont="1" applyAlignment="1">
      <alignment horizontal="left"/>
    </xf>
    <xf numFmtId="0" fontId="10" fillId="0" borderId="0" xfId="50" applyFont="1"/>
    <xf numFmtId="0" fontId="41" fillId="0" borderId="0" xfId="50" applyFont="1" applyProtection="1">
      <protection locked="0"/>
    </xf>
    <xf numFmtId="170" fontId="8" fillId="0" borderId="0" xfId="50" applyNumberFormat="1" applyFont="1"/>
    <xf numFmtId="170" fontId="37" fillId="0" borderId="0" xfId="50" applyNumberFormat="1" applyFont="1"/>
    <xf numFmtId="170" fontId="3" fillId="0" borderId="0" xfId="50" applyNumberFormat="1" applyFont="1"/>
    <xf numFmtId="170" fontId="5" fillId="0" borderId="0" xfId="50" applyNumberFormat="1" applyFont="1"/>
    <xf numFmtId="0" fontId="4" fillId="0" borderId="0" xfId="50" applyProtection="1">
      <protection locked="0"/>
    </xf>
    <xf numFmtId="0" fontId="13" fillId="0" borderId="0" xfId="50" applyFont="1" applyProtection="1">
      <protection locked="0"/>
    </xf>
    <xf numFmtId="170" fontId="13" fillId="0" borderId="0" xfId="50" applyNumberFormat="1" applyFont="1" applyProtection="1">
      <protection locked="0"/>
    </xf>
    <xf numFmtId="0" fontId="4" fillId="0" borderId="7" xfId="7" applyFont="1" applyBorder="1" applyAlignment="1"/>
    <xf numFmtId="3" fontId="10" fillId="0" borderId="7" xfId="2" applyNumberFormat="1" applyFont="1" applyBorder="1" applyAlignment="1">
      <alignment horizontal="right"/>
    </xf>
    <xf numFmtId="3" fontId="10" fillId="0" borderId="7" xfId="2" applyNumberFormat="1" applyFont="1" applyBorder="1" applyAlignment="1"/>
    <xf numFmtId="3" fontId="10" fillId="0" borderId="7" xfId="2" applyNumberFormat="1" applyFont="1" applyBorder="1"/>
    <xf numFmtId="3" fontId="8" fillId="0" borderId="20" xfId="2" applyNumberFormat="1" applyFont="1" applyBorder="1" applyAlignment="1">
      <alignment horizontal="right"/>
    </xf>
    <xf numFmtId="0" fontId="14" fillId="0" borderId="0" xfId="7" applyFont="1" applyFill="1" applyBorder="1" applyAlignment="1"/>
    <xf numFmtId="3" fontId="76" fillId="0" borderId="12" xfId="0" applyNumberFormat="1" applyFont="1" applyBorder="1"/>
    <xf numFmtId="0" fontId="53" fillId="0" borderId="0" xfId="7" applyFont="1"/>
    <xf numFmtId="3" fontId="3" fillId="0" borderId="0" xfId="7" applyNumberFormat="1" applyFont="1"/>
    <xf numFmtId="174" fontId="72" fillId="0" borderId="0" xfId="9" applyNumberFormat="1" applyFont="1" applyAlignment="1">
      <alignment horizontal="center"/>
    </xf>
    <xf numFmtId="0" fontId="15" fillId="0" borderId="26" xfId="0" applyFont="1" applyFill="1" applyBorder="1" applyAlignment="1">
      <alignment wrapText="1"/>
    </xf>
    <xf numFmtId="0" fontId="15" fillId="0" borderId="4" xfId="0" applyFont="1" applyFill="1" applyBorder="1" applyAlignment="1">
      <alignment wrapText="1"/>
    </xf>
    <xf numFmtId="0" fontId="15" fillId="0" borderId="27" xfId="0" applyFont="1" applyFill="1" applyBorder="1" applyAlignment="1">
      <alignment wrapText="1"/>
    </xf>
    <xf numFmtId="0" fontId="15" fillId="0" borderId="26" xfId="0" applyFont="1" applyFill="1" applyBorder="1" applyAlignment="1">
      <alignment horizontal="justify" vertical="center"/>
    </xf>
    <xf numFmtId="0" fontId="15" fillId="0" borderId="4" xfId="0" applyFont="1" applyFill="1" applyBorder="1" applyAlignment="1">
      <alignment horizontal="justify" vertical="center"/>
    </xf>
    <xf numFmtId="0" fontId="15" fillId="0" borderId="27" xfId="0" applyFont="1" applyFill="1" applyBorder="1" applyAlignment="1">
      <alignment horizontal="justify" vertical="center"/>
    </xf>
    <xf numFmtId="170" fontId="37" fillId="0" borderId="0" xfId="9" applyNumberFormat="1" applyFont="1" applyBorder="1" applyAlignment="1">
      <alignment horizontal="center"/>
    </xf>
    <xf numFmtId="0" fontId="15" fillId="0" borderId="15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0" fontId="15" fillId="0" borderId="22" xfId="0" applyFont="1" applyFill="1" applyBorder="1" applyAlignment="1">
      <alignment horizontal="left" wrapText="1"/>
    </xf>
    <xf numFmtId="0" fontId="11" fillId="0" borderId="0" xfId="0" applyFont="1" applyFill="1" applyAlignment="1" applyProtection="1">
      <alignment horizontal="center"/>
    </xf>
    <xf numFmtId="170" fontId="37" fillId="0" borderId="0" xfId="9" applyNumberFormat="1" applyFont="1" applyFill="1" applyBorder="1" applyAlignment="1">
      <alignment horizontal="left"/>
    </xf>
    <xf numFmtId="170" fontId="37" fillId="0" borderId="0" xfId="9" applyNumberFormat="1" applyFont="1" applyFill="1" applyBorder="1" applyAlignment="1">
      <alignment horizontal="center"/>
    </xf>
    <xf numFmtId="0" fontId="3" fillId="0" borderId="5" xfId="7" applyFont="1" applyBorder="1" applyAlignment="1">
      <alignment horizontal="left"/>
    </xf>
    <xf numFmtId="0" fontId="3" fillId="0" borderId="0" xfId="7" applyFont="1" applyAlignment="1">
      <alignment horizontal="left"/>
    </xf>
    <xf numFmtId="0" fontId="8" fillId="0" borderId="0" xfId="7" applyFont="1" applyAlignment="1">
      <alignment horizontal="center"/>
    </xf>
    <xf numFmtId="0" fontId="8" fillId="0" borderId="0" xfId="7" applyFont="1" applyFill="1" applyBorder="1" applyAlignment="1">
      <alignment horizontal="center"/>
    </xf>
    <xf numFmtId="0" fontId="3" fillId="0" borderId="3" xfId="7" applyFont="1" applyBorder="1" applyAlignment="1">
      <alignment horizontal="center"/>
    </xf>
    <xf numFmtId="0" fontId="3" fillId="0" borderId="8" xfId="7" applyFont="1" applyBorder="1" applyAlignment="1">
      <alignment horizontal="center"/>
    </xf>
    <xf numFmtId="0" fontId="3" fillId="0" borderId="6" xfId="7" applyFont="1" applyBorder="1" applyAlignment="1">
      <alignment horizontal="center"/>
    </xf>
    <xf numFmtId="0" fontId="3" fillId="0" borderId="19" xfId="7" applyFont="1" applyBorder="1" applyAlignment="1">
      <alignment horizontal="center"/>
    </xf>
    <xf numFmtId="171" fontId="22" fillId="0" borderId="0" xfId="1" applyNumberFormat="1" applyFont="1" applyAlignment="1">
      <alignment horizontal="center"/>
    </xf>
    <xf numFmtId="0" fontId="3" fillId="0" borderId="0" xfId="7" applyFont="1" applyAlignment="1">
      <alignment horizontal="center"/>
    </xf>
    <xf numFmtId="0" fontId="14" fillId="0" borderId="0" xfId="7" applyFont="1" applyFill="1" applyBorder="1" applyAlignment="1">
      <alignment horizontal="center"/>
    </xf>
    <xf numFmtId="171" fontId="3" fillId="0" borderId="0" xfId="1" applyNumberFormat="1" applyFont="1" applyAlignment="1">
      <alignment horizontal="center"/>
    </xf>
    <xf numFmtId="0" fontId="3" fillId="0" borderId="2" xfId="7" applyFont="1" applyBorder="1" applyAlignment="1">
      <alignment horizontal="center"/>
    </xf>
    <xf numFmtId="170" fontId="37" fillId="0" borderId="0" xfId="9" applyNumberFormat="1" applyFont="1" applyBorder="1" applyAlignment="1"/>
    <xf numFmtId="170" fontId="37" fillId="0" borderId="0" xfId="9" applyNumberFormat="1" applyFont="1" applyAlignment="1">
      <alignment horizontal="center"/>
    </xf>
    <xf numFmtId="0" fontId="37" fillId="0" borderId="0" xfId="50" applyFont="1" applyAlignment="1">
      <alignment horizontal="center"/>
    </xf>
    <xf numFmtId="0" fontId="19" fillId="0" borderId="0" xfId="50" applyFont="1" applyAlignment="1">
      <alignment horizontal="center"/>
    </xf>
    <xf numFmtId="0" fontId="3" fillId="0" borderId="0" xfId="50" applyFont="1" applyAlignment="1">
      <alignment horizontal="center"/>
    </xf>
    <xf numFmtId="170" fontId="70" fillId="0" borderId="0" xfId="9" applyNumberFormat="1" applyFont="1" applyAlignment="1">
      <alignment horizontal="center"/>
    </xf>
    <xf numFmtId="0" fontId="39" fillId="0" borderId="11" xfId="7" applyFont="1" applyFill="1" applyBorder="1" applyAlignment="1">
      <alignment horizontal="center"/>
    </xf>
    <xf numFmtId="0" fontId="39" fillId="0" borderId="10" xfId="7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18" fillId="0" borderId="3" xfId="0" quotePrefix="1" applyFont="1" applyBorder="1" applyAlignment="1">
      <alignment horizontal="center"/>
    </xf>
    <xf numFmtId="0" fontId="18" fillId="0" borderId="4" xfId="0" quotePrefix="1" applyFont="1" applyBorder="1" applyAlignment="1">
      <alignment horizontal="center"/>
    </xf>
    <xf numFmtId="0" fontId="18" fillId="0" borderId="8" xfId="0" quotePrefix="1" applyFont="1" applyBorder="1" applyAlignment="1">
      <alignment horizontal="center"/>
    </xf>
    <xf numFmtId="0" fontId="18" fillId="0" borderId="6" xfId="0" quotePrefix="1" applyFont="1" applyBorder="1" applyAlignment="1">
      <alignment horizontal="center"/>
    </xf>
    <xf numFmtId="0" fontId="18" fillId="0" borderId="2" xfId="0" quotePrefix="1" applyFont="1" applyBorder="1" applyAlignment="1">
      <alignment horizontal="center"/>
    </xf>
    <xf numFmtId="0" fontId="18" fillId="0" borderId="19" xfId="0" quotePrefix="1" applyFont="1" applyBorder="1" applyAlignment="1">
      <alignment horizontal="center"/>
    </xf>
    <xf numFmtId="0" fontId="58" fillId="0" borderId="0" xfId="7" applyFont="1" applyAlignment="1">
      <alignment horizontal="center"/>
    </xf>
    <xf numFmtId="0" fontId="59" fillId="0" borderId="0" xfId="7" applyFont="1" applyAlignment="1">
      <alignment horizontal="center"/>
    </xf>
    <xf numFmtId="0" fontId="22" fillId="0" borderId="0" xfId="7" applyFont="1" applyAlignment="1">
      <alignment horizontal="center"/>
    </xf>
    <xf numFmtId="0" fontId="8" fillId="0" borderId="3" xfId="7" applyFont="1" applyBorder="1" applyAlignment="1">
      <alignment horizontal="center" vertical="center"/>
    </xf>
    <xf numFmtId="0" fontId="8" fillId="0" borderId="6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12" xfId="7" applyFont="1" applyBorder="1" applyAlignment="1">
      <alignment horizontal="center" vertical="center"/>
    </xf>
    <xf numFmtId="0" fontId="8" fillId="0" borderId="8" xfId="7" applyFont="1" applyBorder="1" applyAlignment="1">
      <alignment horizontal="center" vertical="center"/>
    </xf>
    <xf numFmtId="0" fontId="8" fillId="0" borderId="19" xfId="7" applyFont="1" applyBorder="1" applyAlignment="1">
      <alignment horizontal="center" vertical="center"/>
    </xf>
    <xf numFmtId="0" fontId="11" fillId="0" borderId="0" xfId="7" applyFont="1" applyFill="1" applyBorder="1" applyAlignment="1">
      <alignment horizontal="center"/>
    </xf>
    <xf numFmtId="0" fontId="3" fillId="0" borderId="20" xfId="7" applyFont="1" applyFill="1" applyBorder="1" applyAlignment="1">
      <alignment horizontal="center" wrapText="1"/>
    </xf>
    <xf numFmtId="170" fontId="38" fillId="0" borderId="0" xfId="9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20" xfId="0" applyFont="1" applyBorder="1" applyAlignment="1">
      <alignment horizontal="center" wrapText="1"/>
    </xf>
    <xf numFmtId="0" fontId="14" fillId="0" borderId="0" xfId="7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174" fontId="7" fillId="0" borderId="9" xfId="0" applyNumberFormat="1" applyFont="1" applyFill="1" applyBorder="1" applyAlignment="1">
      <alignment horizontal="center"/>
    </xf>
    <xf numFmtId="174" fontId="7" fillId="0" borderId="10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2" fontId="4" fillId="0" borderId="5" xfId="2" applyNumberFormat="1" applyFont="1" applyFill="1" applyBorder="1" applyAlignment="1">
      <alignment horizontal="center" vertical="center"/>
    </xf>
    <xf numFmtId="2" fontId="4" fillId="0" borderId="21" xfId="2" applyNumberFormat="1" applyFont="1" applyFill="1" applyBorder="1" applyAlignment="1">
      <alignment horizontal="center" vertical="center"/>
    </xf>
    <xf numFmtId="2" fontId="4" fillId="2" borderId="5" xfId="2" applyNumberFormat="1" applyFont="1" applyFill="1" applyBorder="1" applyAlignment="1">
      <alignment horizontal="center" vertical="center"/>
    </xf>
    <xf numFmtId="2" fontId="33" fillId="2" borderId="21" xfId="2" applyNumberFormat="1" applyFont="1" applyFill="1" applyBorder="1" applyAlignment="1">
      <alignment horizontal="center" vertical="center"/>
    </xf>
    <xf numFmtId="2" fontId="33" fillId="2" borderId="5" xfId="2" applyNumberFormat="1" applyFont="1" applyFill="1" applyBorder="1" applyAlignment="1">
      <alignment horizontal="center" vertical="center"/>
    </xf>
    <xf numFmtId="2" fontId="33" fillId="2" borderId="5" xfId="10" applyNumberFormat="1" applyFont="1" applyFill="1" applyBorder="1" applyAlignment="1">
      <alignment horizontal="center" vertical="center"/>
    </xf>
    <xf numFmtId="2" fontId="33" fillId="2" borderId="21" xfId="1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51" fillId="4" borderId="20" xfId="0" applyFont="1" applyFill="1" applyBorder="1" applyAlignment="1">
      <alignment horizontal="center" vertical="center"/>
    </xf>
    <xf numFmtId="0" fontId="51" fillId="4" borderId="20" xfId="0" applyFont="1" applyFill="1" applyBorder="1" applyAlignment="1">
      <alignment horizontal="center" vertical="center" wrapText="1"/>
    </xf>
    <xf numFmtId="0" fontId="51" fillId="3" borderId="20" xfId="0" applyFont="1" applyFill="1" applyBorder="1" applyAlignment="1">
      <alignment horizontal="center" vertical="center"/>
    </xf>
    <xf numFmtId="0" fontId="51" fillId="3" borderId="20" xfId="0" applyFont="1" applyFill="1" applyBorder="1" applyAlignment="1">
      <alignment horizontal="center" vertical="center" wrapText="1"/>
    </xf>
    <xf numFmtId="0" fontId="78" fillId="0" borderId="0" xfId="0" applyFont="1"/>
    <xf numFmtId="165" fontId="0" fillId="0" borderId="0" xfId="2" applyFont="1"/>
    <xf numFmtId="0" fontId="79" fillId="0" borderId="30" xfId="0" applyFont="1" applyBorder="1" applyAlignment="1">
      <alignment horizontal="center"/>
    </xf>
    <xf numFmtId="0" fontId="79" fillId="0" borderId="31" xfId="0" applyFont="1" applyBorder="1" applyAlignment="1">
      <alignment horizontal="center"/>
    </xf>
    <xf numFmtId="0" fontId="79" fillId="0" borderId="32" xfId="0" applyFont="1" applyBorder="1" applyAlignment="1">
      <alignment horizontal="center"/>
    </xf>
    <xf numFmtId="0" fontId="79" fillId="0" borderId="0" xfId="0" applyFont="1" applyAlignment="1">
      <alignment horizontal="center"/>
    </xf>
    <xf numFmtId="0" fontId="80" fillId="0" borderId="0" xfId="0" applyFont="1"/>
    <xf numFmtId="165" fontId="78" fillId="0" borderId="0" xfId="2" applyFont="1"/>
    <xf numFmtId="0" fontId="80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81" fillId="0" borderId="0" xfId="0" applyFont="1" applyAlignment="1">
      <alignment horizontal="center"/>
    </xf>
    <xf numFmtId="0" fontId="7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78" fillId="0" borderId="0" xfId="0" applyFont="1" applyAlignment="1">
      <alignment horizontal="left"/>
    </xf>
    <xf numFmtId="0" fontId="8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0" fillId="0" borderId="0" xfId="0" applyFont="1" applyAlignment="1">
      <alignment horizontal="left"/>
    </xf>
    <xf numFmtId="0" fontId="78" fillId="0" borderId="30" xfId="0" applyFont="1" applyBorder="1" applyAlignment="1">
      <alignment horizontal="center"/>
    </xf>
    <xf numFmtId="0" fontId="78" fillId="0" borderId="31" xfId="0" applyFont="1" applyBorder="1" applyAlignment="1">
      <alignment horizontal="center"/>
    </xf>
    <xf numFmtId="0" fontId="78" fillId="0" borderId="32" xfId="0" applyFont="1" applyBorder="1" applyAlignment="1">
      <alignment horizontal="center"/>
    </xf>
    <xf numFmtId="0" fontId="78" fillId="0" borderId="30" xfId="0" applyFont="1" applyBorder="1" applyAlignment="1">
      <alignment horizontal="center" vertical="center" wrapText="1"/>
    </xf>
    <xf numFmtId="0" fontId="78" fillId="0" borderId="31" xfId="0" applyFont="1" applyBorder="1" applyAlignment="1">
      <alignment horizontal="center" vertical="center" wrapText="1"/>
    </xf>
    <xf numFmtId="0" fontId="78" fillId="0" borderId="32" xfId="0" applyFont="1" applyBorder="1" applyAlignment="1">
      <alignment horizontal="center" vertical="center" wrapText="1"/>
    </xf>
    <xf numFmtId="0" fontId="78" fillId="0" borderId="30" xfId="0" applyFont="1" applyBorder="1" applyAlignment="1">
      <alignment horizontal="center" vertical="center" wrapText="1"/>
    </xf>
    <xf numFmtId="0" fontId="78" fillId="0" borderId="32" xfId="0" applyFont="1" applyBorder="1" applyAlignment="1">
      <alignment horizontal="center" vertical="center" wrapText="1"/>
    </xf>
    <xf numFmtId="0" fontId="82" fillId="0" borderId="30" xfId="0" applyFont="1" applyBorder="1" applyAlignment="1">
      <alignment horizontal="center" vertical="center" wrapText="1"/>
    </xf>
    <xf numFmtId="0" fontId="82" fillId="0" borderId="31" xfId="0" applyFont="1" applyBorder="1" applyAlignment="1">
      <alignment horizontal="center" vertical="center" wrapText="1"/>
    </xf>
    <xf numFmtId="0" fontId="82" fillId="0" borderId="32" xfId="0" applyFont="1" applyBorder="1" applyAlignment="1">
      <alignment horizontal="center" vertical="center" wrapText="1"/>
    </xf>
    <xf numFmtId="0" fontId="85" fillId="0" borderId="13" xfId="0" applyFont="1" applyBorder="1" applyAlignment="1">
      <alignment horizontal="center" vertical="center"/>
    </xf>
    <xf numFmtId="0" fontId="85" fillId="0" borderId="14" xfId="0" applyFont="1" applyBorder="1" applyAlignment="1">
      <alignment horizontal="center" vertical="center"/>
    </xf>
    <xf numFmtId="0" fontId="85" fillId="0" borderId="23" xfId="0" applyFont="1" applyBorder="1" applyAlignment="1">
      <alignment horizontal="center" vertical="center"/>
    </xf>
    <xf numFmtId="0" fontId="85" fillId="0" borderId="16" xfId="0" applyFont="1" applyBorder="1" applyAlignment="1">
      <alignment horizontal="center" vertical="center"/>
    </xf>
    <xf numFmtId="0" fontId="85" fillId="0" borderId="17" xfId="0" applyFont="1" applyBorder="1" applyAlignment="1">
      <alignment horizontal="center" vertical="center"/>
    </xf>
    <xf numFmtId="0" fontId="85" fillId="0" borderId="18" xfId="0" applyFont="1" applyBorder="1" applyAlignment="1">
      <alignment horizontal="center" vertical="center"/>
    </xf>
    <xf numFmtId="0" fontId="78" fillId="0" borderId="31" xfId="0" applyFont="1" applyBorder="1" applyAlignment="1">
      <alignment horizontal="center" vertical="center" wrapText="1"/>
    </xf>
    <xf numFmtId="0" fontId="78" fillId="0" borderId="13" xfId="0" applyFont="1" applyBorder="1" applyAlignment="1">
      <alignment horizontal="center" vertical="center"/>
    </xf>
    <xf numFmtId="0" fontId="78" fillId="0" borderId="14" xfId="0" applyFont="1" applyBorder="1" applyAlignment="1">
      <alignment horizontal="center" vertical="center"/>
    </xf>
    <xf numFmtId="0" fontId="78" fillId="0" borderId="23" xfId="0" applyFont="1" applyBorder="1" applyAlignment="1">
      <alignment horizontal="center" vertical="center"/>
    </xf>
    <xf numFmtId="0" fontId="78" fillId="0" borderId="15" xfId="0" applyFont="1" applyBorder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8" fillId="0" borderId="22" xfId="0" applyFont="1" applyBorder="1" applyAlignment="1">
      <alignment horizontal="center" vertical="center"/>
    </xf>
    <xf numFmtId="0" fontId="78" fillId="0" borderId="16" xfId="0" applyFont="1" applyBorder="1" applyAlignment="1">
      <alignment horizontal="center" vertical="center"/>
    </xf>
    <xf numFmtId="0" fontId="78" fillId="0" borderId="17" xfId="0" applyFont="1" applyBorder="1" applyAlignment="1">
      <alignment horizontal="center" vertical="center"/>
    </xf>
    <xf numFmtId="0" fontId="78" fillId="0" borderId="18" xfId="0" applyFont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/>
    </xf>
    <xf numFmtId="0" fontId="86" fillId="0" borderId="0" xfId="0" applyFont="1"/>
    <xf numFmtId="0" fontId="87" fillId="0" borderId="0" xfId="0" applyFont="1" applyAlignment="1">
      <alignment horizontal="center" vertical="top" wrapText="1"/>
    </xf>
    <xf numFmtId="0" fontId="80" fillId="0" borderId="0" xfId="0" applyFont="1" applyAlignment="1">
      <alignment horizontal="justify" vertical="top" wrapText="1"/>
    </xf>
    <xf numFmtId="0" fontId="89" fillId="0" borderId="0" xfId="0" applyFont="1"/>
    <xf numFmtId="0" fontId="87" fillId="0" borderId="17" xfId="0" applyFont="1" applyBorder="1" applyAlignment="1">
      <alignment horizontal="left" vertical="top" wrapText="1"/>
    </xf>
    <xf numFmtId="0" fontId="90" fillId="0" borderId="30" xfId="0" applyFont="1" applyBorder="1" applyAlignment="1">
      <alignment horizontal="left" vertical="center" wrapText="1"/>
    </xf>
    <xf numFmtId="0" fontId="90" fillId="0" borderId="31" xfId="0" applyFont="1" applyBorder="1" applyAlignment="1">
      <alignment horizontal="left" vertical="center" wrapText="1"/>
    </xf>
    <xf numFmtId="0" fontId="90" fillId="0" borderId="32" xfId="0" applyFont="1" applyBorder="1" applyAlignment="1">
      <alignment horizontal="left" vertical="center" wrapText="1"/>
    </xf>
    <xf numFmtId="14" fontId="90" fillId="0" borderId="30" xfId="0" quotePrefix="1" applyNumberFormat="1" applyFont="1" applyBorder="1" applyAlignment="1">
      <alignment horizontal="center" vertical="center" wrapText="1"/>
    </xf>
    <xf numFmtId="14" fontId="90" fillId="0" borderId="32" xfId="0" applyNumberFormat="1" applyFont="1" applyBorder="1" applyAlignment="1">
      <alignment horizontal="center" vertical="center" wrapText="1"/>
    </xf>
    <xf numFmtId="0" fontId="87" fillId="0" borderId="0" xfId="0" applyFont="1"/>
    <xf numFmtId="165" fontId="87" fillId="0" borderId="0" xfId="2" applyFont="1"/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178" fontId="78" fillId="0" borderId="30" xfId="0" applyNumberFormat="1" applyFont="1" applyBorder="1" applyAlignment="1">
      <alignment horizontal="right" vertical="center"/>
    </xf>
    <xf numFmtId="178" fontId="78" fillId="0" borderId="32" xfId="0" applyNumberFormat="1" applyFont="1" applyBorder="1" applyAlignment="1">
      <alignment horizontal="right" vertical="center"/>
    </xf>
    <xf numFmtId="0" fontId="80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87" fillId="0" borderId="17" xfId="0" applyFont="1" applyBorder="1" applyAlignment="1">
      <alignment horizontal="left" vertical="center" wrapText="1"/>
    </xf>
    <xf numFmtId="0" fontId="87" fillId="0" borderId="30" xfId="0" applyFont="1" applyBorder="1" applyAlignment="1">
      <alignment horizontal="left" vertical="center" wrapText="1"/>
    </xf>
    <xf numFmtId="0" fontId="87" fillId="0" borderId="31" xfId="0" applyFont="1" applyBorder="1" applyAlignment="1">
      <alignment horizontal="left" vertical="center" wrapText="1"/>
    </xf>
    <xf numFmtId="0" fontId="87" fillId="0" borderId="32" xfId="0" applyFont="1" applyBorder="1" applyAlignment="1">
      <alignment horizontal="left" vertical="center" wrapText="1"/>
    </xf>
    <xf numFmtId="165" fontId="87" fillId="0" borderId="30" xfId="2" quotePrefix="1" applyFont="1" applyBorder="1" applyAlignment="1">
      <alignment horizontal="center" vertical="center" wrapText="1"/>
    </xf>
    <xf numFmtId="165" fontId="87" fillId="0" borderId="32" xfId="2" quotePrefix="1" applyFont="1" applyBorder="1" applyAlignment="1">
      <alignment horizontal="center" vertical="center" wrapText="1"/>
    </xf>
    <xf numFmtId="41" fontId="87" fillId="0" borderId="30" xfId="0" quotePrefix="1" applyNumberFormat="1" applyFont="1" applyBorder="1" applyAlignment="1">
      <alignment horizontal="center" vertical="center" wrapText="1"/>
    </xf>
    <xf numFmtId="14" fontId="87" fillId="0" borderId="32" xfId="0" quotePrefix="1" applyNumberFormat="1" applyFont="1" applyBorder="1" applyAlignment="1">
      <alignment horizontal="center" vertical="center" wrapText="1"/>
    </xf>
    <xf numFmtId="0" fontId="78" fillId="0" borderId="30" xfId="0" applyFont="1" applyBorder="1" applyAlignment="1">
      <alignment vertical="center"/>
    </xf>
    <xf numFmtId="0" fontId="77" fillId="0" borderId="0" xfId="0" applyFont="1"/>
    <xf numFmtId="178" fontId="78" fillId="0" borderId="30" xfId="0" applyNumberFormat="1" applyFont="1" applyBorder="1" applyAlignment="1">
      <alignment horizontal="center" vertical="center"/>
    </xf>
    <xf numFmtId="178" fontId="78" fillId="0" borderId="31" xfId="0" applyNumberFormat="1" applyFont="1" applyBorder="1" applyAlignment="1">
      <alignment horizontal="center" vertical="center"/>
    </xf>
    <xf numFmtId="178" fontId="78" fillId="0" borderId="32" xfId="0" applyNumberFormat="1" applyFont="1" applyBorder="1" applyAlignment="1">
      <alignment horizontal="center" vertical="center"/>
    </xf>
    <xf numFmtId="178" fontId="78" fillId="0" borderId="0" xfId="0" applyNumberFormat="1" applyFont="1" applyAlignment="1">
      <alignment horizontal="right" vertical="center"/>
    </xf>
    <xf numFmtId="0" fontId="91" fillId="0" borderId="33" xfId="0" applyFont="1" applyBorder="1" applyAlignment="1">
      <alignment horizontal="center" vertical="center" wrapText="1"/>
    </xf>
    <xf numFmtId="0" fontId="91" fillId="0" borderId="32" xfId="0" applyFont="1" applyBorder="1" applyAlignment="1">
      <alignment horizontal="center" vertical="center" wrapText="1"/>
    </xf>
    <xf numFmtId="178" fontId="0" fillId="0" borderId="30" xfId="0" applyNumberFormat="1" applyBorder="1" applyAlignment="1">
      <alignment horizontal="right" vertical="center"/>
    </xf>
    <xf numFmtId="178" fontId="0" fillId="0" borderId="32" xfId="0" applyNumberFormat="1" applyBorder="1" applyAlignment="1">
      <alignment horizontal="right" vertical="center"/>
    </xf>
    <xf numFmtId="178" fontId="78" fillId="0" borderId="13" xfId="0" applyNumberFormat="1" applyFont="1" applyBorder="1" applyAlignment="1">
      <alignment horizontal="center" vertical="center"/>
    </xf>
    <xf numFmtId="178" fontId="78" fillId="0" borderId="23" xfId="0" applyNumberFormat="1" applyFont="1" applyBorder="1" applyAlignment="1">
      <alignment horizontal="center" vertical="center"/>
    </xf>
    <xf numFmtId="178" fontId="78" fillId="0" borderId="15" xfId="0" applyNumberFormat="1" applyFont="1" applyBorder="1" applyAlignment="1">
      <alignment horizontal="center" vertical="center"/>
    </xf>
    <xf numFmtId="178" fontId="78" fillId="0" borderId="22" xfId="0" applyNumberFormat="1" applyFont="1" applyBorder="1" applyAlignment="1">
      <alignment horizontal="center" vertical="center"/>
    </xf>
    <xf numFmtId="178" fontId="78" fillId="0" borderId="16" xfId="0" applyNumberFormat="1" applyFont="1" applyBorder="1" applyAlignment="1">
      <alignment horizontal="center" vertical="center"/>
    </xf>
    <xf numFmtId="178" fontId="78" fillId="0" borderId="18" xfId="0" applyNumberFormat="1" applyFont="1" applyBorder="1" applyAlignment="1">
      <alignment horizontal="center" vertical="center"/>
    </xf>
    <xf numFmtId="0" fontId="0" fillId="0" borderId="17" xfId="0" applyBorder="1"/>
  </cellXfs>
  <cellStyles count="53">
    <cellStyle name="Excel Built-in Normal" xfId="17" xr:uid="{00000000-0005-0000-0000-000000000000}"/>
    <cellStyle name="Hipervínculo 2" xfId="45" xr:uid="{97C18748-5866-4ED3-9477-5689690B9815}"/>
    <cellStyle name="Millares" xfId="1" builtinId="3"/>
    <cellStyle name="Millares [0]" xfId="2" builtinId="6"/>
    <cellStyle name="Millares [0] 2" xfId="15" xr:uid="{00000000-0005-0000-0000-000003000000}"/>
    <cellStyle name="Millares [0] 2 2" xfId="42" xr:uid="{6C66F0F0-6817-4E57-821B-FF3736BF04AF}"/>
    <cellStyle name="Millares [0] 3" xfId="20" xr:uid="{00000000-0005-0000-0000-000004000000}"/>
    <cellStyle name="Millares [0] 3 2" xfId="39" xr:uid="{00000000-0005-0000-0000-000004000000}"/>
    <cellStyle name="Millares [0] 3 3" xfId="51" xr:uid="{CD59E65C-E516-4170-ABA2-F4780E5E0B2F}"/>
    <cellStyle name="Millares [0] 4" xfId="19" xr:uid="{00000000-0005-0000-0000-000005000000}"/>
    <cellStyle name="Millares [0] 4 2" xfId="38" xr:uid="{00000000-0005-0000-0000-000005000000}"/>
    <cellStyle name="Millares [0] 5" xfId="33" xr:uid="{00000000-0005-0000-0000-000047000000}"/>
    <cellStyle name="Millares [0] 6" xfId="43" xr:uid="{EC5C6612-2295-4073-B667-D38A96101538}"/>
    <cellStyle name="Millares 2" xfId="3" xr:uid="{00000000-0005-0000-0000-000006000000}"/>
    <cellStyle name="Millares 2 2" xfId="4" xr:uid="{00000000-0005-0000-0000-000007000000}"/>
    <cellStyle name="Millares 2 3" xfId="5" xr:uid="{00000000-0005-0000-0000-000008000000}"/>
    <cellStyle name="Millares 2 4" xfId="22" xr:uid="{00000000-0005-0000-0000-000009000000}"/>
    <cellStyle name="Millares 2 4 2" xfId="40" xr:uid="{00000000-0005-0000-0000-000009000000}"/>
    <cellStyle name="Millares 2 5" xfId="25" xr:uid="{00000000-0005-0000-0000-000001000000}"/>
    <cellStyle name="Millares 3" xfId="21" xr:uid="{00000000-0005-0000-0000-00000A000000}"/>
    <cellStyle name="Millares 3 2" xfId="32" xr:uid="{00000000-0005-0000-0000-000002000000}"/>
    <cellStyle name="Millares 4" xfId="23" xr:uid="{00000000-0005-0000-0000-00000B000000}"/>
    <cellStyle name="Millares 4 2" xfId="41" xr:uid="{00000000-0005-0000-0000-00000B000000}"/>
    <cellStyle name="Millares 4 3" xfId="44" xr:uid="{E345B69D-7E27-41F4-9F99-58D847A23157}"/>
    <cellStyle name="Millares 5" xfId="18" xr:uid="{00000000-0005-0000-0000-00000C000000}"/>
    <cellStyle name="Millares 5 2" xfId="37" xr:uid="{00000000-0005-0000-0000-00000C000000}"/>
    <cellStyle name="Millares 6" xfId="46" xr:uid="{31463A1F-1E70-428C-9C93-BBD06E2336AE}"/>
    <cellStyle name="Millares_HOJA FLUJO DE CAJA" xfId="52" xr:uid="{AC549157-62A8-4D63-AE44-8567E719D6ED}"/>
    <cellStyle name="Normal" xfId="0" builtinId="0"/>
    <cellStyle name="Normal 2" xfId="6" xr:uid="{00000000-0005-0000-0000-000010000000}"/>
    <cellStyle name="Normal 2 2" xfId="7" xr:uid="{00000000-0005-0000-0000-000011000000}"/>
    <cellStyle name="Normal 2 2 2" xfId="50" xr:uid="{84F4B849-4962-4880-A04A-2A83D35BDE95}"/>
    <cellStyle name="Normal 2 3" xfId="14" xr:uid="{00000000-0005-0000-0000-000012000000}"/>
    <cellStyle name="Normal 2 3 2" xfId="36" xr:uid="{00000000-0005-0000-0000-000012000000}"/>
    <cellStyle name="Normal 2 4" xfId="26" xr:uid="{00000000-0005-0000-0000-000004000000}"/>
    <cellStyle name="Normal 3" xfId="8" xr:uid="{00000000-0005-0000-0000-000013000000}"/>
    <cellStyle name="Normal 3 2" xfId="30" xr:uid="{00000000-0005-0000-0000-000006000000}"/>
    <cellStyle name="Normal 3 3" xfId="24" xr:uid="{00000000-0005-0000-0000-000005000000}"/>
    <cellStyle name="Normal 4" xfId="11" xr:uid="{00000000-0005-0000-0000-000014000000}"/>
    <cellStyle name="Normal 4 2" xfId="16" xr:uid="{00000000-0005-0000-0000-000015000000}"/>
    <cellStyle name="Normal 4 3" xfId="27" xr:uid="{00000000-0005-0000-0000-000007000000}"/>
    <cellStyle name="Normal 5" xfId="12" xr:uid="{00000000-0005-0000-0000-000016000000}"/>
    <cellStyle name="Normal 5 2" xfId="28" xr:uid="{00000000-0005-0000-0000-000008000000}"/>
    <cellStyle name="Normal 5 3" xfId="34" xr:uid="{00000000-0005-0000-0000-000016000000}"/>
    <cellStyle name="Normal 6" xfId="29" xr:uid="{00000000-0005-0000-0000-000009000000}"/>
    <cellStyle name="Normal 7" xfId="31" xr:uid="{00000000-0005-0000-0000-00000A000000}"/>
    <cellStyle name="Normal 8" xfId="48" xr:uid="{55E918E5-C466-43E0-AC3F-FE3EEEA92A1B}"/>
    <cellStyle name="Normal_BALANCE30-06-99" xfId="9" xr:uid="{00000000-0005-0000-0000-000018000000}"/>
    <cellStyle name="Porcentaje" xfId="10" builtinId="5"/>
    <cellStyle name="Porcentaje 2" xfId="13" xr:uid="{00000000-0005-0000-0000-00001A000000}"/>
    <cellStyle name="Porcentaje 2 2" xfId="35" xr:uid="{00000000-0005-0000-0000-00001A000000}"/>
    <cellStyle name="Porcentaje 3" xfId="47" xr:uid="{2B27AC78-56C4-4A7E-8F0E-1E22DFEB018B}"/>
    <cellStyle name="Porcentaje 4" xfId="49" xr:uid="{50A455E0-B284-41E4-BBA1-05444EE47ED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5</xdr:row>
      <xdr:rowOff>142875</xdr:rowOff>
    </xdr:from>
    <xdr:to>
      <xdr:col>3</xdr:col>
      <xdr:colOff>571500</xdr:colOff>
      <xdr:row>5</xdr:row>
      <xdr:rowOff>142875</xdr:rowOff>
    </xdr:to>
    <xdr:sp macro="" textlink="">
      <xdr:nvSpPr>
        <xdr:cNvPr id="167632" name="Line 113">
          <a:extLst>
            <a:ext uri="{FF2B5EF4-FFF2-40B4-BE49-F238E27FC236}">
              <a16:creationId xmlns:a16="http://schemas.microsoft.com/office/drawing/2014/main" id="{00000000-0008-0000-0100-0000D08E0200}"/>
            </a:ext>
          </a:extLst>
        </xdr:cNvPr>
        <xdr:cNvSpPr>
          <a:spLocks noChangeShapeType="1"/>
        </xdr:cNvSpPr>
      </xdr:nvSpPr>
      <xdr:spPr bwMode="auto">
        <a:xfrm>
          <a:off x="5200650" y="72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571500</xdr:colOff>
      <xdr:row>5</xdr:row>
      <xdr:rowOff>142875</xdr:rowOff>
    </xdr:from>
    <xdr:to>
      <xdr:col>7</xdr:col>
      <xdr:colOff>571500</xdr:colOff>
      <xdr:row>5</xdr:row>
      <xdr:rowOff>142875</xdr:rowOff>
    </xdr:to>
    <xdr:sp macro="" textlink="">
      <xdr:nvSpPr>
        <xdr:cNvPr id="167633" name="Line 168">
          <a:extLst>
            <a:ext uri="{FF2B5EF4-FFF2-40B4-BE49-F238E27FC236}">
              <a16:creationId xmlns:a16="http://schemas.microsoft.com/office/drawing/2014/main" id="{00000000-0008-0000-0100-0000D18E0200}"/>
            </a:ext>
          </a:extLst>
        </xdr:cNvPr>
        <xdr:cNvSpPr>
          <a:spLocks noChangeShapeType="1"/>
        </xdr:cNvSpPr>
      </xdr:nvSpPr>
      <xdr:spPr bwMode="auto">
        <a:xfrm>
          <a:off x="11163300" y="72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571500</xdr:colOff>
      <xdr:row>5</xdr:row>
      <xdr:rowOff>142875</xdr:rowOff>
    </xdr:from>
    <xdr:to>
      <xdr:col>7</xdr:col>
      <xdr:colOff>571500</xdr:colOff>
      <xdr:row>5</xdr:row>
      <xdr:rowOff>142875</xdr:rowOff>
    </xdr:to>
    <xdr:sp macro="" textlink="">
      <xdr:nvSpPr>
        <xdr:cNvPr id="167634" name="Line 169">
          <a:extLst>
            <a:ext uri="{FF2B5EF4-FFF2-40B4-BE49-F238E27FC236}">
              <a16:creationId xmlns:a16="http://schemas.microsoft.com/office/drawing/2014/main" id="{00000000-0008-0000-0100-0000D28E0200}"/>
            </a:ext>
          </a:extLst>
        </xdr:cNvPr>
        <xdr:cNvSpPr>
          <a:spLocks noChangeShapeType="1"/>
        </xdr:cNvSpPr>
      </xdr:nvSpPr>
      <xdr:spPr bwMode="auto">
        <a:xfrm>
          <a:off x="11163300" y="72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571500</xdr:colOff>
      <xdr:row>5</xdr:row>
      <xdr:rowOff>142875</xdr:rowOff>
    </xdr:from>
    <xdr:to>
      <xdr:col>7</xdr:col>
      <xdr:colOff>571500</xdr:colOff>
      <xdr:row>5</xdr:row>
      <xdr:rowOff>142875</xdr:rowOff>
    </xdr:to>
    <xdr:sp macro="" textlink="">
      <xdr:nvSpPr>
        <xdr:cNvPr id="167635" name="Line 170">
          <a:extLst>
            <a:ext uri="{FF2B5EF4-FFF2-40B4-BE49-F238E27FC236}">
              <a16:creationId xmlns:a16="http://schemas.microsoft.com/office/drawing/2014/main" id="{00000000-0008-0000-0100-0000D38E0200}"/>
            </a:ext>
          </a:extLst>
        </xdr:cNvPr>
        <xdr:cNvSpPr>
          <a:spLocks noChangeShapeType="1"/>
        </xdr:cNvSpPr>
      </xdr:nvSpPr>
      <xdr:spPr bwMode="auto">
        <a:xfrm>
          <a:off x="11163300" y="72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571500</xdr:colOff>
      <xdr:row>5</xdr:row>
      <xdr:rowOff>142875</xdr:rowOff>
    </xdr:from>
    <xdr:to>
      <xdr:col>7</xdr:col>
      <xdr:colOff>571500</xdr:colOff>
      <xdr:row>5</xdr:row>
      <xdr:rowOff>142875</xdr:rowOff>
    </xdr:to>
    <xdr:sp macro="" textlink="">
      <xdr:nvSpPr>
        <xdr:cNvPr id="167636" name="Line 113">
          <a:extLst>
            <a:ext uri="{FF2B5EF4-FFF2-40B4-BE49-F238E27FC236}">
              <a16:creationId xmlns:a16="http://schemas.microsoft.com/office/drawing/2014/main" id="{00000000-0008-0000-0100-0000D48E0200}"/>
            </a:ext>
          </a:extLst>
        </xdr:cNvPr>
        <xdr:cNvSpPr>
          <a:spLocks noChangeShapeType="1"/>
        </xdr:cNvSpPr>
      </xdr:nvSpPr>
      <xdr:spPr bwMode="auto">
        <a:xfrm>
          <a:off x="11163300" y="72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571500</xdr:colOff>
      <xdr:row>5</xdr:row>
      <xdr:rowOff>142875</xdr:rowOff>
    </xdr:from>
    <xdr:to>
      <xdr:col>7</xdr:col>
      <xdr:colOff>571500</xdr:colOff>
      <xdr:row>5</xdr:row>
      <xdr:rowOff>142875</xdr:rowOff>
    </xdr:to>
    <xdr:sp macro="" textlink="">
      <xdr:nvSpPr>
        <xdr:cNvPr id="167637" name="Line 113">
          <a:extLst>
            <a:ext uri="{FF2B5EF4-FFF2-40B4-BE49-F238E27FC236}">
              <a16:creationId xmlns:a16="http://schemas.microsoft.com/office/drawing/2014/main" id="{00000000-0008-0000-0100-0000D58E0200}"/>
            </a:ext>
          </a:extLst>
        </xdr:cNvPr>
        <xdr:cNvSpPr>
          <a:spLocks noChangeShapeType="1"/>
        </xdr:cNvSpPr>
      </xdr:nvSpPr>
      <xdr:spPr bwMode="auto">
        <a:xfrm>
          <a:off x="11163300" y="72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571500</xdr:colOff>
      <xdr:row>5</xdr:row>
      <xdr:rowOff>142875</xdr:rowOff>
    </xdr:from>
    <xdr:to>
      <xdr:col>7</xdr:col>
      <xdr:colOff>571500</xdr:colOff>
      <xdr:row>5</xdr:row>
      <xdr:rowOff>142875</xdr:rowOff>
    </xdr:to>
    <xdr:sp macro="" textlink="">
      <xdr:nvSpPr>
        <xdr:cNvPr id="167638" name="Line 113">
          <a:extLst>
            <a:ext uri="{FF2B5EF4-FFF2-40B4-BE49-F238E27FC236}">
              <a16:creationId xmlns:a16="http://schemas.microsoft.com/office/drawing/2014/main" id="{00000000-0008-0000-0100-0000D68E0200}"/>
            </a:ext>
          </a:extLst>
        </xdr:cNvPr>
        <xdr:cNvSpPr>
          <a:spLocks noChangeShapeType="1"/>
        </xdr:cNvSpPr>
      </xdr:nvSpPr>
      <xdr:spPr bwMode="auto">
        <a:xfrm>
          <a:off x="11163300" y="72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571500</xdr:colOff>
      <xdr:row>5</xdr:row>
      <xdr:rowOff>142875</xdr:rowOff>
    </xdr:from>
    <xdr:to>
      <xdr:col>7</xdr:col>
      <xdr:colOff>571500</xdr:colOff>
      <xdr:row>5</xdr:row>
      <xdr:rowOff>142875</xdr:rowOff>
    </xdr:to>
    <xdr:sp macro="" textlink="">
      <xdr:nvSpPr>
        <xdr:cNvPr id="167639" name="Line 113">
          <a:extLst>
            <a:ext uri="{FF2B5EF4-FFF2-40B4-BE49-F238E27FC236}">
              <a16:creationId xmlns:a16="http://schemas.microsoft.com/office/drawing/2014/main" id="{00000000-0008-0000-0100-0000D78E0200}"/>
            </a:ext>
          </a:extLst>
        </xdr:cNvPr>
        <xdr:cNvSpPr>
          <a:spLocks noChangeShapeType="1"/>
        </xdr:cNvSpPr>
      </xdr:nvSpPr>
      <xdr:spPr bwMode="auto">
        <a:xfrm>
          <a:off x="11163300" y="72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571500</xdr:colOff>
      <xdr:row>5</xdr:row>
      <xdr:rowOff>142875</xdr:rowOff>
    </xdr:from>
    <xdr:to>
      <xdr:col>7</xdr:col>
      <xdr:colOff>571500</xdr:colOff>
      <xdr:row>5</xdr:row>
      <xdr:rowOff>142875</xdr:rowOff>
    </xdr:to>
    <xdr:sp macro="" textlink="">
      <xdr:nvSpPr>
        <xdr:cNvPr id="167640" name="Line 113">
          <a:extLst>
            <a:ext uri="{FF2B5EF4-FFF2-40B4-BE49-F238E27FC236}">
              <a16:creationId xmlns:a16="http://schemas.microsoft.com/office/drawing/2014/main" id="{00000000-0008-0000-0100-0000D88E0200}"/>
            </a:ext>
          </a:extLst>
        </xdr:cNvPr>
        <xdr:cNvSpPr>
          <a:spLocks noChangeShapeType="1"/>
        </xdr:cNvSpPr>
      </xdr:nvSpPr>
      <xdr:spPr bwMode="auto">
        <a:xfrm>
          <a:off x="11163300" y="72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571500</xdr:colOff>
      <xdr:row>5</xdr:row>
      <xdr:rowOff>142875</xdr:rowOff>
    </xdr:from>
    <xdr:to>
      <xdr:col>7</xdr:col>
      <xdr:colOff>571500</xdr:colOff>
      <xdr:row>5</xdr:row>
      <xdr:rowOff>142875</xdr:rowOff>
    </xdr:to>
    <xdr:sp macro="" textlink="">
      <xdr:nvSpPr>
        <xdr:cNvPr id="167641" name="Line 113">
          <a:extLst>
            <a:ext uri="{FF2B5EF4-FFF2-40B4-BE49-F238E27FC236}">
              <a16:creationId xmlns:a16="http://schemas.microsoft.com/office/drawing/2014/main" id="{00000000-0008-0000-0100-0000D98E0200}"/>
            </a:ext>
          </a:extLst>
        </xdr:cNvPr>
        <xdr:cNvSpPr>
          <a:spLocks noChangeShapeType="1"/>
        </xdr:cNvSpPr>
      </xdr:nvSpPr>
      <xdr:spPr bwMode="auto">
        <a:xfrm>
          <a:off x="11163300" y="72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571500</xdr:colOff>
      <xdr:row>5</xdr:row>
      <xdr:rowOff>142875</xdr:rowOff>
    </xdr:from>
    <xdr:to>
      <xdr:col>7</xdr:col>
      <xdr:colOff>571500</xdr:colOff>
      <xdr:row>5</xdr:row>
      <xdr:rowOff>142875</xdr:rowOff>
    </xdr:to>
    <xdr:sp macro="" textlink="">
      <xdr:nvSpPr>
        <xdr:cNvPr id="12" name="Line 11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5191125" y="952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571500</xdr:colOff>
      <xdr:row>7</xdr:row>
      <xdr:rowOff>142875</xdr:rowOff>
    </xdr:from>
    <xdr:to>
      <xdr:col>9</xdr:col>
      <xdr:colOff>571500</xdr:colOff>
      <xdr:row>7</xdr:row>
      <xdr:rowOff>142875</xdr:rowOff>
    </xdr:to>
    <xdr:sp macro="" textlink="">
      <xdr:nvSpPr>
        <xdr:cNvPr id="2" name="Line 21">
          <a:extLst>
            <a:ext uri="{FF2B5EF4-FFF2-40B4-BE49-F238E27FC236}">
              <a16:creationId xmlns:a16="http://schemas.microsoft.com/office/drawing/2014/main" id="{D5444108-B17B-49FA-8495-228D00701A89}"/>
            </a:ext>
          </a:extLst>
        </xdr:cNvPr>
        <xdr:cNvSpPr>
          <a:spLocks noChangeShapeType="1"/>
        </xdr:cNvSpPr>
      </xdr:nvSpPr>
      <xdr:spPr bwMode="auto">
        <a:xfrm>
          <a:off x="7429500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571500</xdr:colOff>
      <xdr:row>7</xdr:row>
      <xdr:rowOff>142875</xdr:rowOff>
    </xdr:from>
    <xdr:to>
      <xdr:col>8</xdr:col>
      <xdr:colOff>571500</xdr:colOff>
      <xdr:row>7</xdr:row>
      <xdr:rowOff>142875</xdr:rowOff>
    </xdr:to>
    <xdr:sp macro="" textlink="">
      <xdr:nvSpPr>
        <xdr:cNvPr id="3" name="Line 25">
          <a:extLst>
            <a:ext uri="{FF2B5EF4-FFF2-40B4-BE49-F238E27FC236}">
              <a16:creationId xmlns:a16="http://schemas.microsoft.com/office/drawing/2014/main" id="{B97313A2-8EE1-4971-92D5-F932E3CB6C28}"/>
            </a:ext>
          </a:extLst>
        </xdr:cNvPr>
        <xdr:cNvSpPr>
          <a:spLocks noChangeShapeType="1"/>
        </xdr:cNvSpPr>
      </xdr:nvSpPr>
      <xdr:spPr bwMode="auto">
        <a:xfrm>
          <a:off x="6667500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571500</xdr:colOff>
      <xdr:row>7</xdr:row>
      <xdr:rowOff>142875</xdr:rowOff>
    </xdr:from>
    <xdr:to>
      <xdr:col>9</xdr:col>
      <xdr:colOff>571500</xdr:colOff>
      <xdr:row>7</xdr:row>
      <xdr:rowOff>142875</xdr:rowOff>
    </xdr:to>
    <xdr:sp macro="" textlink="">
      <xdr:nvSpPr>
        <xdr:cNvPr id="4" name="Line 26">
          <a:extLst>
            <a:ext uri="{FF2B5EF4-FFF2-40B4-BE49-F238E27FC236}">
              <a16:creationId xmlns:a16="http://schemas.microsoft.com/office/drawing/2014/main" id="{10F9943B-5749-418C-B017-A80BE8E05048}"/>
            </a:ext>
          </a:extLst>
        </xdr:cNvPr>
        <xdr:cNvSpPr>
          <a:spLocks noChangeShapeType="1"/>
        </xdr:cNvSpPr>
      </xdr:nvSpPr>
      <xdr:spPr bwMode="auto">
        <a:xfrm>
          <a:off x="7429500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571500</xdr:colOff>
      <xdr:row>7</xdr:row>
      <xdr:rowOff>142875</xdr:rowOff>
    </xdr:from>
    <xdr:to>
      <xdr:col>8</xdr:col>
      <xdr:colOff>571500</xdr:colOff>
      <xdr:row>7</xdr:row>
      <xdr:rowOff>142875</xdr:rowOff>
    </xdr:to>
    <xdr:sp macro="" textlink="">
      <xdr:nvSpPr>
        <xdr:cNvPr id="5" name="Line 27">
          <a:extLst>
            <a:ext uri="{FF2B5EF4-FFF2-40B4-BE49-F238E27FC236}">
              <a16:creationId xmlns:a16="http://schemas.microsoft.com/office/drawing/2014/main" id="{6315F927-2C9C-48F7-96F9-EE15D796CA81}"/>
            </a:ext>
          </a:extLst>
        </xdr:cNvPr>
        <xdr:cNvSpPr>
          <a:spLocks noChangeShapeType="1"/>
        </xdr:cNvSpPr>
      </xdr:nvSpPr>
      <xdr:spPr bwMode="auto">
        <a:xfrm>
          <a:off x="6667500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571500</xdr:colOff>
      <xdr:row>7</xdr:row>
      <xdr:rowOff>142875</xdr:rowOff>
    </xdr:from>
    <xdr:to>
      <xdr:col>9</xdr:col>
      <xdr:colOff>571500</xdr:colOff>
      <xdr:row>7</xdr:row>
      <xdr:rowOff>142875</xdr:rowOff>
    </xdr:to>
    <xdr:sp macro="" textlink="">
      <xdr:nvSpPr>
        <xdr:cNvPr id="6" name="Line 25">
          <a:extLst>
            <a:ext uri="{FF2B5EF4-FFF2-40B4-BE49-F238E27FC236}">
              <a16:creationId xmlns:a16="http://schemas.microsoft.com/office/drawing/2014/main" id="{2D1CB696-3140-465B-8420-AA25438E3226}"/>
            </a:ext>
          </a:extLst>
        </xdr:cNvPr>
        <xdr:cNvSpPr>
          <a:spLocks noChangeShapeType="1"/>
        </xdr:cNvSpPr>
      </xdr:nvSpPr>
      <xdr:spPr bwMode="auto">
        <a:xfrm>
          <a:off x="7429500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571500</xdr:colOff>
      <xdr:row>7</xdr:row>
      <xdr:rowOff>142875</xdr:rowOff>
    </xdr:from>
    <xdr:to>
      <xdr:col>9</xdr:col>
      <xdr:colOff>571500</xdr:colOff>
      <xdr:row>7</xdr:row>
      <xdr:rowOff>142875</xdr:rowOff>
    </xdr:to>
    <xdr:sp macro="" textlink="">
      <xdr:nvSpPr>
        <xdr:cNvPr id="7" name="Line 27">
          <a:extLst>
            <a:ext uri="{FF2B5EF4-FFF2-40B4-BE49-F238E27FC236}">
              <a16:creationId xmlns:a16="http://schemas.microsoft.com/office/drawing/2014/main" id="{9F830E5D-4F14-49CF-8D58-80244F289EC0}"/>
            </a:ext>
          </a:extLst>
        </xdr:cNvPr>
        <xdr:cNvSpPr>
          <a:spLocks noChangeShapeType="1"/>
        </xdr:cNvSpPr>
      </xdr:nvSpPr>
      <xdr:spPr bwMode="auto">
        <a:xfrm>
          <a:off x="7429500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571500</xdr:colOff>
      <xdr:row>7</xdr:row>
      <xdr:rowOff>142875</xdr:rowOff>
    </xdr:from>
    <xdr:to>
      <xdr:col>9</xdr:col>
      <xdr:colOff>571500</xdr:colOff>
      <xdr:row>7</xdr:row>
      <xdr:rowOff>142875</xdr:rowOff>
    </xdr:to>
    <xdr:sp macro="" textlink="">
      <xdr:nvSpPr>
        <xdr:cNvPr id="8" name="Line 25">
          <a:extLst>
            <a:ext uri="{FF2B5EF4-FFF2-40B4-BE49-F238E27FC236}">
              <a16:creationId xmlns:a16="http://schemas.microsoft.com/office/drawing/2014/main" id="{BD8EB961-9915-4144-ADC1-6EC77AAD8F8F}"/>
            </a:ext>
          </a:extLst>
        </xdr:cNvPr>
        <xdr:cNvSpPr>
          <a:spLocks noChangeShapeType="1"/>
        </xdr:cNvSpPr>
      </xdr:nvSpPr>
      <xdr:spPr bwMode="auto">
        <a:xfrm>
          <a:off x="7429500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571500</xdr:colOff>
      <xdr:row>7</xdr:row>
      <xdr:rowOff>142875</xdr:rowOff>
    </xdr:from>
    <xdr:to>
      <xdr:col>9</xdr:col>
      <xdr:colOff>571500</xdr:colOff>
      <xdr:row>7</xdr:row>
      <xdr:rowOff>142875</xdr:rowOff>
    </xdr:to>
    <xdr:sp macro="" textlink="">
      <xdr:nvSpPr>
        <xdr:cNvPr id="9" name="Line 27">
          <a:extLst>
            <a:ext uri="{FF2B5EF4-FFF2-40B4-BE49-F238E27FC236}">
              <a16:creationId xmlns:a16="http://schemas.microsoft.com/office/drawing/2014/main" id="{C394CC3A-4F0F-4E1D-8C23-98DA4BDC0B47}"/>
            </a:ext>
          </a:extLst>
        </xdr:cNvPr>
        <xdr:cNvSpPr>
          <a:spLocks noChangeShapeType="1"/>
        </xdr:cNvSpPr>
      </xdr:nvSpPr>
      <xdr:spPr bwMode="auto">
        <a:xfrm>
          <a:off x="7429500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571500</xdr:colOff>
      <xdr:row>7</xdr:row>
      <xdr:rowOff>142875</xdr:rowOff>
    </xdr:from>
    <xdr:to>
      <xdr:col>9</xdr:col>
      <xdr:colOff>571500</xdr:colOff>
      <xdr:row>7</xdr:row>
      <xdr:rowOff>142875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id="{E8FA7090-5529-4B63-878E-CE42C8E08C4E}"/>
            </a:ext>
          </a:extLst>
        </xdr:cNvPr>
        <xdr:cNvSpPr>
          <a:spLocks noChangeShapeType="1"/>
        </xdr:cNvSpPr>
      </xdr:nvSpPr>
      <xdr:spPr bwMode="auto">
        <a:xfrm>
          <a:off x="7429500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571500</xdr:colOff>
      <xdr:row>7</xdr:row>
      <xdr:rowOff>142875</xdr:rowOff>
    </xdr:from>
    <xdr:to>
      <xdr:col>8</xdr:col>
      <xdr:colOff>571500</xdr:colOff>
      <xdr:row>7</xdr:row>
      <xdr:rowOff>142875</xdr:rowOff>
    </xdr:to>
    <xdr:sp macro="" textlink="">
      <xdr:nvSpPr>
        <xdr:cNvPr id="11" name="Line 25">
          <a:extLst>
            <a:ext uri="{FF2B5EF4-FFF2-40B4-BE49-F238E27FC236}">
              <a16:creationId xmlns:a16="http://schemas.microsoft.com/office/drawing/2014/main" id="{53524143-0440-4798-8BF0-C460874A7ECF}"/>
            </a:ext>
          </a:extLst>
        </xdr:cNvPr>
        <xdr:cNvSpPr>
          <a:spLocks noChangeShapeType="1"/>
        </xdr:cNvSpPr>
      </xdr:nvSpPr>
      <xdr:spPr bwMode="auto">
        <a:xfrm>
          <a:off x="6667500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571500</xdr:colOff>
      <xdr:row>7</xdr:row>
      <xdr:rowOff>142875</xdr:rowOff>
    </xdr:from>
    <xdr:to>
      <xdr:col>9</xdr:col>
      <xdr:colOff>571500</xdr:colOff>
      <xdr:row>7</xdr:row>
      <xdr:rowOff>142875</xdr:rowOff>
    </xdr:to>
    <xdr:sp macro="" textlink="">
      <xdr:nvSpPr>
        <xdr:cNvPr id="12" name="Line 26">
          <a:extLst>
            <a:ext uri="{FF2B5EF4-FFF2-40B4-BE49-F238E27FC236}">
              <a16:creationId xmlns:a16="http://schemas.microsoft.com/office/drawing/2014/main" id="{52DF0439-83C0-47B0-A68D-7D858573F6EA}"/>
            </a:ext>
          </a:extLst>
        </xdr:cNvPr>
        <xdr:cNvSpPr>
          <a:spLocks noChangeShapeType="1"/>
        </xdr:cNvSpPr>
      </xdr:nvSpPr>
      <xdr:spPr bwMode="auto">
        <a:xfrm>
          <a:off x="7429500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571500</xdr:colOff>
      <xdr:row>7</xdr:row>
      <xdr:rowOff>142875</xdr:rowOff>
    </xdr:from>
    <xdr:to>
      <xdr:col>8</xdr:col>
      <xdr:colOff>571500</xdr:colOff>
      <xdr:row>7</xdr:row>
      <xdr:rowOff>142875</xdr:rowOff>
    </xdr:to>
    <xdr:sp macro="" textlink="">
      <xdr:nvSpPr>
        <xdr:cNvPr id="13" name="Line 27">
          <a:extLst>
            <a:ext uri="{FF2B5EF4-FFF2-40B4-BE49-F238E27FC236}">
              <a16:creationId xmlns:a16="http://schemas.microsoft.com/office/drawing/2014/main" id="{6859EDE3-D332-49F7-8DB3-33BD7AE2BA3F}"/>
            </a:ext>
          </a:extLst>
        </xdr:cNvPr>
        <xdr:cNvSpPr>
          <a:spLocks noChangeShapeType="1"/>
        </xdr:cNvSpPr>
      </xdr:nvSpPr>
      <xdr:spPr bwMode="auto">
        <a:xfrm>
          <a:off x="6667500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571500</xdr:colOff>
      <xdr:row>7</xdr:row>
      <xdr:rowOff>142875</xdr:rowOff>
    </xdr:from>
    <xdr:to>
      <xdr:col>9</xdr:col>
      <xdr:colOff>571500</xdr:colOff>
      <xdr:row>7</xdr:row>
      <xdr:rowOff>142875</xdr:rowOff>
    </xdr:to>
    <xdr:sp macro="" textlink="">
      <xdr:nvSpPr>
        <xdr:cNvPr id="14" name="Line 25">
          <a:extLst>
            <a:ext uri="{FF2B5EF4-FFF2-40B4-BE49-F238E27FC236}">
              <a16:creationId xmlns:a16="http://schemas.microsoft.com/office/drawing/2014/main" id="{2762427F-E6C7-4ABD-9050-DC8D511D8DF1}"/>
            </a:ext>
          </a:extLst>
        </xdr:cNvPr>
        <xdr:cNvSpPr>
          <a:spLocks noChangeShapeType="1"/>
        </xdr:cNvSpPr>
      </xdr:nvSpPr>
      <xdr:spPr bwMode="auto">
        <a:xfrm>
          <a:off x="7429500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571500</xdr:colOff>
      <xdr:row>7</xdr:row>
      <xdr:rowOff>142875</xdr:rowOff>
    </xdr:from>
    <xdr:to>
      <xdr:col>9</xdr:col>
      <xdr:colOff>571500</xdr:colOff>
      <xdr:row>7</xdr:row>
      <xdr:rowOff>142875</xdr:rowOff>
    </xdr:to>
    <xdr:sp macro="" textlink="">
      <xdr:nvSpPr>
        <xdr:cNvPr id="15" name="Line 27">
          <a:extLst>
            <a:ext uri="{FF2B5EF4-FFF2-40B4-BE49-F238E27FC236}">
              <a16:creationId xmlns:a16="http://schemas.microsoft.com/office/drawing/2014/main" id="{EC253993-4417-4F56-BAAF-8BAFC04E5789}"/>
            </a:ext>
          </a:extLst>
        </xdr:cNvPr>
        <xdr:cNvSpPr>
          <a:spLocks noChangeShapeType="1"/>
        </xdr:cNvSpPr>
      </xdr:nvSpPr>
      <xdr:spPr bwMode="auto">
        <a:xfrm>
          <a:off x="7429500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571500</xdr:colOff>
      <xdr:row>7</xdr:row>
      <xdr:rowOff>142875</xdr:rowOff>
    </xdr:from>
    <xdr:to>
      <xdr:col>9</xdr:col>
      <xdr:colOff>571500</xdr:colOff>
      <xdr:row>7</xdr:row>
      <xdr:rowOff>142875</xdr:rowOff>
    </xdr:to>
    <xdr:sp macro="" textlink="">
      <xdr:nvSpPr>
        <xdr:cNvPr id="16" name="Line 25">
          <a:extLst>
            <a:ext uri="{FF2B5EF4-FFF2-40B4-BE49-F238E27FC236}">
              <a16:creationId xmlns:a16="http://schemas.microsoft.com/office/drawing/2014/main" id="{3A45EE56-94E2-46D2-B814-038DB96BD6C2}"/>
            </a:ext>
          </a:extLst>
        </xdr:cNvPr>
        <xdr:cNvSpPr>
          <a:spLocks noChangeShapeType="1"/>
        </xdr:cNvSpPr>
      </xdr:nvSpPr>
      <xdr:spPr bwMode="auto">
        <a:xfrm>
          <a:off x="7429500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571500</xdr:colOff>
      <xdr:row>7</xdr:row>
      <xdr:rowOff>142875</xdr:rowOff>
    </xdr:from>
    <xdr:to>
      <xdr:col>9</xdr:col>
      <xdr:colOff>571500</xdr:colOff>
      <xdr:row>7</xdr:row>
      <xdr:rowOff>142875</xdr:rowOff>
    </xdr:to>
    <xdr:sp macro="" textlink="">
      <xdr:nvSpPr>
        <xdr:cNvPr id="17" name="Line 27">
          <a:extLst>
            <a:ext uri="{FF2B5EF4-FFF2-40B4-BE49-F238E27FC236}">
              <a16:creationId xmlns:a16="http://schemas.microsoft.com/office/drawing/2014/main" id="{F7AE9C79-17C6-4BC4-B641-2FCB84083899}"/>
            </a:ext>
          </a:extLst>
        </xdr:cNvPr>
        <xdr:cNvSpPr>
          <a:spLocks noChangeShapeType="1"/>
        </xdr:cNvSpPr>
      </xdr:nvSpPr>
      <xdr:spPr bwMode="auto">
        <a:xfrm>
          <a:off x="7429500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26</xdr:row>
      <xdr:rowOff>152400</xdr:rowOff>
    </xdr:from>
    <xdr:to>
      <xdr:col>0</xdr:col>
      <xdr:colOff>1162050</xdr:colOff>
      <xdr:row>26</xdr:row>
      <xdr:rowOff>152400</xdr:rowOff>
    </xdr:to>
    <xdr:sp macro="" textlink="">
      <xdr:nvSpPr>
        <xdr:cNvPr id="178769" name="Line 1">
          <a:extLst>
            <a:ext uri="{FF2B5EF4-FFF2-40B4-BE49-F238E27FC236}">
              <a16:creationId xmlns:a16="http://schemas.microsoft.com/office/drawing/2014/main" id="{00000000-0008-0000-0E00-000051BA0200}"/>
            </a:ext>
          </a:extLst>
        </xdr:cNvPr>
        <xdr:cNvSpPr>
          <a:spLocks noChangeShapeType="1"/>
        </xdr:cNvSpPr>
      </xdr:nvSpPr>
      <xdr:spPr bwMode="auto">
        <a:xfrm>
          <a:off x="257175" y="443865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276225</xdr:colOff>
      <xdr:row>30</xdr:row>
      <xdr:rowOff>152400</xdr:rowOff>
    </xdr:from>
    <xdr:to>
      <xdr:col>0</xdr:col>
      <xdr:colOff>1190625</xdr:colOff>
      <xdr:row>30</xdr:row>
      <xdr:rowOff>152400</xdr:rowOff>
    </xdr:to>
    <xdr:sp macro="" textlink="">
      <xdr:nvSpPr>
        <xdr:cNvPr id="178770" name="Line 5">
          <a:extLst>
            <a:ext uri="{FF2B5EF4-FFF2-40B4-BE49-F238E27FC236}">
              <a16:creationId xmlns:a16="http://schemas.microsoft.com/office/drawing/2014/main" id="{00000000-0008-0000-0E00-000052BA0200}"/>
            </a:ext>
          </a:extLst>
        </xdr:cNvPr>
        <xdr:cNvSpPr>
          <a:spLocks noChangeShapeType="1"/>
        </xdr:cNvSpPr>
      </xdr:nvSpPr>
      <xdr:spPr bwMode="auto">
        <a:xfrm flipV="1">
          <a:off x="276225" y="51149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152400</xdr:rowOff>
    </xdr:from>
    <xdr:to>
      <xdr:col>0</xdr:col>
      <xdr:colOff>1162050</xdr:colOff>
      <xdr:row>26</xdr:row>
      <xdr:rowOff>152400</xdr:rowOff>
    </xdr:to>
    <xdr:sp macro="" textlink="">
      <xdr:nvSpPr>
        <xdr:cNvPr id="178771" name="Line 1">
          <a:extLst>
            <a:ext uri="{FF2B5EF4-FFF2-40B4-BE49-F238E27FC236}">
              <a16:creationId xmlns:a16="http://schemas.microsoft.com/office/drawing/2014/main" id="{00000000-0008-0000-0E00-000053BA0200}"/>
            </a:ext>
          </a:extLst>
        </xdr:cNvPr>
        <xdr:cNvSpPr>
          <a:spLocks noChangeShapeType="1"/>
        </xdr:cNvSpPr>
      </xdr:nvSpPr>
      <xdr:spPr bwMode="auto">
        <a:xfrm>
          <a:off x="257175" y="4438650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142875</xdr:colOff>
      <xdr:row>33</xdr:row>
      <xdr:rowOff>133350</xdr:rowOff>
    </xdr:from>
    <xdr:to>
      <xdr:col>1</xdr:col>
      <xdr:colOff>1095375</xdr:colOff>
      <xdr:row>35</xdr:row>
      <xdr:rowOff>0</xdr:rowOff>
    </xdr:to>
    <xdr:grpSp>
      <xdr:nvGrpSpPr>
        <xdr:cNvPr id="178772" name="17 Grupo">
          <a:extLst>
            <a:ext uri="{FF2B5EF4-FFF2-40B4-BE49-F238E27FC236}">
              <a16:creationId xmlns:a16="http://schemas.microsoft.com/office/drawing/2014/main" id="{00000000-0008-0000-0E00-000054BA0200}"/>
            </a:ext>
          </a:extLst>
        </xdr:cNvPr>
        <xdr:cNvGrpSpPr>
          <a:grpSpLocks/>
        </xdr:cNvGrpSpPr>
      </xdr:nvGrpSpPr>
      <xdr:grpSpPr bwMode="auto">
        <a:xfrm>
          <a:off x="142875" y="5762625"/>
          <a:ext cx="2600325" cy="190500"/>
          <a:chOff x="180975" y="5667375"/>
          <a:chExt cx="2771775" cy="83721"/>
        </a:xfrm>
      </xdr:grpSpPr>
      <xdr:sp macro="" textlink="">
        <xdr:nvSpPr>
          <xdr:cNvPr id="178773" name="Line 5">
            <a:extLst>
              <a:ext uri="{FF2B5EF4-FFF2-40B4-BE49-F238E27FC236}">
                <a16:creationId xmlns:a16="http://schemas.microsoft.com/office/drawing/2014/main" id="{00000000-0008-0000-0E00-000055BA02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975" y="5751096"/>
            <a:ext cx="9144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8774" name="Line 5">
            <a:extLst>
              <a:ext uri="{FF2B5EF4-FFF2-40B4-BE49-F238E27FC236}">
                <a16:creationId xmlns:a16="http://schemas.microsoft.com/office/drawing/2014/main" id="{00000000-0008-0000-0E00-000056BA02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9175" y="5751096"/>
            <a:ext cx="9144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8775" name="Line 5">
            <a:extLst>
              <a:ext uri="{FF2B5EF4-FFF2-40B4-BE49-F238E27FC236}">
                <a16:creationId xmlns:a16="http://schemas.microsoft.com/office/drawing/2014/main" id="{00000000-0008-0000-0E00-000057BA02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495425" y="5751096"/>
            <a:ext cx="9144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8776" name="Line 5">
            <a:extLst>
              <a:ext uri="{FF2B5EF4-FFF2-40B4-BE49-F238E27FC236}">
                <a16:creationId xmlns:a16="http://schemas.microsoft.com/office/drawing/2014/main" id="{00000000-0008-0000-0E00-000058BA02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14550" y="5751096"/>
            <a:ext cx="9144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106</xdr:row>
      <xdr:rowOff>19050</xdr:rowOff>
    </xdr:from>
    <xdr:to>
      <xdr:col>8</xdr:col>
      <xdr:colOff>28575</xdr:colOff>
      <xdr:row>132</xdr:row>
      <xdr:rowOff>161925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4E89AEB-CF1C-442F-9023-1278F0417FCA}"/>
            </a:ext>
          </a:extLst>
        </xdr:cNvPr>
        <xdr:cNvCxnSpPr/>
      </xdr:nvCxnSpPr>
      <xdr:spPr>
        <a:xfrm>
          <a:off x="2314575" y="21821775"/>
          <a:ext cx="4381500" cy="51054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showGridLines="0" tabSelected="1" topLeftCell="A34" zoomScaleNormal="100" workbookViewId="0">
      <selection activeCell="D39" sqref="D39"/>
    </sheetView>
  </sheetViews>
  <sheetFormatPr baseColWidth="10" defaultRowHeight="12.75" x14ac:dyDescent="0.2"/>
  <cols>
    <col min="1" max="1" width="19.5703125" customWidth="1"/>
    <col min="2" max="2" width="21.140625" customWidth="1"/>
    <col min="3" max="3" width="18.7109375" customWidth="1"/>
    <col min="4" max="4" width="15.140625" customWidth="1"/>
    <col min="5" max="5" width="29.85546875" customWidth="1"/>
  </cols>
  <sheetData>
    <row r="1" spans="1:6" ht="15" x14ac:dyDescent="0.2">
      <c r="A1" s="16"/>
      <c r="B1" s="17"/>
      <c r="C1" s="17"/>
      <c r="D1" s="38"/>
      <c r="E1" s="37"/>
      <c r="F1" s="18"/>
    </row>
    <row r="2" spans="1:6" ht="15" x14ac:dyDescent="0.2">
      <c r="A2" s="19"/>
      <c r="B2" s="20"/>
      <c r="C2" s="20"/>
      <c r="D2" s="36"/>
      <c r="E2" s="35"/>
      <c r="F2" s="18"/>
    </row>
    <row r="3" spans="1:6" ht="18" x14ac:dyDescent="0.25">
      <c r="A3" s="40" t="s">
        <v>101</v>
      </c>
      <c r="B3" s="41"/>
      <c r="C3" s="42"/>
      <c r="D3" s="42"/>
      <c r="E3" s="43"/>
      <c r="F3" s="18"/>
    </row>
    <row r="4" spans="1:6" x14ac:dyDescent="0.2">
      <c r="A4" s="44"/>
      <c r="B4" s="45"/>
      <c r="C4" s="45"/>
      <c r="D4" s="45"/>
      <c r="E4" s="46"/>
      <c r="F4" s="18"/>
    </row>
    <row r="5" spans="1:6" s="11" customFormat="1" ht="27.75" customHeight="1" x14ac:dyDescent="0.2">
      <c r="A5" s="752" t="s">
        <v>313</v>
      </c>
      <c r="B5" s="753"/>
      <c r="C5" s="753"/>
      <c r="D5" s="753"/>
      <c r="E5" s="754"/>
      <c r="F5" s="21"/>
    </row>
    <row r="6" spans="1:6" s="11" customFormat="1" ht="14.25" x14ac:dyDescent="0.2">
      <c r="A6" s="47"/>
      <c r="B6" s="48"/>
      <c r="C6" s="48"/>
      <c r="D6" s="48"/>
      <c r="E6" s="49"/>
      <c r="F6" s="21"/>
    </row>
    <row r="7" spans="1:6" s="11" customFormat="1" ht="14.25" x14ac:dyDescent="0.2">
      <c r="A7" s="50"/>
      <c r="B7" s="51"/>
      <c r="C7" s="51"/>
      <c r="D7" s="51"/>
      <c r="E7" s="52"/>
      <c r="F7" s="21"/>
    </row>
    <row r="8" spans="1:6" s="11" customFormat="1" ht="14.25" x14ac:dyDescent="0.2">
      <c r="A8" s="157" t="s">
        <v>314</v>
      </c>
      <c r="B8" s="158"/>
      <c r="C8" s="158"/>
      <c r="D8" s="158"/>
      <c r="E8" s="159"/>
      <c r="F8" s="21"/>
    </row>
    <row r="9" spans="1:6" s="11" customFormat="1" ht="14.25" x14ac:dyDescent="0.2">
      <c r="A9" s="160"/>
      <c r="B9" s="161"/>
      <c r="C9" s="161"/>
      <c r="D9" s="161"/>
      <c r="E9" s="162"/>
      <c r="F9" s="21"/>
    </row>
    <row r="10" spans="1:6" s="11" customFormat="1" ht="14.25" x14ac:dyDescent="0.2">
      <c r="A10" s="157" t="s">
        <v>315</v>
      </c>
      <c r="B10" s="158"/>
      <c r="C10" s="158"/>
      <c r="D10" s="158"/>
      <c r="E10" s="159"/>
      <c r="F10" s="21"/>
    </row>
    <row r="11" spans="1:6" s="11" customFormat="1" ht="14.25" x14ac:dyDescent="0.2">
      <c r="A11" s="160"/>
      <c r="B11" s="161"/>
      <c r="C11" s="161"/>
      <c r="D11" s="161"/>
      <c r="E11" s="162"/>
      <c r="F11" s="21"/>
    </row>
    <row r="12" spans="1:6" s="11" customFormat="1" ht="14.25" x14ac:dyDescent="0.2">
      <c r="A12" s="157" t="s">
        <v>316</v>
      </c>
      <c r="B12" s="158"/>
      <c r="C12" s="158"/>
      <c r="D12" s="158"/>
      <c r="E12" s="159"/>
      <c r="F12" s="21"/>
    </row>
    <row r="13" spans="1:6" s="11" customFormat="1" ht="14.25" x14ac:dyDescent="0.2">
      <c r="A13" s="160"/>
      <c r="B13" s="161"/>
      <c r="C13" s="161"/>
      <c r="D13" s="161"/>
      <c r="E13" s="162"/>
      <c r="F13" s="21"/>
    </row>
    <row r="14" spans="1:6" s="11" customFormat="1" ht="36" customHeight="1" x14ac:dyDescent="0.2">
      <c r="A14" s="748" t="s">
        <v>317</v>
      </c>
      <c r="B14" s="749"/>
      <c r="C14" s="749"/>
      <c r="D14" s="749"/>
      <c r="E14" s="750"/>
      <c r="F14" s="21"/>
    </row>
    <row r="15" spans="1:6" s="11" customFormat="1" ht="14.25" x14ac:dyDescent="0.2">
      <c r="A15" s="160"/>
      <c r="B15" s="161"/>
      <c r="C15" s="161"/>
      <c r="D15" s="161"/>
      <c r="E15" s="162"/>
      <c r="F15" s="21"/>
    </row>
    <row r="16" spans="1:6" s="11" customFormat="1" ht="14.25" x14ac:dyDescent="0.2">
      <c r="A16" s="745" t="s">
        <v>330</v>
      </c>
      <c r="B16" s="746"/>
      <c r="C16" s="746"/>
      <c r="D16" s="746"/>
      <c r="E16" s="747"/>
      <c r="F16" s="21"/>
    </row>
    <row r="17" spans="1:6" s="11" customFormat="1" ht="14.25" x14ac:dyDescent="0.2">
      <c r="A17" s="160"/>
      <c r="B17" s="161"/>
      <c r="C17" s="161"/>
      <c r="D17" s="161"/>
      <c r="E17" s="162"/>
      <c r="F17" s="21"/>
    </row>
    <row r="18" spans="1:6" s="11" customFormat="1" ht="30.75" customHeight="1" x14ac:dyDescent="0.2">
      <c r="A18" s="745" t="s">
        <v>331</v>
      </c>
      <c r="B18" s="746"/>
      <c r="C18" s="746"/>
      <c r="D18" s="746"/>
      <c r="E18" s="747"/>
      <c r="F18" s="21"/>
    </row>
    <row r="19" spans="1:6" s="11" customFormat="1" ht="13.5" customHeight="1" x14ac:dyDescent="0.2">
      <c r="A19" s="488"/>
      <c r="B19" s="489"/>
      <c r="C19" s="489"/>
      <c r="D19" s="489"/>
      <c r="E19" s="490"/>
      <c r="F19" s="21"/>
    </row>
    <row r="20" spans="1:6" s="11" customFormat="1" ht="14.25" x14ac:dyDescent="0.2">
      <c r="A20" s="157" t="s">
        <v>318</v>
      </c>
      <c r="B20" s="158"/>
      <c r="C20" s="158"/>
      <c r="D20" s="158"/>
      <c r="E20" s="159"/>
      <c r="F20" s="21"/>
    </row>
    <row r="21" spans="1:6" s="11" customFormat="1" ht="14.25" x14ac:dyDescent="0.2">
      <c r="A21" s="160"/>
      <c r="B21" s="161"/>
      <c r="C21" s="161"/>
      <c r="D21" s="161"/>
      <c r="E21" s="162"/>
      <c r="F21" s="21"/>
    </row>
    <row r="22" spans="1:6" s="11" customFormat="1" ht="14.25" x14ac:dyDescent="0.2">
      <c r="A22" s="157" t="s">
        <v>82</v>
      </c>
      <c r="B22" s="158"/>
      <c r="C22" s="158"/>
      <c r="D22" s="158"/>
      <c r="E22" s="159"/>
      <c r="F22" s="21"/>
    </row>
    <row r="23" spans="1:6" s="11" customFormat="1" ht="14.25" x14ac:dyDescent="0.2">
      <c r="A23" s="160"/>
      <c r="B23" s="161"/>
      <c r="C23" s="161"/>
      <c r="D23" s="161"/>
      <c r="E23" s="162"/>
      <c r="F23" s="21"/>
    </row>
    <row r="24" spans="1:6" s="11" customFormat="1" ht="14.25" x14ac:dyDescent="0.2">
      <c r="A24" s="157" t="s">
        <v>83</v>
      </c>
      <c r="B24" s="158"/>
      <c r="C24" s="158"/>
      <c r="D24" s="158"/>
      <c r="E24" s="159"/>
      <c r="F24" s="21"/>
    </row>
    <row r="25" spans="1:6" s="11" customFormat="1" ht="14.25" x14ac:dyDescent="0.2">
      <c r="A25" s="160"/>
      <c r="B25" s="161"/>
      <c r="C25" s="161"/>
      <c r="D25" s="161"/>
      <c r="E25" s="162"/>
      <c r="F25" s="21"/>
    </row>
    <row r="26" spans="1:6" s="11" customFormat="1" ht="14.25" x14ac:dyDescent="0.2">
      <c r="A26" s="163"/>
      <c r="B26" s="164"/>
      <c r="C26" s="164"/>
      <c r="D26" s="164" t="s">
        <v>84</v>
      </c>
      <c r="E26" s="165" t="s">
        <v>85</v>
      </c>
      <c r="F26" s="21"/>
    </row>
    <row r="27" spans="1:6" s="11" customFormat="1" ht="14.25" x14ac:dyDescent="0.2">
      <c r="A27" s="173" t="s">
        <v>86</v>
      </c>
      <c r="B27" s="172" t="s">
        <v>145</v>
      </c>
      <c r="C27" s="166" t="s">
        <v>87</v>
      </c>
      <c r="D27" s="166" t="s">
        <v>88</v>
      </c>
      <c r="E27" s="167" t="s">
        <v>88</v>
      </c>
      <c r="F27" s="21"/>
    </row>
    <row r="28" spans="1:6" s="11" customFormat="1" ht="14.25" x14ac:dyDescent="0.2">
      <c r="A28" s="174">
        <v>15000</v>
      </c>
      <c r="B28" s="175">
        <v>5</v>
      </c>
      <c r="C28" s="164" t="s">
        <v>319</v>
      </c>
      <c r="D28" s="168">
        <v>15000000000</v>
      </c>
      <c r="E28" s="170">
        <f>+D28</f>
        <v>15000000000</v>
      </c>
      <c r="F28" s="21"/>
    </row>
    <row r="29" spans="1:6" s="11" customFormat="1" ht="14.25" x14ac:dyDescent="0.2">
      <c r="A29" s="174">
        <v>35000</v>
      </c>
      <c r="B29" s="175">
        <v>1</v>
      </c>
      <c r="C29" s="164" t="s">
        <v>320</v>
      </c>
      <c r="D29" s="168">
        <v>35000000000</v>
      </c>
      <c r="E29" s="170">
        <f>+D29</f>
        <v>35000000000</v>
      </c>
      <c r="F29" s="21"/>
    </row>
    <row r="30" spans="1:6" s="11" customFormat="1" ht="14.25" x14ac:dyDescent="0.2">
      <c r="A30" s="174">
        <v>7500</v>
      </c>
      <c r="B30" s="175">
        <v>5</v>
      </c>
      <c r="C30" s="164" t="s">
        <v>319</v>
      </c>
      <c r="D30" s="168">
        <v>7500000000</v>
      </c>
      <c r="E30" s="170">
        <f>+D30</f>
        <v>7500000000</v>
      </c>
      <c r="F30" s="21"/>
    </row>
    <row r="31" spans="1:6" s="11" customFormat="1" ht="14.25" x14ac:dyDescent="0.2">
      <c r="A31" s="174">
        <v>17500</v>
      </c>
      <c r="B31" s="175">
        <v>1</v>
      </c>
      <c r="C31" s="164" t="s">
        <v>320</v>
      </c>
      <c r="D31" s="168">
        <v>17500000000</v>
      </c>
      <c r="E31" s="170">
        <v>15780000000</v>
      </c>
      <c r="F31" s="21"/>
    </row>
    <row r="32" spans="1:6" s="11" customFormat="1" ht="15" x14ac:dyDescent="0.25">
      <c r="A32" s="176">
        <f>SUM(A28:A31)</f>
        <v>75000</v>
      </c>
      <c r="B32" s="177">
        <f>SUM(B28:B31)</f>
        <v>12</v>
      </c>
      <c r="C32" s="164"/>
      <c r="D32" s="169">
        <f>SUM(D28:D31)</f>
        <v>75000000000</v>
      </c>
      <c r="E32" s="171">
        <f>SUM(E28:E31)</f>
        <v>73280000000</v>
      </c>
      <c r="F32" s="21"/>
    </row>
    <row r="33" spans="1:8" s="11" customFormat="1" ht="15" thickBot="1" x14ac:dyDescent="0.25">
      <c r="A33" s="153"/>
      <c r="B33" s="154"/>
      <c r="C33" s="154"/>
      <c r="D33" s="155"/>
      <c r="E33" s="156"/>
      <c r="F33" s="21"/>
    </row>
    <row r="40" spans="1:8" ht="13.5" x14ac:dyDescent="0.25">
      <c r="A40" s="751" t="s">
        <v>321</v>
      </c>
      <c r="B40" s="751"/>
      <c r="C40" s="73" t="s">
        <v>322</v>
      </c>
      <c r="D40" s="65" t="s">
        <v>323</v>
      </c>
      <c r="E40" s="79"/>
      <c r="F40" s="76"/>
      <c r="G40" s="76"/>
      <c r="H40" s="2"/>
    </row>
    <row r="41" spans="1:8" x14ac:dyDescent="0.2">
      <c r="A41" s="751" t="s">
        <v>141</v>
      </c>
      <c r="B41" s="751"/>
      <c r="C41" s="73" t="s">
        <v>153</v>
      </c>
      <c r="D41" s="65" t="s">
        <v>127</v>
      </c>
      <c r="E41" s="78"/>
      <c r="F41" s="77"/>
      <c r="G41" s="77"/>
      <c r="H41" s="2"/>
    </row>
    <row r="43" spans="1:8" s="67" customFormat="1" x14ac:dyDescent="0.2">
      <c r="A43" s="111"/>
    </row>
    <row r="44" spans="1:8" x14ac:dyDescent="0.2">
      <c r="A44" s="62"/>
    </row>
    <row r="47" spans="1:8" x14ac:dyDescent="0.2">
      <c r="D47" s="18"/>
    </row>
    <row r="48" spans="1:8" x14ac:dyDescent="0.2">
      <c r="D48" s="18"/>
    </row>
    <row r="49" spans="1:5" x14ac:dyDescent="0.2">
      <c r="A49" s="18"/>
      <c r="D49" s="18"/>
      <c r="E49" s="18"/>
    </row>
    <row r="50" spans="1:5" x14ac:dyDescent="0.2">
      <c r="A50" s="18"/>
      <c r="D50" s="18"/>
      <c r="E50" s="18"/>
    </row>
    <row r="51" spans="1:5" x14ac:dyDescent="0.2">
      <c r="A51" s="18"/>
      <c r="D51" s="18"/>
      <c r="E51" s="18"/>
    </row>
    <row r="52" spans="1:5" x14ac:dyDescent="0.2">
      <c r="A52" s="18"/>
      <c r="D52" s="18"/>
      <c r="E52" s="18"/>
    </row>
    <row r="53" spans="1:5" x14ac:dyDescent="0.2">
      <c r="D53" s="18"/>
      <c r="E53" s="18"/>
    </row>
  </sheetData>
  <mergeCells count="6">
    <mergeCell ref="A18:E18"/>
    <mergeCell ref="A14:E14"/>
    <mergeCell ref="A40:B40"/>
    <mergeCell ref="A41:B41"/>
    <mergeCell ref="A5:E5"/>
    <mergeCell ref="A16:E16"/>
  </mergeCells>
  <phoneticPr fontId="29" type="noConversion"/>
  <printOptions gridLinesSet="0"/>
  <pageMargins left="0.74803149606299213" right="0.70866141732283472" top="1.6535433070866143" bottom="0.98425196850393704" header="0.51181102362204722" footer="1.1023622047244095"/>
  <pageSetup scale="80" orientation="portrait" r:id="rId1"/>
  <headerFooter alignWithMargins="0">
    <oddFooter>&amp;C1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K34"/>
  <sheetViews>
    <sheetView showGridLines="0" zoomScaleNormal="100" workbookViewId="0">
      <selection sqref="A1:G1"/>
    </sheetView>
  </sheetViews>
  <sheetFormatPr baseColWidth="10" defaultRowHeight="12.75" x14ac:dyDescent="0.2"/>
  <cols>
    <col min="1" max="1" width="30.140625" customWidth="1"/>
    <col min="2" max="2" width="10.42578125" customWidth="1"/>
    <col min="3" max="3" width="12.140625" customWidth="1"/>
    <col min="4" max="4" width="11.85546875" customWidth="1"/>
    <col min="5" max="5" width="18.28515625" customWidth="1"/>
    <col min="6" max="6" width="19.85546875" customWidth="1"/>
  </cols>
  <sheetData>
    <row r="1" spans="1:7" ht="16.5" x14ac:dyDescent="0.25">
      <c r="A1" s="755" t="s">
        <v>324</v>
      </c>
      <c r="B1" s="788"/>
      <c r="C1" s="788"/>
      <c r="D1" s="788"/>
      <c r="E1" s="788"/>
      <c r="F1" s="755"/>
      <c r="G1" s="788"/>
    </row>
    <row r="2" spans="1:7" ht="16.5" x14ac:dyDescent="0.25">
      <c r="A2" s="755" t="s">
        <v>325</v>
      </c>
      <c r="B2" s="788"/>
      <c r="C2" s="788"/>
      <c r="D2" s="788"/>
      <c r="E2" s="788"/>
      <c r="F2" s="755"/>
      <c r="G2" s="788"/>
    </row>
    <row r="3" spans="1:7" ht="16.5" x14ac:dyDescent="0.25">
      <c r="A3" s="755" t="s">
        <v>9</v>
      </c>
      <c r="B3" s="789"/>
      <c r="C3" s="789"/>
      <c r="D3" s="789"/>
      <c r="E3" s="789"/>
      <c r="F3" s="755"/>
      <c r="G3" s="755"/>
    </row>
    <row r="5" spans="1:7" s="11" customFormat="1" ht="15" x14ac:dyDescent="0.25">
      <c r="A5" s="22"/>
      <c r="B5" s="22"/>
      <c r="C5" s="22"/>
      <c r="D5" s="22"/>
      <c r="E5" s="22"/>
      <c r="F5" s="22"/>
    </row>
    <row r="6" spans="1:7" s="11" customFormat="1" ht="15" x14ac:dyDescent="0.25">
      <c r="A6" s="10" t="s">
        <v>44</v>
      </c>
      <c r="B6" s="10"/>
      <c r="C6" s="10"/>
      <c r="D6" s="10"/>
      <c r="E6" s="10"/>
      <c r="F6" s="10"/>
    </row>
    <row r="7" spans="1:7" s="11" customFormat="1" ht="7.5" customHeight="1" x14ac:dyDescent="0.25">
      <c r="A7" s="10"/>
      <c r="B7" s="10"/>
      <c r="C7" s="10"/>
      <c r="D7" s="10"/>
      <c r="E7" s="10"/>
      <c r="F7" s="10"/>
    </row>
    <row r="8" spans="1:7" ht="15" x14ac:dyDescent="0.25">
      <c r="A8" s="3"/>
      <c r="B8" s="3"/>
      <c r="C8" s="3"/>
      <c r="D8" s="3"/>
      <c r="E8" s="3"/>
      <c r="F8" s="24" t="s">
        <v>45</v>
      </c>
    </row>
    <row r="9" spans="1:7" x14ac:dyDescent="0.2">
      <c r="A9" s="4"/>
      <c r="B9" s="4"/>
      <c r="C9" s="4"/>
      <c r="D9" s="4"/>
      <c r="E9" s="4"/>
      <c r="F9" s="4"/>
    </row>
    <row r="10" spans="1:7" s="1" customFormat="1" ht="11.25" x14ac:dyDescent="0.2">
      <c r="A10" s="13"/>
      <c r="B10" s="25" t="s">
        <v>46</v>
      </c>
      <c r="C10" s="26" t="s">
        <v>47</v>
      </c>
      <c r="D10" s="26" t="s">
        <v>46</v>
      </c>
      <c r="E10" s="26" t="s">
        <v>48</v>
      </c>
      <c r="F10" s="39" t="s">
        <v>48</v>
      </c>
    </row>
    <row r="11" spans="1:7" s="1" customFormat="1" ht="11.25" x14ac:dyDescent="0.2">
      <c r="A11" s="14" t="s">
        <v>16</v>
      </c>
      <c r="B11" s="15" t="s">
        <v>49</v>
      </c>
      <c r="C11" s="27"/>
      <c r="D11" s="27" t="s">
        <v>40</v>
      </c>
      <c r="E11" s="184" t="s">
        <v>375</v>
      </c>
      <c r="F11" s="178">
        <v>43465</v>
      </c>
    </row>
    <row r="12" spans="1:7" s="1" customFormat="1" ht="11.25" x14ac:dyDescent="0.2">
      <c r="A12" s="28"/>
      <c r="B12" s="23"/>
      <c r="C12" s="23"/>
      <c r="D12" s="23"/>
      <c r="E12" s="23"/>
      <c r="F12" s="23"/>
    </row>
    <row r="13" spans="1:7" s="1" customFormat="1" ht="11.25" x14ac:dyDescent="0.2">
      <c r="A13" s="29" t="s">
        <v>50</v>
      </c>
      <c r="B13" s="30"/>
      <c r="C13" s="30"/>
      <c r="D13" s="30"/>
      <c r="E13" s="30"/>
      <c r="F13" s="30"/>
    </row>
    <row r="14" spans="1:7" s="1" customFormat="1" ht="11.25" x14ac:dyDescent="0.2">
      <c r="A14" s="29" t="s">
        <v>43</v>
      </c>
      <c r="B14" s="30"/>
      <c r="C14" s="30"/>
      <c r="D14" s="30"/>
      <c r="E14" s="30"/>
      <c r="F14" s="30"/>
    </row>
    <row r="15" spans="1:7" s="1" customFormat="1" ht="11.25" x14ac:dyDescent="0.2">
      <c r="A15" s="31"/>
      <c r="B15" s="782" t="s">
        <v>42</v>
      </c>
      <c r="C15" s="783"/>
      <c r="D15" s="783"/>
      <c r="E15" s="783"/>
      <c r="F15" s="784"/>
    </row>
    <row r="16" spans="1:7" s="1" customFormat="1" ht="11.25" x14ac:dyDescent="0.2">
      <c r="A16" s="32" t="s">
        <v>51</v>
      </c>
      <c r="B16" s="785"/>
      <c r="C16" s="786"/>
      <c r="D16" s="786"/>
      <c r="E16" s="786"/>
      <c r="F16" s="787"/>
    </row>
    <row r="17" spans="1:11" s="1" customFormat="1" ht="11.25" x14ac:dyDescent="0.2">
      <c r="A17" s="29"/>
      <c r="B17" s="30"/>
      <c r="C17" s="30"/>
      <c r="D17" s="30"/>
      <c r="E17" s="30"/>
      <c r="F17" s="30"/>
    </row>
    <row r="18" spans="1:11" s="1" customFormat="1" ht="11.25" x14ac:dyDescent="0.2">
      <c r="A18" s="29"/>
      <c r="B18" s="30"/>
      <c r="C18" s="30"/>
      <c r="D18" s="30"/>
      <c r="E18" s="30"/>
      <c r="F18" s="30"/>
    </row>
    <row r="19" spans="1:11" s="1" customFormat="1" ht="11.25" x14ac:dyDescent="0.2">
      <c r="A19" s="29" t="s">
        <v>52</v>
      </c>
      <c r="B19" s="30"/>
      <c r="C19" s="30"/>
      <c r="D19" s="30"/>
      <c r="E19" s="30"/>
      <c r="F19" s="30"/>
    </row>
    <row r="20" spans="1:11" s="1" customFormat="1" ht="11.25" x14ac:dyDescent="0.2">
      <c r="A20" s="29" t="s">
        <v>43</v>
      </c>
      <c r="B20" s="30"/>
      <c r="C20" s="30"/>
      <c r="D20" s="30"/>
      <c r="E20" s="30"/>
      <c r="F20" s="30"/>
    </row>
    <row r="21" spans="1:11" s="1" customFormat="1" ht="11.25" x14ac:dyDescent="0.2">
      <c r="A21" s="29"/>
      <c r="B21" s="30"/>
      <c r="C21" s="30"/>
      <c r="D21" s="30"/>
      <c r="E21" s="30"/>
      <c r="F21" s="30"/>
    </row>
    <row r="22" spans="1:11" s="1" customFormat="1" ht="11.25" x14ac:dyDescent="0.2">
      <c r="A22" s="31" t="s">
        <v>51</v>
      </c>
      <c r="B22" s="23"/>
      <c r="C22" s="23"/>
      <c r="D22" s="23"/>
      <c r="E22" s="23"/>
      <c r="F22" s="23"/>
    </row>
    <row r="23" spans="1:11" s="1" customFormat="1" ht="11.25" x14ac:dyDescent="0.2">
      <c r="A23" s="32"/>
      <c r="B23" s="6"/>
      <c r="C23" s="6"/>
      <c r="D23" s="6"/>
      <c r="E23" s="6"/>
      <c r="F23" s="6"/>
    </row>
    <row r="24" spans="1:11" s="1" customFormat="1" ht="11.25" x14ac:dyDescent="0.2">
      <c r="A24" s="33" t="s">
        <v>97</v>
      </c>
      <c r="B24" s="34"/>
      <c r="C24" s="34"/>
      <c r="D24" s="34"/>
      <c r="E24" s="34"/>
      <c r="F24" s="34"/>
    </row>
    <row r="26" spans="1:11" s="8" customFormat="1" ht="14.45" customHeight="1" x14ac:dyDescent="0.2">
      <c r="A26" s="57" t="s">
        <v>98</v>
      </c>
      <c r="J26" s="9"/>
      <c r="K26" s="9"/>
    </row>
    <row r="30" spans="1:11" x14ac:dyDescent="0.2">
      <c r="A30" s="111"/>
    </row>
    <row r="31" spans="1:11" x14ac:dyDescent="0.2">
      <c r="A31" s="111"/>
    </row>
    <row r="32" spans="1:11" x14ac:dyDescent="0.2">
      <c r="A32" s="196"/>
      <c r="B32" s="196"/>
      <c r="C32" s="196"/>
      <c r="D32" s="196"/>
      <c r="E32" s="196"/>
      <c r="F32" s="196"/>
      <c r="G32" s="196"/>
      <c r="H32" s="196"/>
      <c r="I32" s="196"/>
      <c r="J32" s="196"/>
    </row>
    <row r="33" spans="1:10" ht="13.5" x14ac:dyDescent="0.25">
      <c r="A33" s="751" t="s">
        <v>321</v>
      </c>
      <c r="B33" s="751"/>
      <c r="C33" s="771" t="s">
        <v>322</v>
      </c>
      <c r="D33" s="771"/>
      <c r="E33" s="751" t="s">
        <v>323</v>
      </c>
      <c r="F33" s="751"/>
      <c r="G33" s="76"/>
      <c r="J33" s="196"/>
    </row>
    <row r="34" spans="1:10" x14ac:dyDescent="0.2">
      <c r="A34" s="757" t="s">
        <v>141</v>
      </c>
      <c r="B34" s="757"/>
      <c r="C34" s="756" t="s">
        <v>376</v>
      </c>
      <c r="D34" s="756"/>
      <c r="E34" s="757" t="s">
        <v>127</v>
      </c>
      <c r="F34" s="757"/>
      <c r="G34" s="148"/>
      <c r="J34" s="196"/>
    </row>
  </sheetData>
  <mergeCells count="10">
    <mergeCell ref="A34:B34"/>
    <mergeCell ref="C34:D34"/>
    <mergeCell ref="E34:F34"/>
    <mergeCell ref="B15:F16"/>
    <mergeCell ref="A1:G1"/>
    <mergeCell ref="A2:G2"/>
    <mergeCell ref="A3:G3"/>
    <mergeCell ref="A33:B33"/>
    <mergeCell ref="C33:D33"/>
    <mergeCell ref="E33:F33"/>
  </mergeCells>
  <phoneticPr fontId="0" type="noConversion"/>
  <printOptions gridLinesSet="0"/>
  <pageMargins left="1.4960629921259843" right="1.4566929133858268" top="1.5748031496062993" bottom="1.1811023622047245" header="0.51181102362204722" footer="1.1023622047244095"/>
  <pageSetup scale="90" orientation="landscape" r:id="rId1"/>
  <headerFooter alignWithMargins="0">
    <oddFooter>&amp;C18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J25"/>
  <sheetViews>
    <sheetView showGridLines="0" zoomScaleNormal="100" workbookViewId="0">
      <selection sqref="A1:F1"/>
    </sheetView>
  </sheetViews>
  <sheetFormatPr baseColWidth="10" defaultColWidth="11.42578125" defaultRowHeight="12.75" x14ac:dyDescent="0.2"/>
  <cols>
    <col min="1" max="1" width="32.85546875" style="67" customWidth="1"/>
    <col min="2" max="3" width="19.85546875" style="67" customWidth="1"/>
    <col min="4" max="4" width="17.7109375" style="67" customWidth="1"/>
    <col min="5" max="6" width="19.42578125" style="67" customWidth="1"/>
    <col min="7" max="8" width="19" style="67" bestFit="1" customWidth="1"/>
    <col min="9" max="16384" width="11.42578125" style="67"/>
  </cols>
  <sheetData>
    <row r="1" spans="1:8" ht="16.5" x14ac:dyDescent="0.25">
      <c r="A1" s="755" t="s">
        <v>324</v>
      </c>
      <c r="B1" s="755"/>
      <c r="C1" s="755"/>
      <c r="D1" s="755"/>
      <c r="E1" s="755"/>
      <c r="F1" s="755"/>
      <c r="G1" s="650"/>
    </row>
    <row r="2" spans="1:8" ht="16.5" x14ac:dyDescent="0.25">
      <c r="A2" s="755" t="s">
        <v>325</v>
      </c>
      <c r="B2" s="755"/>
      <c r="C2" s="755"/>
      <c r="D2" s="755"/>
      <c r="E2" s="755"/>
      <c r="F2" s="755"/>
      <c r="G2" s="650"/>
    </row>
    <row r="3" spans="1:8" ht="16.5" x14ac:dyDescent="0.25">
      <c r="A3" s="755" t="s">
        <v>9</v>
      </c>
      <c r="B3" s="755"/>
      <c r="C3" s="755"/>
      <c r="D3" s="755"/>
      <c r="E3" s="755"/>
      <c r="F3" s="755"/>
      <c r="G3" s="649"/>
    </row>
    <row r="4" spans="1:8" s="86" customFormat="1" ht="15.75" x14ac:dyDescent="0.25">
      <c r="A4" s="94"/>
      <c r="B4" s="94"/>
      <c r="C4" s="94"/>
      <c r="D4" s="94"/>
      <c r="E4" s="94"/>
      <c r="F4" s="94"/>
    </row>
    <row r="5" spans="1:8" s="86" customFormat="1" ht="15.75" x14ac:dyDescent="0.25">
      <c r="A5" s="85" t="s">
        <v>53</v>
      </c>
      <c r="B5" s="85"/>
      <c r="C5" s="85"/>
      <c r="D5" s="85"/>
      <c r="E5" s="85"/>
      <c r="F5" s="85"/>
    </row>
    <row r="6" spans="1:8" s="86" customFormat="1" ht="15.75" x14ac:dyDescent="0.25">
      <c r="A6" s="85"/>
      <c r="B6" s="85"/>
      <c r="C6" s="85"/>
      <c r="D6" s="85"/>
      <c r="E6" s="85"/>
      <c r="F6" s="85"/>
    </row>
    <row r="7" spans="1:8" s="86" customFormat="1" ht="15.75" x14ac:dyDescent="0.25">
      <c r="A7" s="85"/>
      <c r="B7" s="85"/>
      <c r="C7" s="85"/>
      <c r="D7" s="85"/>
      <c r="E7" s="85"/>
      <c r="F7" s="85"/>
    </row>
    <row r="8" spans="1:8" ht="15" x14ac:dyDescent="0.25">
      <c r="A8" s="96"/>
      <c r="B8" s="96"/>
      <c r="C8" s="96"/>
      <c r="D8" s="96"/>
      <c r="E8" s="96"/>
      <c r="F8" s="97" t="s">
        <v>54</v>
      </c>
    </row>
    <row r="9" spans="1:8" x14ac:dyDescent="0.2">
      <c r="A9" s="96"/>
      <c r="B9" s="96"/>
      <c r="C9" s="96"/>
      <c r="D9" s="96"/>
      <c r="E9" s="96"/>
      <c r="F9" s="96"/>
    </row>
    <row r="10" spans="1:8" s="101" customFormat="1" ht="12" x14ac:dyDescent="0.2">
      <c r="A10" s="98" t="s">
        <v>12</v>
      </c>
      <c r="B10" s="99" t="s">
        <v>55</v>
      </c>
      <c r="C10" s="100" t="s">
        <v>56</v>
      </c>
      <c r="D10" s="100" t="s">
        <v>57</v>
      </c>
      <c r="E10" s="100" t="s">
        <v>58</v>
      </c>
      <c r="F10" s="98" t="s">
        <v>58</v>
      </c>
    </row>
    <row r="11" spans="1:8" s="101" customFormat="1" ht="12" x14ac:dyDescent="0.2">
      <c r="A11" s="102"/>
      <c r="B11" s="103" t="s">
        <v>17</v>
      </c>
      <c r="C11" s="104"/>
      <c r="D11" s="104"/>
      <c r="E11" s="183" t="s">
        <v>377</v>
      </c>
      <c r="F11" s="652" t="s">
        <v>303</v>
      </c>
    </row>
    <row r="12" spans="1:8" s="101" customFormat="1" ht="12" x14ac:dyDescent="0.2">
      <c r="A12" s="105"/>
      <c r="B12" s="150"/>
      <c r="C12" s="150"/>
      <c r="D12" s="150"/>
      <c r="E12" s="150"/>
      <c r="F12" s="150"/>
    </row>
    <row r="13" spans="1:8" s="101" customFormat="1" ht="12" x14ac:dyDescent="0.2">
      <c r="A13" s="75" t="s">
        <v>59</v>
      </c>
      <c r="B13" s="151"/>
      <c r="C13" s="151"/>
      <c r="D13" s="151"/>
      <c r="E13" s="152"/>
      <c r="F13" s="151"/>
      <c r="G13" s="145"/>
    </row>
    <row r="14" spans="1:8" s="101" customFormat="1" ht="12" x14ac:dyDescent="0.2">
      <c r="A14" s="105" t="s">
        <v>160</v>
      </c>
      <c r="B14" s="182">
        <v>358698342</v>
      </c>
      <c r="C14" s="182">
        <v>0</v>
      </c>
      <c r="D14" s="182">
        <v>0</v>
      </c>
      <c r="E14" s="182">
        <f>+SUM(B14:D14)</f>
        <v>358698342</v>
      </c>
      <c r="F14" s="182">
        <f>+B14</f>
        <v>358698342</v>
      </c>
      <c r="G14" s="185"/>
    </row>
    <row r="15" spans="1:8" s="101" customFormat="1" ht="12" x14ac:dyDescent="0.2">
      <c r="A15" s="105" t="s">
        <v>161</v>
      </c>
      <c r="B15" s="182">
        <v>815068362</v>
      </c>
      <c r="C15" s="182"/>
      <c r="D15" s="182"/>
      <c r="E15" s="182">
        <f>+B15+C15-D15</f>
        <v>815068362</v>
      </c>
      <c r="F15" s="182">
        <f>+E15</f>
        <v>815068362</v>
      </c>
      <c r="G15" s="145"/>
    </row>
    <row r="16" spans="1:8" s="101" customFormat="1" ht="12" x14ac:dyDescent="0.2">
      <c r="A16" s="75"/>
      <c r="B16" s="180"/>
      <c r="C16" s="180"/>
      <c r="D16" s="180"/>
      <c r="E16" s="180"/>
      <c r="F16" s="180"/>
      <c r="H16" s="145"/>
    </row>
    <row r="17" spans="1:10" s="101" customFormat="1" ht="12" x14ac:dyDescent="0.2">
      <c r="A17" s="106"/>
      <c r="B17" s="181"/>
      <c r="C17" s="181"/>
      <c r="D17" s="181"/>
      <c r="E17" s="181"/>
      <c r="F17" s="181"/>
    </row>
    <row r="18" spans="1:10" s="101" customFormat="1" ht="12" x14ac:dyDescent="0.2">
      <c r="A18" s="457" t="s">
        <v>39</v>
      </c>
      <c r="B18" s="458">
        <f>+B15+B14</f>
        <v>1173766704</v>
      </c>
      <c r="C18" s="458">
        <f>SUM(C13:C17)</f>
        <v>0</v>
      </c>
      <c r="D18" s="458">
        <f>SUM(D13:D17)</f>
        <v>0</v>
      </c>
      <c r="E18" s="458">
        <f>SUM(E13:E17)</f>
        <v>1173766704</v>
      </c>
      <c r="F18" s="458">
        <f>+F15+F14</f>
        <v>1173766704</v>
      </c>
    </row>
    <row r="19" spans="1:10" x14ac:dyDescent="0.2">
      <c r="A19" s="82"/>
      <c r="B19" s="82"/>
      <c r="C19" s="82"/>
      <c r="D19" s="82"/>
      <c r="E19" s="82"/>
      <c r="F19" s="82"/>
    </row>
    <row r="20" spans="1:10" s="91" customFormat="1" ht="15" x14ac:dyDescent="0.2">
      <c r="A20" s="90" t="s">
        <v>98</v>
      </c>
      <c r="I20" s="92"/>
      <c r="J20" s="92"/>
    </row>
    <row r="21" spans="1:10" s="91" customFormat="1" ht="18" x14ac:dyDescent="0.25">
      <c r="A21" s="107"/>
      <c r="I21" s="92"/>
      <c r="J21" s="92"/>
    </row>
    <row r="23" spans="1:10" x14ac:dyDescent="0.2">
      <c r="A23" s="196"/>
      <c r="B23" s="196"/>
      <c r="C23" s="196"/>
      <c r="D23" s="196"/>
      <c r="E23" s="196"/>
      <c r="F23" s="196"/>
      <c r="G23" s="196"/>
      <c r="H23" s="196"/>
      <c r="I23" s="196"/>
      <c r="J23" s="196"/>
    </row>
    <row r="24" spans="1:10" ht="13.5" x14ac:dyDescent="0.25">
      <c r="A24" s="751" t="s">
        <v>321</v>
      </c>
      <c r="B24" s="751"/>
      <c r="C24" s="771" t="s">
        <v>322</v>
      </c>
      <c r="D24" s="771"/>
      <c r="E24" s="751" t="s">
        <v>323</v>
      </c>
      <c r="F24" s="751"/>
      <c r="G24" s="76"/>
      <c r="H24"/>
      <c r="I24"/>
      <c r="J24" s="196"/>
    </row>
    <row r="25" spans="1:10" x14ac:dyDescent="0.2">
      <c r="A25" s="757" t="s">
        <v>141</v>
      </c>
      <c r="B25" s="757"/>
      <c r="C25" s="756" t="s">
        <v>376</v>
      </c>
      <c r="D25" s="756"/>
      <c r="E25" s="757" t="s">
        <v>127</v>
      </c>
      <c r="F25" s="757"/>
      <c r="G25" s="148"/>
      <c r="H25"/>
      <c r="I25"/>
      <c r="J25" s="196"/>
    </row>
  </sheetData>
  <mergeCells count="9">
    <mergeCell ref="A1:F1"/>
    <mergeCell ref="A2:F2"/>
    <mergeCell ref="A3:F3"/>
    <mergeCell ref="A25:B25"/>
    <mergeCell ref="C25:D25"/>
    <mergeCell ref="E25:F25"/>
    <mergeCell ref="A24:B24"/>
    <mergeCell ref="C24:D24"/>
    <mergeCell ref="E24:F24"/>
  </mergeCells>
  <phoneticPr fontId="0" type="noConversion"/>
  <printOptions gridLinesSet="0"/>
  <pageMargins left="1.1023622047244095" right="0.94488188976377963" top="1.5748031496062993" bottom="1.1811023622047245" header="0.51181102362204722" footer="1.1023622047244095"/>
  <pageSetup scale="85" orientation="landscape" r:id="rId1"/>
  <headerFooter alignWithMargins="0">
    <oddFooter>&amp;C19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FE076-DBF2-4AC6-96D7-FB751B3AF6FA}">
  <sheetPr>
    <tabColor rgb="FFFF0000"/>
  </sheetPr>
  <dimension ref="A1:L36"/>
  <sheetViews>
    <sheetView showGridLines="0" zoomScaleNormal="100" workbookViewId="0">
      <selection activeCell="A3" sqref="A3:D3"/>
    </sheetView>
  </sheetViews>
  <sheetFormatPr baseColWidth="10" defaultColWidth="11.42578125" defaultRowHeight="12.75" x14ac:dyDescent="0.2"/>
  <cols>
    <col min="1" max="1" width="4.140625" style="196" customWidth="1"/>
    <col min="2" max="2" width="66.7109375" style="196" customWidth="1"/>
    <col min="3" max="3" width="29.5703125" style="196" customWidth="1"/>
    <col min="4" max="4" width="33" style="196" customWidth="1"/>
    <col min="5" max="5" width="14.28515625" style="196" bestFit="1" customWidth="1"/>
    <col min="6" max="9" width="11.42578125" style="196"/>
    <col min="10" max="11" width="13.7109375" style="196" bestFit="1" customWidth="1"/>
    <col min="12" max="16384" width="11.42578125" style="196"/>
  </cols>
  <sheetData>
    <row r="1" spans="1:10" ht="16.5" x14ac:dyDescent="0.25">
      <c r="A1" s="755" t="s">
        <v>324</v>
      </c>
      <c r="B1" s="755"/>
      <c r="C1" s="755"/>
      <c r="D1" s="755"/>
      <c r="E1" s="650"/>
    </row>
    <row r="2" spans="1:10" ht="16.5" x14ac:dyDescent="0.25">
      <c r="A2" s="755" t="s">
        <v>473</v>
      </c>
      <c r="B2" s="755"/>
      <c r="C2" s="755"/>
      <c r="D2" s="755"/>
      <c r="E2" s="650"/>
    </row>
    <row r="3" spans="1:10" ht="16.5" x14ac:dyDescent="0.25">
      <c r="A3" s="755" t="s">
        <v>9</v>
      </c>
      <c r="B3" s="755"/>
      <c r="C3" s="755"/>
      <c r="D3" s="755"/>
      <c r="E3" s="651"/>
    </row>
    <row r="6" spans="1:10" s="204" customFormat="1" ht="15.75" x14ac:dyDescent="0.25">
      <c r="A6" s="790" t="s">
        <v>129</v>
      </c>
      <c r="B6" s="790"/>
      <c r="C6" s="790"/>
      <c r="D6" s="790"/>
      <c r="E6" s="315"/>
    </row>
    <row r="7" spans="1:10" s="204" customFormat="1" ht="15.75" x14ac:dyDescent="0.25">
      <c r="A7" s="356"/>
      <c r="B7" s="356"/>
      <c r="C7" s="356"/>
      <c r="D7" s="356"/>
      <c r="E7" s="315"/>
    </row>
    <row r="8" spans="1:10" s="204" customFormat="1" ht="15.75" x14ac:dyDescent="0.25">
      <c r="A8" s="203"/>
      <c r="B8" s="203"/>
      <c r="C8" s="203"/>
      <c r="D8" s="205" t="s">
        <v>60</v>
      </c>
      <c r="E8" s="314"/>
    </row>
    <row r="9" spans="1:10" s="204" customFormat="1" ht="15.75" x14ac:dyDescent="0.25">
      <c r="A9" s="203"/>
      <c r="B9" s="203"/>
      <c r="C9" s="203"/>
      <c r="D9" s="203"/>
    </row>
    <row r="10" spans="1:10" s="316" customFormat="1" ht="12" x14ac:dyDescent="0.2">
      <c r="A10" s="791" t="s">
        <v>68</v>
      </c>
      <c r="B10" s="795"/>
      <c r="C10" s="791" t="s">
        <v>378</v>
      </c>
      <c r="D10" s="793" t="s">
        <v>444</v>
      </c>
    </row>
    <row r="11" spans="1:10" s="316" customFormat="1" ht="12" x14ac:dyDescent="0.2">
      <c r="A11" s="792"/>
      <c r="B11" s="796"/>
      <c r="C11" s="792"/>
      <c r="D11" s="794"/>
      <c r="F11" s="742" t="s">
        <v>462</v>
      </c>
    </row>
    <row r="12" spans="1:10" x14ac:dyDescent="0.2">
      <c r="A12" s="206" t="s">
        <v>61</v>
      </c>
      <c r="B12" s="348" t="s">
        <v>62</v>
      </c>
      <c r="C12" s="398"/>
      <c r="D12" s="317"/>
      <c r="F12" s="348" t="s">
        <v>461</v>
      </c>
    </row>
    <row r="13" spans="1:10" x14ac:dyDescent="0.2">
      <c r="A13" s="198"/>
      <c r="B13" s="196" t="s">
        <v>92</v>
      </c>
      <c r="C13" s="399"/>
      <c r="D13" s="317"/>
      <c r="F13" t="s">
        <v>449</v>
      </c>
      <c r="J13" s="186">
        <v>7266288644</v>
      </c>
    </row>
    <row r="14" spans="1:10" x14ac:dyDescent="0.2">
      <c r="A14" s="198"/>
      <c r="B14" s="196" t="s">
        <v>63</v>
      </c>
      <c r="C14" s="400">
        <v>66663787051</v>
      </c>
      <c r="D14" s="318">
        <v>58334861293</v>
      </c>
      <c r="F14" t="s">
        <v>450</v>
      </c>
      <c r="J14" s="186">
        <v>-4873699</v>
      </c>
    </row>
    <row r="15" spans="1:10" x14ac:dyDescent="0.2">
      <c r="A15" s="198"/>
      <c r="C15" s="210"/>
      <c r="D15" s="401"/>
      <c r="F15" t="s">
        <v>451</v>
      </c>
      <c r="J15" s="186">
        <v>1670667469</v>
      </c>
    </row>
    <row r="16" spans="1:10" x14ac:dyDescent="0.2">
      <c r="A16" s="198"/>
      <c r="C16" s="399"/>
      <c r="D16" s="317"/>
      <c r="F16" t="s">
        <v>452</v>
      </c>
      <c r="J16" s="186">
        <v>-463052</v>
      </c>
    </row>
    <row r="17" spans="1:12" x14ac:dyDescent="0.2">
      <c r="A17" s="198"/>
      <c r="B17" s="196" t="s">
        <v>93</v>
      </c>
      <c r="C17" s="399"/>
      <c r="D17" s="317"/>
      <c r="F17" t="s">
        <v>453</v>
      </c>
      <c r="J17" s="186">
        <v>-447702</v>
      </c>
    </row>
    <row r="18" spans="1:12" x14ac:dyDescent="0.2">
      <c r="A18" s="198"/>
      <c r="B18" s="196" t="s">
        <v>64</v>
      </c>
      <c r="C18" s="400">
        <f>15409105478+54131627832-17477255935-7405323397+7163653545</f>
        <v>51821807523</v>
      </c>
      <c r="D18" s="318">
        <v>45990132886</v>
      </c>
      <c r="E18" s="202"/>
      <c r="F18" t="s">
        <v>454</v>
      </c>
      <c r="J18" s="186">
        <v>50061531</v>
      </c>
    </row>
    <row r="19" spans="1:12" x14ac:dyDescent="0.2">
      <c r="A19" s="198"/>
      <c r="C19" s="317"/>
      <c r="D19" s="317"/>
      <c r="F19" t="s">
        <v>455</v>
      </c>
      <c r="J19" s="186">
        <v>2197530</v>
      </c>
    </row>
    <row r="20" spans="1:12" x14ac:dyDescent="0.2">
      <c r="A20" s="198"/>
      <c r="C20" s="317"/>
      <c r="D20" s="317"/>
      <c r="E20" s="202"/>
      <c r="F20" t="s">
        <v>456</v>
      </c>
      <c r="J20" s="186">
        <v>8066001</v>
      </c>
    </row>
    <row r="21" spans="1:12" x14ac:dyDescent="0.2">
      <c r="A21" s="198"/>
      <c r="B21" s="196" t="s">
        <v>94</v>
      </c>
      <c r="C21" s="317"/>
      <c r="D21" s="317"/>
      <c r="F21" t="s">
        <v>457</v>
      </c>
      <c r="J21" s="186">
        <v>5549075</v>
      </c>
    </row>
    <row r="22" spans="1:12" x14ac:dyDescent="0.2">
      <c r="A22" s="198"/>
      <c r="B22" s="196" t="s">
        <v>63</v>
      </c>
      <c r="C22" s="396">
        <v>75689324021</v>
      </c>
      <c r="D22" s="396">
        <v>59258463654</v>
      </c>
      <c r="F22" t="s">
        <v>458</v>
      </c>
      <c r="J22" s="186">
        <v>920946</v>
      </c>
    </row>
    <row r="23" spans="1:12" x14ac:dyDescent="0.2">
      <c r="A23" s="198"/>
      <c r="C23" s="317"/>
      <c r="D23" s="317"/>
      <c r="F23" t="s">
        <v>459</v>
      </c>
      <c r="J23" s="186">
        <v>9848874</v>
      </c>
    </row>
    <row r="24" spans="1:12" x14ac:dyDescent="0.2">
      <c r="A24" s="206" t="s">
        <v>65</v>
      </c>
      <c r="B24" s="348" t="s">
        <v>66</v>
      </c>
      <c r="C24" s="317"/>
      <c r="D24" s="317"/>
      <c r="F24" t="s">
        <v>460</v>
      </c>
      <c r="J24" s="186">
        <v>786448942</v>
      </c>
    </row>
    <row r="25" spans="1:12" x14ac:dyDescent="0.2">
      <c r="A25" s="198"/>
      <c r="C25" s="317"/>
      <c r="D25" s="317"/>
      <c r="F25" s="348" t="s">
        <v>463</v>
      </c>
      <c r="G25" s="348"/>
      <c r="H25" s="348"/>
      <c r="I25" s="348"/>
      <c r="J25" s="743">
        <f>+SUM(J13:J24)</f>
        <v>9794264559</v>
      </c>
      <c r="K25" s="196">
        <v>1</v>
      </c>
      <c r="L25" s="202"/>
    </row>
    <row r="26" spans="1:12" x14ac:dyDescent="0.2">
      <c r="A26" s="198"/>
      <c r="B26" s="196" t="s">
        <v>62</v>
      </c>
      <c r="C26" s="317">
        <f>+C14+C18-C22</f>
        <v>42796270553</v>
      </c>
      <c r="D26" s="317">
        <f>+D14+D18-D22</f>
        <v>45066530525</v>
      </c>
      <c r="F26" s="196" t="s">
        <v>464</v>
      </c>
      <c r="J26" s="202">
        <v>66242144176</v>
      </c>
      <c r="K26" s="196">
        <v>2</v>
      </c>
    </row>
    <row r="27" spans="1:12" x14ac:dyDescent="0.2">
      <c r="A27" s="199"/>
      <c r="B27" s="197" t="s">
        <v>67</v>
      </c>
      <c r="C27" s="207"/>
      <c r="D27" s="207"/>
      <c r="E27" s="202"/>
      <c r="F27" t="s">
        <v>466</v>
      </c>
      <c r="J27" s="186">
        <v>-381899314</v>
      </c>
      <c r="K27" s="196">
        <v>3</v>
      </c>
    </row>
    <row r="28" spans="1:12" x14ac:dyDescent="0.2">
      <c r="C28" s="202"/>
      <c r="F28" t="s">
        <v>467</v>
      </c>
      <c r="J28" s="186">
        <v>36733941</v>
      </c>
      <c r="K28" s="196">
        <v>4</v>
      </c>
    </row>
    <row r="29" spans="1:12" x14ac:dyDescent="0.2">
      <c r="C29" s="397"/>
      <c r="D29" s="202"/>
      <c r="F29" t="s">
        <v>468</v>
      </c>
      <c r="J29" s="186">
        <v>7878789</v>
      </c>
      <c r="K29" s="196">
        <v>5</v>
      </c>
    </row>
    <row r="30" spans="1:12" s="200" customFormat="1" ht="15" x14ac:dyDescent="0.2">
      <c r="A30" s="370" t="s">
        <v>98</v>
      </c>
      <c r="F30" s="5" t="s">
        <v>469</v>
      </c>
      <c r="J30" s="186">
        <v>-9798130</v>
      </c>
      <c r="K30" s="200">
        <v>6</v>
      </c>
    </row>
    <row r="31" spans="1:12" x14ac:dyDescent="0.2">
      <c r="F31" s="196" t="s">
        <v>465</v>
      </c>
      <c r="J31" s="202">
        <v>-815068362</v>
      </c>
    </row>
    <row r="32" spans="1:12" x14ac:dyDescent="0.2">
      <c r="F32" s="348" t="s">
        <v>470</v>
      </c>
      <c r="G32" s="348"/>
      <c r="H32" s="348"/>
      <c r="I32" s="348"/>
      <c r="J32" s="743">
        <f>+SUM(J25:J31)</f>
        <v>74874255659</v>
      </c>
    </row>
    <row r="33" spans="1:10" x14ac:dyDescent="0.2">
      <c r="A33" s="367"/>
      <c r="H33" s="196" t="s">
        <v>471</v>
      </c>
      <c r="J33" s="202">
        <f>+C22</f>
        <v>75689324021</v>
      </c>
    </row>
    <row r="34" spans="1:10" x14ac:dyDescent="0.2">
      <c r="H34" s="196" t="s">
        <v>472</v>
      </c>
      <c r="J34" s="202">
        <f>+J33+J31</f>
        <v>74874255659</v>
      </c>
    </row>
    <row r="35" spans="1:10" ht="12.95" customHeight="1" x14ac:dyDescent="0.2">
      <c r="A35" s="366"/>
      <c r="B35" s="482" t="s">
        <v>321</v>
      </c>
      <c r="C35" s="58" t="s">
        <v>322</v>
      </c>
      <c r="D35" s="751" t="s">
        <v>323</v>
      </c>
      <c r="E35" s="751"/>
    </row>
    <row r="36" spans="1:10" x14ac:dyDescent="0.2">
      <c r="B36" s="484" t="s">
        <v>141</v>
      </c>
      <c r="C36" s="485" t="s">
        <v>376</v>
      </c>
      <c r="D36" s="757" t="s">
        <v>127</v>
      </c>
      <c r="E36" s="757"/>
    </row>
  </sheetData>
  <mergeCells count="9">
    <mergeCell ref="A1:D1"/>
    <mergeCell ref="A2:D2"/>
    <mergeCell ref="A3:D3"/>
    <mergeCell ref="D36:E36"/>
    <mergeCell ref="D35:E35"/>
    <mergeCell ref="A6:D6"/>
    <mergeCell ref="C10:C11"/>
    <mergeCell ref="D10:D11"/>
    <mergeCell ref="A10:B11"/>
  </mergeCells>
  <printOptions gridLinesSet="0"/>
  <pageMargins left="1.0236220472440944" right="0.55118110236220474" top="1.3779527559055118" bottom="1.1811023622047245" header="0.23622047244094491" footer="0.98425196850393704"/>
  <pageSetup paperSize="9" scale="75" orientation="landscape" r:id="rId1"/>
  <headerFooter alignWithMargins="0">
    <oddFooter>&amp;C20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FCA9-87FE-431A-9BAA-D9B8C0DF34FA}">
  <dimension ref="A1:M59"/>
  <sheetViews>
    <sheetView showGridLines="0" workbookViewId="0">
      <selection sqref="A1:G1"/>
    </sheetView>
  </sheetViews>
  <sheetFormatPr baseColWidth="10" defaultColWidth="11.42578125" defaultRowHeight="12.75" x14ac:dyDescent="0.2"/>
  <cols>
    <col min="1" max="1" width="32.7109375" style="196" customWidth="1"/>
    <col min="2" max="2" width="7.140625" style="196" bestFit="1" customWidth="1"/>
    <col min="3" max="3" width="22" style="196" bestFit="1" customWidth="1"/>
    <col min="4" max="4" width="9" style="196" bestFit="1" customWidth="1"/>
    <col min="5" max="5" width="16.42578125" style="196" customWidth="1"/>
    <col min="6" max="6" width="16.28515625" style="196" customWidth="1"/>
    <col min="7" max="7" width="11.42578125" style="196"/>
    <col min="8" max="8" width="23.7109375" style="196" hidden="1" customWidth="1"/>
    <col min="9" max="16384" width="11.42578125" style="196"/>
  </cols>
  <sheetData>
    <row r="1" spans="1:7" ht="16.5" x14ac:dyDescent="0.25">
      <c r="A1" s="755" t="s">
        <v>324</v>
      </c>
      <c r="B1" s="788"/>
      <c r="C1" s="788"/>
      <c r="D1" s="788"/>
      <c r="E1" s="788"/>
      <c r="F1" s="755"/>
      <c r="G1" s="788"/>
    </row>
    <row r="2" spans="1:7" ht="16.5" x14ac:dyDescent="0.25">
      <c r="A2" s="755" t="s">
        <v>325</v>
      </c>
      <c r="B2" s="788"/>
      <c r="C2" s="788"/>
      <c r="D2" s="788"/>
      <c r="E2" s="788"/>
      <c r="F2" s="755"/>
      <c r="G2" s="788"/>
    </row>
    <row r="3" spans="1:7" s="390" customFormat="1" ht="15.75" x14ac:dyDescent="0.25">
      <c r="A3" s="203" t="s">
        <v>300</v>
      </c>
      <c r="B3" s="203"/>
      <c r="C3" s="203"/>
      <c r="D3" s="203"/>
      <c r="E3" s="203"/>
      <c r="F3" s="203"/>
    </row>
    <row r="4" spans="1:7" s="204" customFormat="1" ht="15.75" x14ac:dyDescent="0.25">
      <c r="A4" s="314"/>
      <c r="B4" s="314"/>
      <c r="C4" s="314"/>
      <c r="D4" s="314"/>
      <c r="E4" s="314"/>
      <c r="F4" s="203"/>
    </row>
    <row r="5" spans="1:7" s="204" customFormat="1" ht="15.75" x14ac:dyDescent="0.25">
      <c r="A5" s="203" t="s">
        <v>299</v>
      </c>
      <c r="B5" s="314"/>
      <c r="C5" s="314"/>
      <c r="D5" s="314"/>
      <c r="E5" s="314"/>
      <c r="F5" s="314"/>
    </row>
    <row r="6" spans="1:7" s="584" customFormat="1" ht="16.5" x14ac:dyDescent="0.25">
      <c r="A6" s="589"/>
      <c r="B6" s="585"/>
      <c r="C6" s="585"/>
      <c r="D6" s="585"/>
      <c r="E6" s="585"/>
      <c r="F6" s="643" t="s">
        <v>298</v>
      </c>
    </row>
    <row r="7" spans="1:7" s="584" customFormat="1" ht="16.5" x14ac:dyDescent="0.25">
      <c r="A7" s="585"/>
      <c r="B7" s="585"/>
      <c r="C7" s="585"/>
      <c r="D7" s="585"/>
      <c r="E7" s="585"/>
      <c r="F7" s="643"/>
    </row>
    <row r="8" spans="1:7" x14ac:dyDescent="0.2">
      <c r="A8" s="335"/>
      <c r="B8" s="642"/>
      <c r="C8" s="641" t="s">
        <v>297</v>
      </c>
      <c r="D8" s="641"/>
      <c r="E8" s="640" t="s">
        <v>296</v>
      </c>
      <c r="F8" s="481"/>
    </row>
    <row r="9" spans="1:7" x14ac:dyDescent="0.2">
      <c r="A9" s="329"/>
      <c r="B9" s="350"/>
      <c r="C9" s="486"/>
      <c r="D9" s="351" t="s">
        <v>295</v>
      </c>
      <c r="E9" s="487"/>
      <c r="F9" s="351"/>
    </row>
    <row r="10" spans="1:7" x14ac:dyDescent="0.2">
      <c r="A10" s="350" t="s">
        <v>68</v>
      </c>
      <c r="B10" s="487" t="s">
        <v>34</v>
      </c>
      <c r="C10" s="302" t="s">
        <v>294</v>
      </c>
      <c r="D10" s="639" t="s">
        <v>293</v>
      </c>
      <c r="E10" s="302" t="s">
        <v>400</v>
      </c>
      <c r="F10" s="302" t="s">
        <v>399</v>
      </c>
    </row>
    <row r="11" spans="1:7" x14ac:dyDescent="0.2">
      <c r="A11" s="347"/>
      <c r="B11" s="638"/>
      <c r="C11" s="638"/>
      <c r="D11" s="638"/>
      <c r="E11" s="638"/>
      <c r="F11" s="638"/>
    </row>
    <row r="12" spans="1:7" x14ac:dyDescent="0.2">
      <c r="A12" s="206" t="s">
        <v>292</v>
      </c>
      <c r="B12" s="403"/>
      <c r="C12" s="403"/>
      <c r="D12" s="403"/>
      <c r="E12" s="403"/>
      <c r="F12" s="403"/>
    </row>
    <row r="13" spans="1:7" x14ac:dyDescent="0.2">
      <c r="A13" s="206"/>
      <c r="B13" s="403"/>
      <c r="C13" s="403"/>
      <c r="D13" s="403"/>
      <c r="E13" s="403"/>
      <c r="F13" s="403"/>
    </row>
    <row r="14" spans="1:7" ht="18" x14ac:dyDescent="0.25">
      <c r="A14" s="206" t="s">
        <v>291</v>
      </c>
      <c r="B14" s="403"/>
      <c r="C14" s="631"/>
      <c r="D14" s="637"/>
      <c r="E14" s="403"/>
      <c r="F14" s="403"/>
    </row>
    <row r="15" spans="1:7" x14ac:dyDescent="0.2">
      <c r="A15" s="507" t="s">
        <v>398</v>
      </c>
      <c r="B15" s="146" t="s">
        <v>289</v>
      </c>
      <c r="C15" s="633">
        <f t="shared" ref="C15" si="0">+E15/D15</f>
        <v>26570.269692543374</v>
      </c>
      <c r="D15" s="317">
        <v>6175.18</v>
      </c>
      <c r="E15" s="317">
        <v>164076198</v>
      </c>
      <c r="F15" s="317">
        <v>238474202</v>
      </c>
    </row>
    <row r="16" spans="1:7" x14ac:dyDescent="0.2">
      <c r="A16" s="507" t="s">
        <v>397</v>
      </c>
      <c r="B16" s="146" t="s">
        <v>289</v>
      </c>
      <c r="C16" s="633">
        <v>13842.51</v>
      </c>
      <c r="D16" s="317">
        <f>+D15</f>
        <v>6175.18</v>
      </c>
      <c r="E16" s="317">
        <f>+C16*D16</f>
        <v>85479990.901800007</v>
      </c>
      <c r="F16" s="317">
        <v>34141920</v>
      </c>
    </row>
    <row r="17" spans="1:7" x14ac:dyDescent="0.2">
      <c r="A17" s="507" t="s">
        <v>395</v>
      </c>
      <c r="B17" s="146" t="s">
        <v>289</v>
      </c>
      <c r="C17" s="633">
        <v>20122.38</v>
      </c>
      <c r="D17" s="317">
        <f>+D16</f>
        <v>6175.18</v>
      </c>
      <c r="E17" s="317">
        <f>+C17*D17</f>
        <v>124259318.52840002</v>
      </c>
      <c r="F17" s="317">
        <v>9244496</v>
      </c>
    </row>
    <row r="18" spans="1:7" x14ac:dyDescent="0.2">
      <c r="A18" s="507" t="s">
        <v>396</v>
      </c>
      <c r="B18" s="146" t="s">
        <v>289</v>
      </c>
      <c r="C18" s="633">
        <v>14430.49</v>
      </c>
      <c r="D18" s="317">
        <f>+D16</f>
        <v>6175.18</v>
      </c>
      <c r="E18" s="317">
        <f t="shared" ref="E18:E23" si="1">+D18*C18</f>
        <v>89110873.238200009</v>
      </c>
      <c r="F18" s="317">
        <v>0</v>
      </c>
    </row>
    <row r="19" spans="1:7" x14ac:dyDescent="0.2">
      <c r="A19" s="507" t="s">
        <v>394</v>
      </c>
      <c r="B19" s="146" t="s">
        <v>289</v>
      </c>
      <c r="C19" s="633">
        <v>784.65</v>
      </c>
      <c r="D19" s="317">
        <f>+D18</f>
        <v>6175.18</v>
      </c>
      <c r="E19" s="317">
        <f t="shared" si="1"/>
        <v>4845354.9869999997</v>
      </c>
      <c r="F19" s="317">
        <v>20871622</v>
      </c>
    </row>
    <row r="20" spans="1:7" x14ac:dyDescent="0.2">
      <c r="A20" s="507" t="s">
        <v>401</v>
      </c>
      <c r="B20" s="146" t="s">
        <v>289</v>
      </c>
      <c r="C20" s="633">
        <v>12826.61</v>
      </c>
      <c r="D20" s="317">
        <f>+D19</f>
        <v>6175.18</v>
      </c>
      <c r="E20" s="317">
        <f t="shared" si="1"/>
        <v>79206625.539800003</v>
      </c>
      <c r="F20" s="317">
        <v>217060637</v>
      </c>
    </row>
    <row r="21" spans="1:7" x14ac:dyDescent="0.2">
      <c r="A21" s="507" t="s">
        <v>393</v>
      </c>
      <c r="B21" s="146" t="s">
        <v>289</v>
      </c>
      <c r="C21" s="633">
        <v>133638.43</v>
      </c>
      <c r="D21" s="317">
        <f>+D19</f>
        <v>6175.18</v>
      </c>
      <c r="E21" s="317">
        <f t="shared" si="1"/>
        <v>825241360.1674</v>
      </c>
      <c r="F21" s="317">
        <v>1096012759</v>
      </c>
      <c r="G21" s="202"/>
    </row>
    <row r="22" spans="1:7" x14ac:dyDescent="0.2">
      <c r="A22" s="507" t="s">
        <v>392</v>
      </c>
      <c r="B22" s="146" t="s">
        <v>289</v>
      </c>
      <c r="C22" s="633">
        <v>955654.16</v>
      </c>
      <c r="D22" s="317">
        <f>+D20</f>
        <v>6175.18</v>
      </c>
      <c r="E22" s="317">
        <f t="shared" si="1"/>
        <v>5901336455.7488003</v>
      </c>
      <c r="F22" s="317">
        <v>284053827</v>
      </c>
    </row>
    <row r="23" spans="1:7" x14ac:dyDescent="0.2">
      <c r="A23" s="507" t="s">
        <v>402</v>
      </c>
      <c r="B23" s="146" t="s">
        <v>289</v>
      </c>
      <c r="C23" s="636">
        <v>46578.79</v>
      </c>
      <c r="D23" s="318">
        <f>+D21</f>
        <v>6175.18</v>
      </c>
      <c r="E23" s="318">
        <f t="shared" si="1"/>
        <v>287632412.43220001</v>
      </c>
      <c r="F23" s="317">
        <v>40674228</v>
      </c>
    </row>
    <row r="24" spans="1:7" hidden="1" x14ac:dyDescent="0.2">
      <c r="A24" s="206" t="s">
        <v>380</v>
      </c>
      <c r="B24" s="623" t="s">
        <v>289</v>
      </c>
      <c r="C24" s="632">
        <f>SUM(C15:C23)</f>
        <v>1224448.2896925434</v>
      </c>
      <c r="D24" s="625">
        <v>4324</v>
      </c>
      <c r="E24" s="624">
        <f>SUM(E15:E23)</f>
        <v>7561188589.543601</v>
      </c>
      <c r="F24" s="624">
        <f>SUM(F15:F23)</f>
        <v>1940533691</v>
      </c>
    </row>
    <row r="25" spans="1:7" hidden="1" x14ac:dyDescent="0.2">
      <c r="A25" s="206"/>
      <c r="B25" s="628"/>
      <c r="C25" s="633"/>
      <c r="D25" s="317"/>
      <c r="E25" s="317"/>
      <c r="F25" s="317"/>
    </row>
    <row r="26" spans="1:7" hidden="1" x14ac:dyDescent="0.2">
      <c r="A26" s="629" t="s">
        <v>391</v>
      </c>
      <c r="B26" s="628" t="s">
        <v>10</v>
      </c>
      <c r="C26" s="633" t="s">
        <v>360</v>
      </c>
      <c r="D26" s="317" t="s">
        <v>360</v>
      </c>
      <c r="E26" s="317" t="s">
        <v>360</v>
      </c>
      <c r="F26" s="317" t="s">
        <v>360</v>
      </c>
    </row>
    <row r="27" spans="1:7" hidden="1" x14ac:dyDescent="0.2">
      <c r="A27" s="206"/>
      <c r="B27" s="628"/>
      <c r="C27" s="633"/>
      <c r="D27" s="317"/>
      <c r="E27" s="317"/>
      <c r="F27" s="317"/>
    </row>
    <row r="28" spans="1:7" hidden="1" x14ac:dyDescent="0.2">
      <c r="A28" s="507" t="s">
        <v>390</v>
      </c>
      <c r="B28" s="146" t="s">
        <v>289</v>
      </c>
      <c r="C28" s="635"/>
      <c r="D28" s="317">
        <v>4539</v>
      </c>
      <c r="E28" s="634"/>
      <c r="F28" s="317" t="s">
        <v>360</v>
      </c>
    </row>
    <row r="29" spans="1:7" hidden="1" x14ac:dyDescent="0.2">
      <c r="A29" s="206"/>
      <c r="B29" s="628"/>
      <c r="C29" s="633"/>
      <c r="D29" s="317"/>
      <c r="E29" s="317"/>
      <c r="F29" s="317"/>
    </row>
    <row r="30" spans="1:7" x14ac:dyDescent="0.2">
      <c r="A30" s="206" t="s">
        <v>380</v>
      </c>
      <c r="B30" s="623" t="s">
        <v>289</v>
      </c>
      <c r="C30" s="632">
        <f>SUM(C15:C23)</f>
        <v>1224448.2896925434</v>
      </c>
      <c r="D30" s="318"/>
      <c r="E30" s="624">
        <f>SUM(E15:E23)</f>
        <v>7561188589.543601</v>
      </c>
      <c r="F30" s="624">
        <f>SUM(F15:F23)</f>
        <v>1940533691</v>
      </c>
      <c r="G30" s="371"/>
    </row>
    <row r="31" spans="1:7" x14ac:dyDescent="0.2">
      <c r="A31" s="206"/>
      <c r="B31" s="628"/>
      <c r="C31" s="631"/>
      <c r="D31" s="317"/>
      <c r="E31" s="317"/>
      <c r="F31" s="317"/>
    </row>
    <row r="32" spans="1:7" x14ac:dyDescent="0.2">
      <c r="A32" s="349" t="s">
        <v>173</v>
      </c>
      <c r="B32" s="621" t="s">
        <v>289</v>
      </c>
      <c r="C32" s="630">
        <f>C30</f>
        <v>1224448.2896925434</v>
      </c>
      <c r="D32" s="227"/>
      <c r="E32" s="227">
        <f>E30</f>
        <v>7561188589.543601</v>
      </c>
      <c r="F32" s="227">
        <f>F30</f>
        <v>1940533691</v>
      </c>
    </row>
    <row r="33" spans="1:11" x14ac:dyDescent="0.2">
      <c r="A33" s="206"/>
      <c r="B33" s="628"/>
      <c r="C33" s="622"/>
      <c r="D33" s="317"/>
      <c r="E33" s="317"/>
      <c r="F33" s="317"/>
    </row>
    <row r="34" spans="1:11" x14ac:dyDescent="0.2">
      <c r="A34" s="206" t="s">
        <v>290</v>
      </c>
      <c r="B34" s="628"/>
      <c r="C34" s="622"/>
      <c r="D34" s="317"/>
      <c r="E34" s="317"/>
      <c r="F34" s="317"/>
    </row>
    <row r="35" spans="1:11" x14ac:dyDescent="0.2">
      <c r="A35" s="206"/>
      <c r="B35" s="628"/>
      <c r="C35" s="622"/>
      <c r="D35" s="317"/>
      <c r="E35" s="317"/>
      <c r="F35" s="317"/>
    </row>
    <row r="36" spans="1:11" x14ac:dyDescent="0.2">
      <c r="A36" s="507" t="s">
        <v>404</v>
      </c>
      <c r="B36" s="146" t="s">
        <v>289</v>
      </c>
      <c r="C36" s="653">
        <v>4260475.53</v>
      </c>
      <c r="D36" s="317">
        <v>6187.55</v>
      </c>
      <c r="E36" s="654">
        <f>+D36*C36</f>
        <v>26361905365.651501</v>
      </c>
      <c r="F36" s="654">
        <v>0</v>
      </c>
    </row>
    <row r="37" spans="1:11" x14ac:dyDescent="0.2">
      <c r="A37" s="507" t="s">
        <v>389</v>
      </c>
      <c r="B37" s="146" t="s">
        <v>289</v>
      </c>
      <c r="C37" s="622">
        <f>+E37/D37</f>
        <v>0</v>
      </c>
      <c r="D37" s="317">
        <v>6187.55</v>
      </c>
      <c r="E37" s="317">
        <v>0</v>
      </c>
      <c r="F37" s="317">
        <v>19104759908</v>
      </c>
      <c r="H37" s="397"/>
    </row>
    <row r="38" spans="1:11" x14ac:dyDescent="0.2">
      <c r="A38" s="507" t="s">
        <v>388</v>
      </c>
      <c r="B38" s="146" t="s">
        <v>289</v>
      </c>
      <c r="C38" s="622">
        <f>+E38/D38</f>
        <v>0</v>
      </c>
      <c r="D38" s="317">
        <f>+D37</f>
        <v>6187.55</v>
      </c>
      <c r="E38" s="399">
        <v>0</v>
      </c>
      <c r="F38" s="317">
        <v>260060011</v>
      </c>
      <c r="H38" s="196">
        <v>4260475.53</v>
      </c>
    </row>
    <row r="39" spans="1:11" x14ac:dyDescent="0.2">
      <c r="A39" s="507" t="s">
        <v>387</v>
      </c>
      <c r="B39" s="146" t="s">
        <v>289</v>
      </c>
      <c r="C39" s="622">
        <f>+E39/D39</f>
        <v>0</v>
      </c>
      <c r="D39" s="317">
        <f>+D38</f>
        <v>6187.55</v>
      </c>
      <c r="E39" s="399">
        <v>0</v>
      </c>
      <c r="F39" s="317">
        <v>195109908</v>
      </c>
      <c r="H39" s="371">
        <f>+H38*6188</f>
        <v>26363822579.640003</v>
      </c>
    </row>
    <row r="40" spans="1:11" x14ac:dyDescent="0.2">
      <c r="A40" s="507" t="s">
        <v>386</v>
      </c>
      <c r="B40" s="146" t="s">
        <v>289</v>
      </c>
      <c r="C40" s="622">
        <f>+E40/D40</f>
        <v>0</v>
      </c>
      <c r="D40" s="317">
        <f>+D38</f>
        <v>6187.55</v>
      </c>
      <c r="E40" s="399">
        <v>0</v>
      </c>
      <c r="F40" s="317">
        <v>604066698</v>
      </c>
      <c r="H40" s="397">
        <v>26033082098</v>
      </c>
    </row>
    <row r="41" spans="1:11" x14ac:dyDescent="0.2">
      <c r="A41" s="507" t="s">
        <v>403</v>
      </c>
      <c r="B41" s="146" t="s">
        <v>289</v>
      </c>
      <c r="C41" s="622">
        <v>74832.990000000005</v>
      </c>
      <c r="D41" s="317">
        <f>+D39</f>
        <v>6187.55</v>
      </c>
      <c r="E41" s="399">
        <f>+D41*C41</f>
        <v>463032867.27450007</v>
      </c>
      <c r="F41" s="317">
        <v>0</v>
      </c>
      <c r="H41" s="371">
        <f>+H40-H39</f>
        <v>-330740481.6400032</v>
      </c>
    </row>
    <row r="42" spans="1:11" hidden="1" x14ac:dyDescent="0.2">
      <c r="A42" s="507" t="s">
        <v>385</v>
      </c>
      <c r="B42" s="146" t="s">
        <v>289</v>
      </c>
      <c r="C42" s="622">
        <f>+E42/D42</f>
        <v>0</v>
      </c>
      <c r="D42" s="317">
        <v>4331</v>
      </c>
      <c r="E42" s="399"/>
      <c r="F42" s="317"/>
    </row>
    <row r="43" spans="1:11" hidden="1" x14ac:dyDescent="0.2">
      <c r="A43" s="507" t="s">
        <v>384</v>
      </c>
      <c r="B43" s="146" t="s">
        <v>289</v>
      </c>
      <c r="C43" s="622"/>
      <c r="D43" s="317"/>
      <c r="E43" s="399"/>
      <c r="F43" s="317"/>
    </row>
    <row r="44" spans="1:11" hidden="1" x14ac:dyDescent="0.2">
      <c r="A44" s="206"/>
      <c r="B44" s="628"/>
      <c r="C44" s="622"/>
      <c r="D44" s="317"/>
      <c r="E44" s="317"/>
      <c r="F44" s="317"/>
    </row>
    <row r="45" spans="1:11" x14ac:dyDescent="0.2">
      <c r="A45" s="206" t="s">
        <v>380</v>
      </c>
      <c r="B45" s="621" t="s">
        <v>289</v>
      </c>
      <c r="C45" s="626">
        <f>SUM(C36:C44)</f>
        <v>4335308.5200000005</v>
      </c>
      <c r="D45" s="626"/>
      <c r="E45" s="624">
        <f>SUM(E36:E44)</f>
        <v>26824938232.926003</v>
      </c>
      <c r="F45" s="624">
        <f>SUM(F36:F44)</f>
        <v>20163996525</v>
      </c>
    </row>
    <row r="46" spans="1:11" x14ac:dyDescent="0.2">
      <c r="A46" s="629" t="s">
        <v>383</v>
      </c>
      <c r="B46" s="628" t="s">
        <v>10</v>
      </c>
      <c r="C46" s="622"/>
      <c r="D46" s="317"/>
      <c r="E46" s="317"/>
      <c r="F46" s="317"/>
    </row>
    <row r="47" spans="1:11" hidden="1" x14ac:dyDescent="0.2">
      <c r="A47" s="507" t="s">
        <v>382</v>
      </c>
      <c r="B47" s="146" t="s">
        <v>289</v>
      </c>
      <c r="C47" s="622">
        <v>0</v>
      </c>
      <c r="D47" s="317">
        <v>0</v>
      </c>
      <c r="E47" s="317">
        <v>0</v>
      </c>
      <c r="F47" s="317">
        <v>0</v>
      </c>
    </row>
    <row r="48" spans="1:11" s="200" customFormat="1" ht="15" hidden="1" x14ac:dyDescent="0.2">
      <c r="A48" s="507" t="s">
        <v>381</v>
      </c>
      <c r="B48" s="146" t="s">
        <v>289</v>
      </c>
      <c r="C48" s="622">
        <v>0</v>
      </c>
      <c r="D48" s="317">
        <v>0</v>
      </c>
      <c r="E48" s="317">
        <v>0</v>
      </c>
      <c r="F48" s="317">
        <v>0</v>
      </c>
      <c r="J48" s="627"/>
      <c r="K48" s="627"/>
    </row>
    <row r="49" spans="1:13" hidden="1" x14ac:dyDescent="0.2">
      <c r="A49" s="206" t="s">
        <v>380</v>
      </c>
      <c r="B49" s="621" t="s">
        <v>289</v>
      </c>
      <c r="C49" s="626">
        <f>SUM(C47:C48)</f>
        <v>0</v>
      </c>
      <c r="D49" s="625">
        <v>0</v>
      </c>
      <c r="E49" s="624">
        <f>SUM(E47:E48)</f>
        <v>0</v>
      </c>
      <c r="F49" s="624">
        <f>SUM(F47:F48)</f>
        <v>0</v>
      </c>
    </row>
    <row r="50" spans="1:13" x14ac:dyDescent="0.2">
      <c r="A50" s="206"/>
      <c r="B50" s="623"/>
      <c r="C50" s="622"/>
      <c r="D50" s="317"/>
      <c r="E50" s="317" t="s">
        <v>10</v>
      </c>
      <c r="F50" s="317"/>
    </row>
    <row r="51" spans="1:13" x14ac:dyDescent="0.2">
      <c r="A51" s="349" t="s">
        <v>173</v>
      </c>
      <c r="B51" s="621" t="s">
        <v>289</v>
      </c>
      <c r="C51" s="620">
        <f>+C45+C32</f>
        <v>5559756.8096925439</v>
      </c>
      <c r="D51" s="236"/>
      <c r="E51" s="227">
        <f>+E45+E32</f>
        <v>34386126822.469604</v>
      </c>
      <c r="F51" s="227">
        <f>+F45+F32</f>
        <v>22104530216</v>
      </c>
    </row>
    <row r="58" spans="1:13" s="669" customFormat="1" x14ac:dyDescent="0.2">
      <c r="A58" s="368" t="s">
        <v>321</v>
      </c>
      <c r="B58" s="772" t="s">
        <v>322</v>
      </c>
      <c r="C58" s="772"/>
      <c r="D58" s="368"/>
      <c r="E58" s="772" t="s">
        <v>436</v>
      </c>
      <c r="F58" s="772"/>
      <c r="I58" s="773"/>
      <c r="J58" s="773"/>
      <c r="K58" s="773"/>
      <c r="L58" s="773"/>
      <c r="M58" s="773"/>
    </row>
    <row r="59" spans="1:13" s="669" customFormat="1" x14ac:dyDescent="0.2">
      <c r="A59" s="368" t="s">
        <v>141</v>
      </c>
      <c r="B59" s="772" t="s">
        <v>437</v>
      </c>
      <c r="C59" s="772"/>
      <c r="D59" s="368"/>
      <c r="E59" s="772" t="s">
        <v>144</v>
      </c>
      <c r="F59" s="772"/>
      <c r="I59" s="773"/>
      <c r="J59" s="773"/>
      <c r="K59" s="773"/>
      <c r="L59" s="773"/>
      <c r="M59" s="773"/>
    </row>
  </sheetData>
  <mergeCells count="8">
    <mergeCell ref="A1:G1"/>
    <mergeCell ref="A2:G2"/>
    <mergeCell ref="E58:F58"/>
    <mergeCell ref="I58:M58"/>
    <mergeCell ref="E59:F59"/>
    <mergeCell ref="I59:M59"/>
    <mergeCell ref="B58:C58"/>
    <mergeCell ref="B59:C59"/>
  </mergeCells>
  <printOptions gridLinesSet="0"/>
  <pageMargins left="0.94488188976377963" right="0.59055118110236227" top="1.5748031496062993" bottom="0.98425196850393704" header="0.51181102362204722" footer="1.1023622047244095"/>
  <pageSetup scale="80" orientation="portrait" horizontalDpi="300" verticalDpi="300" r:id="rId1"/>
  <headerFooter alignWithMargins="0">
    <oddFooter>&amp;C25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9EA4F-FA1A-43B1-9F73-8860FA01CBA7}">
  <sheetPr>
    <tabColor rgb="FFFF0000"/>
  </sheetPr>
  <dimension ref="A1:M197"/>
  <sheetViews>
    <sheetView showGridLines="0" zoomScale="82" zoomScaleNormal="82" zoomScalePageLayoutView="75" workbookViewId="0">
      <selection activeCell="A9" sqref="A9"/>
    </sheetView>
  </sheetViews>
  <sheetFormatPr baseColWidth="10" defaultColWidth="11.42578125" defaultRowHeight="12.75" x14ac:dyDescent="0.2"/>
  <cols>
    <col min="1" max="1" width="47.7109375" style="208" customWidth="1"/>
    <col min="2" max="2" width="21.28515625" style="208" customWidth="1"/>
    <col min="3" max="4" width="20.42578125" style="208" customWidth="1"/>
    <col min="5" max="5" width="21.42578125" style="208" customWidth="1"/>
    <col min="6" max="7" width="23.5703125" style="208" bestFit="1" customWidth="1"/>
    <col min="8" max="8" width="11.42578125" style="208"/>
    <col min="9" max="9" width="20" style="208" bestFit="1" customWidth="1"/>
    <col min="10" max="16384" width="11.42578125" style="208"/>
  </cols>
  <sheetData>
    <row r="1" spans="1:10" ht="16.5" x14ac:dyDescent="0.25">
      <c r="G1" s="311" t="s">
        <v>70</v>
      </c>
    </row>
    <row r="3" spans="1:10" s="310" customFormat="1" ht="16.5" x14ac:dyDescent="0.25">
      <c r="A3" s="797" t="s">
        <v>445</v>
      </c>
      <c r="B3" s="797"/>
      <c r="C3" s="797"/>
      <c r="D3" s="797"/>
      <c r="E3" s="797"/>
      <c r="F3" s="797"/>
      <c r="G3" s="797"/>
    </row>
    <row r="4" spans="1:10" s="526" customFormat="1" ht="15" x14ac:dyDescent="0.25">
      <c r="A4" s="768" t="s">
        <v>329</v>
      </c>
      <c r="B4" s="768"/>
      <c r="C4" s="768"/>
      <c r="D4" s="768"/>
      <c r="E4" s="768"/>
      <c r="F4" s="768"/>
      <c r="G4" s="768"/>
      <c r="H4" s="740"/>
      <c r="I4" s="740"/>
      <c r="J4" s="525"/>
    </row>
    <row r="5" spans="1:10" s="310" customFormat="1" ht="16.5" x14ac:dyDescent="0.25">
      <c r="A5" s="313" t="s">
        <v>9</v>
      </c>
      <c r="B5" s="312"/>
      <c r="C5" s="312"/>
      <c r="D5" s="312"/>
      <c r="E5" s="312"/>
      <c r="F5" s="312"/>
      <c r="G5" s="312"/>
    </row>
    <row r="6" spans="1:10" s="310" customFormat="1" ht="16.5" x14ac:dyDescent="0.25">
      <c r="A6" s="313"/>
      <c r="B6" s="312"/>
      <c r="C6" s="312"/>
      <c r="D6" s="312"/>
      <c r="E6" s="312"/>
      <c r="F6" s="312"/>
      <c r="G6" s="312"/>
    </row>
    <row r="7" spans="1:10" s="310" customFormat="1" ht="16.5" x14ac:dyDescent="0.25">
      <c r="A7" s="313" t="s">
        <v>69</v>
      </c>
      <c r="B7" s="312"/>
      <c r="C7" s="312"/>
      <c r="D7" s="312"/>
      <c r="E7" s="312"/>
      <c r="F7" s="312"/>
      <c r="G7" s="312"/>
    </row>
    <row r="8" spans="1:10" s="310" customFormat="1" ht="16.5" x14ac:dyDescent="0.25">
      <c r="A8" s="313"/>
      <c r="B8" s="312"/>
      <c r="C8" s="312"/>
      <c r="D8" s="312"/>
      <c r="E8" s="312"/>
      <c r="F8" s="312"/>
      <c r="G8" s="312"/>
    </row>
    <row r="9" spans="1:10" s="310" customFormat="1" ht="16.5" x14ac:dyDescent="0.25">
      <c r="A9" s="313"/>
      <c r="B9" s="312"/>
      <c r="C9" s="312"/>
      <c r="D9" s="312"/>
      <c r="E9" s="312"/>
      <c r="F9" s="208"/>
      <c r="G9" s="311"/>
    </row>
    <row r="10" spans="1:10" ht="15" customHeight="1" x14ac:dyDescent="0.2">
      <c r="A10" s="335"/>
      <c r="B10" s="798" t="s">
        <v>135</v>
      </c>
      <c r="C10" s="798" t="s">
        <v>136</v>
      </c>
      <c r="D10" s="798" t="s">
        <v>332</v>
      </c>
      <c r="E10" s="798" t="s">
        <v>137</v>
      </c>
      <c r="F10" s="340" t="s">
        <v>39</v>
      </c>
      <c r="G10" s="340"/>
    </row>
    <row r="11" spans="1:10" x14ac:dyDescent="0.2">
      <c r="A11" s="302" t="s">
        <v>12</v>
      </c>
      <c r="B11" s="798"/>
      <c r="C11" s="798"/>
      <c r="D11" s="798"/>
      <c r="E11" s="798"/>
      <c r="F11" s="303">
        <v>43555</v>
      </c>
      <c r="G11" s="303">
        <v>43190</v>
      </c>
    </row>
    <row r="12" spans="1:10" x14ac:dyDescent="0.2">
      <c r="A12" s="341" t="s">
        <v>262</v>
      </c>
      <c r="B12" s="212"/>
      <c r="C12" s="336"/>
      <c r="D12" s="336"/>
      <c r="E12" s="336"/>
      <c r="F12" s="658"/>
      <c r="G12" s="336"/>
    </row>
    <row r="13" spans="1:10" x14ac:dyDescent="0.2">
      <c r="A13" s="342" t="s">
        <v>261</v>
      </c>
      <c r="B13" s="343">
        <v>0</v>
      </c>
      <c r="C13" s="659">
        <v>196800000</v>
      </c>
      <c r="D13" s="343">
        <v>0</v>
      </c>
      <c r="E13" s="343">
        <v>0</v>
      </c>
      <c r="F13" s="238">
        <f>SUM(B13:E13)</f>
        <v>196800000</v>
      </c>
      <c r="G13" s="238">
        <v>741765792</v>
      </c>
      <c r="H13" s="309"/>
    </row>
    <row r="14" spans="1:10" x14ac:dyDescent="0.2">
      <c r="A14" s="341"/>
      <c r="B14" s="238"/>
      <c r="C14" s="238"/>
      <c r="D14" s="238"/>
      <c r="E14" s="238"/>
      <c r="F14" s="238"/>
      <c r="G14" s="238"/>
      <c r="I14" s="334"/>
    </row>
    <row r="15" spans="1:10" x14ac:dyDescent="0.2">
      <c r="A15" s="341" t="s">
        <v>132</v>
      </c>
      <c r="B15" s="659">
        <f>1324581835-172228465</f>
        <v>1152353370</v>
      </c>
      <c r="C15" s="238">
        <f>1155403479-85874325</f>
        <v>1069529154</v>
      </c>
      <c r="D15" s="238">
        <f>1133219308-142065106</f>
        <v>991154202</v>
      </c>
      <c r="E15" s="238">
        <v>0</v>
      </c>
      <c r="F15" s="238">
        <f>SUM(B15:E15)</f>
        <v>3213036726</v>
      </c>
      <c r="G15" s="238">
        <v>1669222918</v>
      </c>
    </row>
    <row r="16" spans="1:10" x14ac:dyDescent="0.2">
      <c r="A16" s="341"/>
      <c r="B16" s="238"/>
      <c r="C16" s="238"/>
      <c r="D16" s="238"/>
      <c r="E16" s="238"/>
      <c r="F16" s="238"/>
      <c r="G16" s="238"/>
    </row>
    <row r="17" spans="1:7" x14ac:dyDescent="0.2">
      <c r="A17" s="341" t="s">
        <v>89</v>
      </c>
      <c r="B17" s="343">
        <v>172228465</v>
      </c>
      <c r="C17" s="238">
        <v>85874325</v>
      </c>
      <c r="D17" s="238">
        <v>142065106</v>
      </c>
      <c r="E17" s="238">
        <v>0</v>
      </c>
      <c r="F17" s="238">
        <f>SUM(B17:E17)</f>
        <v>400167896</v>
      </c>
      <c r="G17" s="238">
        <v>386320804</v>
      </c>
    </row>
    <row r="18" spans="1:7" x14ac:dyDescent="0.2">
      <c r="A18" s="341"/>
      <c r="B18" s="343"/>
      <c r="C18" s="238"/>
      <c r="D18" s="238"/>
      <c r="E18" s="238"/>
      <c r="F18" s="238"/>
      <c r="G18" s="238"/>
    </row>
    <row r="19" spans="1:7" x14ac:dyDescent="0.2">
      <c r="A19" s="341" t="s">
        <v>157</v>
      </c>
      <c r="B19" s="659">
        <v>1485645527</v>
      </c>
      <c r="C19" s="238">
        <v>188973278</v>
      </c>
      <c r="D19" s="238">
        <v>561034704</v>
      </c>
      <c r="E19" s="238">
        <v>0</v>
      </c>
      <c r="F19" s="238">
        <f>SUM(B19:E19)</f>
        <v>2235653509</v>
      </c>
      <c r="G19" s="238">
        <v>243775539</v>
      </c>
    </row>
    <row r="20" spans="1:7" x14ac:dyDescent="0.2">
      <c r="A20" s="341"/>
      <c r="B20" s="238"/>
      <c r="C20" s="238"/>
      <c r="D20" s="238"/>
      <c r="E20" s="238"/>
      <c r="F20" s="238"/>
      <c r="G20" s="238"/>
    </row>
    <row r="21" spans="1:7" x14ac:dyDescent="0.2">
      <c r="A21" s="341" t="s">
        <v>90</v>
      </c>
      <c r="B21" s="659">
        <v>91123834</v>
      </c>
      <c r="C21" s="238">
        <v>72685613</v>
      </c>
      <c r="D21" s="238">
        <v>0</v>
      </c>
      <c r="E21" s="238">
        <v>0</v>
      </c>
      <c r="F21" s="238">
        <f>SUM(B21:E21)</f>
        <v>163809447</v>
      </c>
      <c r="G21" s="238">
        <v>283398783</v>
      </c>
    </row>
    <row r="22" spans="1:7" x14ac:dyDescent="0.2">
      <c r="A22" s="341"/>
      <c r="B22" s="238"/>
      <c r="C22" s="238"/>
      <c r="D22" s="238"/>
      <c r="E22" s="238"/>
      <c r="F22" s="238"/>
      <c r="G22" s="238"/>
    </row>
    <row r="23" spans="1:7" x14ac:dyDescent="0.2">
      <c r="A23" s="341" t="s">
        <v>71</v>
      </c>
      <c r="B23" s="238">
        <v>81569266</v>
      </c>
      <c r="C23" s="343">
        <v>49809958</v>
      </c>
      <c r="D23" s="343">
        <v>21573420</v>
      </c>
      <c r="E23" s="238">
        <v>0</v>
      </c>
      <c r="F23" s="238">
        <f>SUM(B23:E23)</f>
        <v>152952644</v>
      </c>
      <c r="G23" s="238">
        <v>106137028</v>
      </c>
    </row>
    <row r="24" spans="1:7" x14ac:dyDescent="0.2">
      <c r="A24" s="341"/>
      <c r="B24" s="238"/>
      <c r="C24" s="238"/>
      <c r="D24" s="238"/>
      <c r="E24" s="238"/>
      <c r="F24" s="238"/>
      <c r="G24" s="238"/>
    </row>
    <row r="25" spans="1:7" x14ac:dyDescent="0.2">
      <c r="A25" s="344" t="s">
        <v>142</v>
      </c>
      <c r="B25" s="238">
        <v>23177165</v>
      </c>
      <c r="C25" s="343">
        <v>193529005</v>
      </c>
      <c r="D25" s="343">
        <v>29012500</v>
      </c>
      <c r="E25" s="238">
        <v>0</v>
      </c>
      <c r="F25" s="238">
        <f>SUM(B25:E25)</f>
        <v>245718670</v>
      </c>
      <c r="G25" s="238">
        <v>255487482</v>
      </c>
    </row>
    <row r="26" spans="1:7" x14ac:dyDescent="0.2">
      <c r="A26" s="341"/>
      <c r="B26" s="238"/>
      <c r="C26" s="238"/>
      <c r="D26" s="238"/>
      <c r="E26" s="238"/>
      <c r="F26" s="238"/>
      <c r="G26" s="238"/>
    </row>
    <row r="27" spans="1:7" x14ac:dyDescent="0.2">
      <c r="A27" s="345" t="s">
        <v>406</v>
      </c>
      <c r="B27" s="238">
        <v>0</v>
      </c>
      <c r="C27" s="238">
        <v>0</v>
      </c>
      <c r="D27" s="238">
        <v>0</v>
      </c>
      <c r="E27" s="343">
        <v>147945204</v>
      </c>
      <c r="F27" s="238">
        <f>SUM(B27:E27)</f>
        <v>147945204</v>
      </c>
      <c r="G27" s="238">
        <v>180680864</v>
      </c>
    </row>
    <row r="28" spans="1:7" x14ac:dyDescent="0.2">
      <c r="A28" s="341"/>
      <c r="B28" s="238"/>
      <c r="C28" s="238"/>
      <c r="D28" s="238"/>
      <c r="E28" s="238"/>
      <c r="F28" s="238"/>
      <c r="G28" s="238"/>
    </row>
    <row r="29" spans="1:7" x14ac:dyDescent="0.2">
      <c r="A29" s="341" t="s">
        <v>105</v>
      </c>
      <c r="B29" s="238">
        <v>0</v>
      </c>
      <c r="C29" s="238">
        <v>0</v>
      </c>
      <c r="D29" s="238">
        <v>0</v>
      </c>
      <c r="E29" s="238">
        <v>249275871</v>
      </c>
      <c r="F29" s="238">
        <f>SUM(B29:E29)</f>
        <v>249275871</v>
      </c>
      <c r="G29" s="238">
        <v>337995222</v>
      </c>
    </row>
    <row r="30" spans="1:7" x14ac:dyDescent="0.2">
      <c r="A30" s="341"/>
      <c r="B30" s="238"/>
      <c r="C30" s="238"/>
      <c r="D30" s="238"/>
      <c r="E30" s="238"/>
      <c r="F30" s="238"/>
      <c r="G30" s="238"/>
    </row>
    <row r="31" spans="1:7" x14ac:dyDescent="0.2">
      <c r="A31" s="341" t="s">
        <v>159</v>
      </c>
      <c r="B31" s="343">
        <v>48598263</v>
      </c>
      <c r="C31" s="238">
        <v>467661012</v>
      </c>
      <c r="D31" s="238">
        <v>116745378</v>
      </c>
      <c r="E31" s="238">
        <v>0</v>
      </c>
      <c r="F31" s="238">
        <f>SUM(B31:E31)</f>
        <v>633004653</v>
      </c>
      <c r="G31" s="238">
        <v>326214549</v>
      </c>
    </row>
    <row r="32" spans="1:7" x14ac:dyDescent="0.2">
      <c r="A32" s="341"/>
      <c r="B32" s="238"/>
      <c r="C32" s="238"/>
      <c r="D32" s="238"/>
      <c r="E32" s="238"/>
      <c r="F32" s="238"/>
      <c r="G32" s="238"/>
    </row>
    <row r="33" spans="1:13" x14ac:dyDescent="0.2">
      <c r="A33" s="345" t="s">
        <v>133</v>
      </c>
      <c r="B33" s="343">
        <v>3052280</v>
      </c>
      <c r="C33" s="238">
        <v>13267221</v>
      </c>
      <c r="D33" s="238">
        <v>182002926</v>
      </c>
      <c r="E33" s="238">
        <v>0</v>
      </c>
      <c r="F33" s="238">
        <f>SUM(B33:E33)</f>
        <v>198322427</v>
      </c>
      <c r="G33" s="238">
        <v>0</v>
      </c>
    </row>
    <row r="34" spans="1:13" hidden="1" x14ac:dyDescent="0.2">
      <c r="A34" s="342"/>
      <c r="B34" s="238"/>
      <c r="C34" s="238"/>
      <c r="D34" s="238"/>
      <c r="E34" s="238"/>
      <c r="F34" s="238"/>
      <c r="G34" s="238"/>
    </row>
    <row r="35" spans="1:13" hidden="1" x14ac:dyDescent="0.2">
      <c r="A35" s="345" t="s">
        <v>134</v>
      </c>
      <c r="B35" s="343">
        <v>0</v>
      </c>
      <c r="C35" s="238"/>
      <c r="D35" s="238"/>
      <c r="E35" s="238"/>
      <c r="F35" s="238">
        <f>SUM(B35:E35)</f>
        <v>0</v>
      </c>
      <c r="G35" s="238">
        <v>0</v>
      </c>
    </row>
    <row r="36" spans="1:13" x14ac:dyDescent="0.2">
      <c r="A36" s="342"/>
      <c r="B36" s="238"/>
      <c r="C36" s="238"/>
      <c r="D36" s="238"/>
      <c r="E36" s="238"/>
      <c r="F36" s="238"/>
      <c r="G36" s="238"/>
    </row>
    <row r="37" spans="1:13" x14ac:dyDescent="0.2">
      <c r="A37" s="342" t="s">
        <v>405</v>
      </c>
      <c r="B37" s="238">
        <v>0</v>
      </c>
      <c r="C37" s="238">
        <v>0</v>
      </c>
      <c r="D37" s="238">
        <v>0</v>
      </c>
      <c r="E37" s="238">
        <v>4303942</v>
      </c>
      <c r="F37" s="238">
        <f>SUM(B37:E37)</f>
        <v>4303942</v>
      </c>
      <c r="G37" s="238">
        <v>0</v>
      </c>
    </row>
    <row r="38" spans="1:13" x14ac:dyDescent="0.2">
      <c r="A38" s="342"/>
      <c r="B38" s="238"/>
      <c r="C38" s="238"/>
      <c r="D38" s="238"/>
      <c r="E38" s="238"/>
      <c r="F38" s="238"/>
      <c r="G38" s="238"/>
    </row>
    <row r="39" spans="1:13" x14ac:dyDescent="0.2">
      <c r="A39" s="345" t="s">
        <v>72</v>
      </c>
      <c r="B39" s="238">
        <v>495856111</v>
      </c>
      <c r="C39" s="238">
        <f>660388840-459849571</f>
        <v>200539269</v>
      </c>
      <c r="D39" s="238">
        <f>603925679-383818</f>
        <v>603541861</v>
      </c>
      <c r="E39" s="238">
        <v>0</v>
      </c>
      <c r="F39" s="238">
        <f>SUM(B39:E39)</f>
        <v>1299937241</v>
      </c>
      <c r="G39" s="238">
        <f>1817071577+2603980617</f>
        <v>4421052194</v>
      </c>
    </row>
    <row r="40" spans="1:13" x14ac:dyDescent="0.2">
      <c r="A40" s="345"/>
      <c r="B40" s="238"/>
      <c r="C40" s="238"/>
      <c r="D40" s="238"/>
      <c r="E40" s="238"/>
      <c r="F40" s="238"/>
      <c r="G40" s="337"/>
    </row>
    <row r="41" spans="1:13" s="239" customFormat="1" x14ac:dyDescent="0.2">
      <c r="A41" s="338" t="s">
        <v>359</v>
      </c>
      <c r="B41" s="339">
        <f>+SUM(B12:B40)</f>
        <v>3553604281</v>
      </c>
      <c r="C41" s="339">
        <f>+SUM(C12:C40)</f>
        <v>2538668835</v>
      </c>
      <c r="D41" s="339">
        <f>+SUM(D12:D40)</f>
        <v>2647130097</v>
      </c>
      <c r="E41" s="339">
        <f>+SUM(E12:E40)</f>
        <v>401525017</v>
      </c>
      <c r="F41" s="339">
        <f>SUM(B41:E41)</f>
        <v>9140928230</v>
      </c>
      <c r="G41" s="339">
        <f>SUM(G13:G39)</f>
        <v>8952051175</v>
      </c>
    </row>
    <row r="42" spans="1:13" s="332" customFormat="1" x14ac:dyDescent="0.2">
      <c r="A42" s="338" t="s">
        <v>407</v>
      </c>
      <c r="B42" s="339">
        <v>3939124970</v>
      </c>
      <c r="C42" s="339">
        <v>2328061501</v>
      </c>
      <c r="D42" s="339">
        <v>2166188618</v>
      </c>
      <c r="E42" s="339">
        <v>518676086</v>
      </c>
      <c r="F42" s="339">
        <v>0</v>
      </c>
      <c r="G42" s="339">
        <f>SUM(B42:F42)</f>
        <v>8952051175</v>
      </c>
      <c r="H42" s="239"/>
      <c r="I42" s="239"/>
      <c r="J42" s="239"/>
      <c r="K42" s="239"/>
      <c r="L42" s="239"/>
      <c r="M42" s="239"/>
    </row>
    <row r="43" spans="1:13" x14ac:dyDescent="0.2">
      <c r="A43" s="239"/>
      <c r="B43" s="334"/>
      <c r="C43" s="334"/>
      <c r="F43" s="655"/>
      <c r="G43" s="309"/>
    </row>
    <row r="44" spans="1:13" s="307" customFormat="1" ht="15" x14ac:dyDescent="0.2">
      <c r="A44" s="304" t="s">
        <v>165</v>
      </c>
      <c r="D44" s="308"/>
      <c r="E44" s="308"/>
      <c r="F44" s="308"/>
      <c r="G44" s="656"/>
    </row>
    <row r="45" spans="1:13" x14ac:dyDescent="0.2">
      <c r="A45" s="239"/>
      <c r="E45" s="306"/>
      <c r="F45" s="306"/>
      <c r="G45" s="306"/>
    </row>
    <row r="46" spans="1:13" x14ac:dyDescent="0.2">
      <c r="A46" s="239"/>
      <c r="B46" s="306"/>
      <c r="C46" s="648"/>
      <c r="D46" s="648"/>
      <c r="F46" s="306"/>
    </row>
    <row r="47" spans="1:13" x14ac:dyDescent="0.2">
      <c r="A47" s="239"/>
      <c r="B47" s="648"/>
      <c r="C47" s="306"/>
      <c r="D47" s="306"/>
    </row>
    <row r="48" spans="1:13" s="669" customFormat="1" x14ac:dyDescent="0.2">
      <c r="A48" s="368" t="s">
        <v>321</v>
      </c>
      <c r="B48" s="772" t="s">
        <v>322</v>
      </c>
      <c r="C48" s="772"/>
      <c r="D48" s="368"/>
      <c r="E48" s="772" t="s">
        <v>436</v>
      </c>
      <c r="F48" s="772"/>
      <c r="I48" s="773"/>
      <c r="J48" s="773"/>
      <c r="K48" s="773"/>
      <c r="L48" s="773"/>
      <c r="M48" s="773"/>
    </row>
    <row r="49" spans="1:13" s="669" customFormat="1" x14ac:dyDescent="0.2">
      <c r="A49" s="368" t="s">
        <v>141</v>
      </c>
      <c r="B49" s="772" t="s">
        <v>437</v>
      </c>
      <c r="C49" s="772"/>
      <c r="D49" s="368"/>
      <c r="E49" s="772" t="s">
        <v>144</v>
      </c>
      <c r="F49" s="772"/>
      <c r="I49" s="773"/>
      <c r="J49" s="773"/>
      <c r="K49" s="773"/>
      <c r="L49" s="773"/>
      <c r="M49" s="773"/>
    </row>
    <row r="50" spans="1:13" x14ac:dyDescent="0.2">
      <c r="A50" s="120"/>
    </row>
    <row r="51" spans="1:13" x14ac:dyDescent="0.2">
      <c r="A51" s="239"/>
    </row>
    <row r="52" spans="1:13" ht="15" x14ac:dyDescent="0.25">
      <c r="A52" s="239"/>
      <c r="C52" s="305"/>
      <c r="D52" s="305"/>
    </row>
    <row r="53" spans="1:13" x14ac:dyDescent="0.2">
      <c r="A53" s="239"/>
    </row>
    <row r="54" spans="1:13" x14ac:dyDescent="0.2">
      <c r="A54" s="239"/>
    </row>
    <row r="55" spans="1:13" x14ac:dyDescent="0.2">
      <c r="A55" s="239"/>
    </row>
    <row r="56" spans="1:13" x14ac:dyDescent="0.2">
      <c r="A56" s="239"/>
    </row>
    <row r="57" spans="1:13" x14ac:dyDescent="0.2">
      <c r="A57" s="239"/>
    </row>
    <row r="58" spans="1:13" x14ac:dyDescent="0.2">
      <c r="A58" s="239"/>
    </row>
    <row r="59" spans="1:13" x14ac:dyDescent="0.2">
      <c r="A59" s="239"/>
    </row>
    <row r="60" spans="1:13" x14ac:dyDescent="0.2">
      <c r="A60" s="239"/>
    </row>
    <row r="61" spans="1:13" x14ac:dyDescent="0.2">
      <c r="A61" s="239"/>
    </row>
    <row r="62" spans="1:13" x14ac:dyDescent="0.2">
      <c r="A62" s="239"/>
    </row>
    <row r="63" spans="1:13" x14ac:dyDescent="0.2">
      <c r="A63" s="239"/>
    </row>
    <row r="64" spans="1:13" x14ac:dyDescent="0.2">
      <c r="A64" s="239"/>
    </row>
    <row r="65" spans="1:1" x14ac:dyDescent="0.2">
      <c r="A65" s="239"/>
    </row>
    <row r="66" spans="1:1" x14ac:dyDescent="0.2">
      <c r="A66" s="239"/>
    </row>
    <row r="67" spans="1:1" x14ac:dyDescent="0.2">
      <c r="A67" s="239"/>
    </row>
    <row r="68" spans="1:1" x14ac:dyDescent="0.2">
      <c r="A68" s="239"/>
    </row>
    <row r="69" spans="1:1" x14ac:dyDescent="0.2">
      <c r="A69" s="239"/>
    </row>
    <row r="70" spans="1:1" x14ac:dyDescent="0.2">
      <c r="A70" s="239"/>
    </row>
    <row r="71" spans="1:1" x14ac:dyDescent="0.2">
      <c r="A71" s="239"/>
    </row>
    <row r="72" spans="1:1" x14ac:dyDescent="0.2">
      <c r="A72" s="239"/>
    </row>
    <row r="73" spans="1:1" x14ac:dyDescent="0.2">
      <c r="A73" s="239"/>
    </row>
    <row r="74" spans="1:1" x14ac:dyDescent="0.2">
      <c r="A74" s="239"/>
    </row>
    <row r="75" spans="1:1" x14ac:dyDescent="0.2">
      <c r="A75" s="239"/>
    </row>
    <row r="76" spans="1:1" x14ac:dyDescent="0.2">
      <c r="A76" s="239"/>
    </row>
    <row r="77" spans="1:1" x14ac:dyDescent="0.2">
      <c r="A77" s="239"/>
    </row>
    <row r="78" spans="1:1" x14ac:dyDescent="0.2">
      <c r="A78" s="239"/>
    </row>
    <row r="79" spans="1:1" x14ac:dyDescent="0.2">
      <c r="A79" s="239"/>
    </row>
    <row r="80" spans="1:1" x14ac:dyDescent="0.2">
      <c r="A80" s="239"/>
    </row>
    <row r="81" spans="1:1" x14ac:dyDescent="0.2">
      <c r="A81" s="239"/>
    </row>
    <row r="82" spans="1:1" x14ac:dyDescent="0.2">
      <c r="A82" s="239"/>
    </row>
    <row r="83" spans="1:1" x14ac:dyDescent="0.2">
      <c r="A83" s="239"/>
    </row>
    <row r="84" spans="1:1" x14ac:dyDescent="0.2">
      <c r="A84" s="239"/>
    </row>
    <row r="85" spans="1:1" x14ac:dyDescent="0.2">
      <c r="A85" s="239"/>
    </row>
    <row r="86" spans="1:1" x14ac:dyDescent="0.2">
      <c r="A86" s="239"/>
    </row>
    <row r="87" spans="1:1" x14ac:dyDescent="0.2">
      <c r="A87" s="239"/>
    </row>
    <row r="88" spans="1:1" x14ac:dyDescent="0.2">
      <c r="A88" s="239"/>
    </row>
    <row r="89" spans="1:1" x14ac:dyDescent="0.2">
      <c r="A89" s="239"/>
    </row>
    <row r="90" spans="1:1" x14ac:dyDescent="0.2">
      <c r="A90" s="239"/>
    </row>
    <row r="91" spans="1:1" x14ac:dyDescent="0.2">
      <c r="A91" s="239"/>
    </row>
    <row r="92" spans="1:1" x14ac:dyDescent="0.2">
      <c r="A92" s="239"/>
    </row>
    <row r="93" spans="1:1" x14ac:dyDescent="0.2">
      <c r="A93" s="239"/>
    </row>
    <row r="94" spans="1:1" x14ac:dyDescent="0.2">
      <c r="A94" s="239"/>
    </row>
    <row r="95" spans="1:1" x14ac:dyDescent="0.2">
      <c r="A95" s="239"/>
    </row>
    <row r="96" spans="1:1" x14ac:dyDescent="0.2">
      <c r="A96" s="239"/>
    </row>
    <row r="97" spans="1:1" x14ac:dyDescent="0.2">
      <c r="A97" s="239"/>
    </row>
    <row r="98" spans="1:1" x14ac:dyDescent="0.2">
      <c r="A98" s="239"/>
    </row>
    <row r="99" spans="1:1" x14ac:dyDescent="0.2">
      <c r="A99" s="239"/>
    </row>
    <row r="100" spans="1:1" x14ac:dyDescent="0.2">
      <c r="A100" s="239"/>
    </row>
    <row r="101" spans="1:1" x14ac:dyDescent="0.2">
      <c r="A101" s="239"/>
    </row>
    <row r="102" spans="1:1" x14ac:dyDescent="0.2">
      <c r="A102" s="239"/>
    </row>
    <row r="103" spans="1:1" x14ac:dyDescent="0.2">
      <c r="A103" s="239"/>
    </row>
    <row r="104" spans="1:1" x14ac:dyDescent="0.2">
      <c r="A104" s="239"/>
    </row>
    <row r="105" spans="1:1" x14ac:dyDescent="0.2">
      <c r="A105" s="239"/>
    </row>
    <row r="106" spans="1:1" x14ac:dyDescent="0.2">
      <c r="A106" s="239"/>
    </row>
    <row r="107" spans="1:1" x14ac:dyDescent="0.2">
      <c r="A107" s="239"/>
    </row>
    <row r="108" spans="1:1" x14ac:dyDescent="0.2">
      <c r="A108" s="239"/>
    </row>
    <row r="109" spans="1:1" x14ac:dyDescent="0.2">
      <c r="A109" s="239"/>
    </row>
    <row r="110" spans="1:1" x14ac:dyDescent="0.2">
      <c r="A110" s="239"/>
    </row>
    <row r="111" spans="1:1" x14ac:dyDescent="0.2">
      <c r="A111" s="239"/>
    </row>
    <row r="112" spans="1:1" x14ac:dyDescent="0.2">
      <c r="A112" s="239"/>
    </row>
    <row r="113" spans="1:1" x14ac:dyDescent="0.2">
      <c r="A113" s="239"/>
    </row>
    <row r="114" spans="1:1" x14ac:dyDescent="0.2">
      <c r="A114" s="239"/>
    </row>
    <row r="115" spans="1:1" x14ac:dyDescent="0.2">
      <c r="A115" s="239"/>
    </row>
    <row r="116" spans="1:1" x14ac:dyDescent="0.2">
      <c r="A116" s="239"/>
    </row>
    <row r="117" spans="1:1" x14ac:dyDescent="0.2">
      <c r="A117" s="239"/>
    </row>
    <row r="118" spans="1:1" x14ac:dyDescent="0.2">
      <c r="A118" s="239"/>
    </row>
    <row r="119" spans="1:1" x14ac:dyDescent="0.2">
      <c r="A119" s="239"/>
    </row>
    <row r="120" spans="1:1" x14ac:dyDescent="0.2">
      <c r="A120" s="239"/>
    </row>
    <row r="121" spans="1:1" x14ac:dyDescent="0.2">
      <c r="A121" s="239"/>
    </row>
    <row r="122" spans="1:1" x14ac:dyDescent="0.2">
      <c r="A122" s="239"/>
    </row>
    <row r="123" spans="1:1" x14ac:dyDescent="0.2">
      <c r="A123" s="239"/>
    </row>
    <row r="124" spans="1:1" x14ac:dyDescent="0.2">
      <c r="A124" s="239"/>
    </row>
    <row r="125" spans="1:1" x14ac:dyDescent="0.2">
      <c r="A125" s="239"/>
    </row>
    <row r="126" spans="1:1" x14ac:dyDescent="0.2">
      <c r="A126" s="239"/>
    </row>
    <row r="127" spans="1:1" x14ac:dyDescent="0.2">
      <c r="A127" s="239"/>
    </row>
    <row r="128" spans="1:1" x14ac:dyDescent="0.2">
      <c r="A128" s="239"/>
    </row>
    <row r="129" spans="1:1" x14ac:dyDescent="0.2">
      <c r="A129" s="239"/>
    </row>
    <row r="130" spans="1:1" x14ac:dyDescent="0.2">
      <c r="A130" s="239"/>
    </row>
    <row r="131" spans="1:1" x14ac:dyDescent="0.2">
      <c r="A131" s="239"/>
    </row>
    <row r="132" spans="1:1" x14ac:dyDescent="0.2">
      <c r="A132" s="239"/>
    </row>
    <row r="133" spans="1:1" x14ac:dyDescent="0.2">
      <c r="A133" s="239"/>
    </row>
    <row r="134" spans="1:1" x14ac:dyDescent="0.2">
      <c r="A134" s="239"/>
    </row>
    <row r="135" spans="1:1" x14ac:dyDescent="0.2">
      <c r="A135" s="239"/>
    </row>
    <row r="136" spans="1:1" x14ac:dyDescent="0.2">
      <c r="A136" s="239"/>
    </row>
    <row r="137" spans="1:1" x14ac:dyDescent="0.2">
      <c r="A137" s="239"/>
    </row>
    <row r="138" spans="1:1" x14ac:dyDescent="0.2">
      <c r="A138" s="239"/>
    </row>
    <row r="139" spans="1:1" x14ac:dyDescent="0.2">
      <c r="A139" s="239"/>
    </row>
    <row r="140" spans="1:1" x14ac:dyDescent="0.2">
      <c r="A140" s="239"/>
    </row>
    <row r="141" spans="1:1" x14ac:dyDescent="0.2">
      <c r="A141" s="239"/>
    </row>
    <row r="142" spans="1:1" x14ac:dyDescent="0.2">
      <c r="A142" s="239"/>
    </row>
    <row r="143" spans="1:1" x14ac:dyDescent="0.2">
      <c r="A143" s="239"/>
    </row>
    <row r="144" spans="1:1" x14ac:dyDescent="0.2">
      <c r="A144" s="239"/>
    </row>
    <row r="145" spans="1:1" x14ac:dyDescent="0.2">
      <c r="A145" s="239"/>
    </row>
    <row r="146" spans="1:1" x14ac:dyDescent="0.2">
      <c r="A146" s="239"/>
    </row>
    <row r="147" spans="1:1" x14ac:dyDescent="0.2">
      <c r="A147" s="239"/>
    </row>
    <row r="148" spans="1:1" x14ac:dyDescent="0.2">
      <c r="A148" s="239"/>
    </row>
    <row r="149" spans="1:1" x14ac:dyDescent="0.2">
      <c r="A149" s="239"/>
    </row>
    <row r="150" spans="1:1" x14ac:dyDescent="0.2">
      <c r="A150" s="239"/>
    </row>
    <row r="151" spans="1:1" x14ac:dyDescent="0.2">
      <c r="A151" s="239"/>
    </row>
    <row r="152" spans="1:1" x14ac:dyDescent="0.2">
      <c r="A152" s="239"/>
    </row>
    <row r="153" spans="1:1" x14ac:dyDescent="0.2">
      <c r="A153" s="239"/>
    </row>
    <row r="154" spans="1:1" x14ac:dyDescent="0.2">
      <c r="A154" s="239"/>
    </row>
    <row r="155" spans="1:1" x14ac:dyDescent="0.2">
      <c r="A155" s="239"/>
    </row>
    <row r="156" spans="1:1" x14ac:dyDescent="0.2">
      <c r="A156" s="239"/>
    </row>
    <row r="157" spans="1:1" x14ac:dyDescent="0.2">
      <c r="A157" s="239"/>
    </row>
    <row r="158" spans="1:1" x14ac:dyDescent="0.2">
      <c r="A158" s="239"/>
    </row>
    <row r="159" spans="1:1" x14ac:dyDescent="0.2">
      <c r="A159" s="239"/>
    </row>
    <row r="160" spans="1:1" x14ac:dyDescent="0.2">
      <c r="A160" s="239"/>
    </row>
    <row r="161" spans="1:1" x14ac:dyDescent="0.2">
      <c r="A161" s="239"/>
    </row>
    <row r="162" spans="1:1" x14ac:dyDescent="0.2">
      <c r="A162" s="239"/>
    </row>
    <row r="163" spans="1:1" x14ac:dyDescent="0.2">
      <c r="A163" s="239"/>
    </row>
    <row r="164" spans="1:1" x14ac:dyDescent="0.2">
      <c r="A164" s="239"/>
    </row>
    <row r="165" spans="1:1" x14ac:dyDescent="0.2">
      <c r="A165" s="239"/>
    </row>
    <row r="166" spans="1:1" x14ac:dyDescent="0.2">
      <c r="A166" s="239"/>
    </row>
    <row r="167" spans="1:1" x14ac:dyDescent="0.2">
      <c r="A167" s="239"/>
    </row>
    <row r="168" spans="1:1" x14ac:dyDescent="0.2">
      <c r="A168" s="239"/>
    </row>
    <row r="169" spans="1:1" x14ac:dyDescent="0.2">
      <c r="A169" s="239"/>
    </row>
    <row r="170" spans="1:1" x14ac:dyDescent="0.2">
      <c r="A170" s="239"/>
    </row>
    <row r="171" spans="1:1" x14ac:dyDescent="0.2">
      <c r="A171" s="239"/>
    </row>
    <row r="172" spans="1:1" x14ac:dyDescent="0.2">
      <c r="A172" s="239"/>
    </row>
    <row r="173" spans="1:1" x14ac:dyDescent="0.2">
      <c r="A173" s="239"/>
    </row>
    <row r="174" spans="1:1" x14ac:dyDescent="0.2">
      <c r="A174" s="239"/>
    </row>
    <row r="175" spans="1:1" x14ac:dyDescent="0.2">
      <c r="A175" s="239"/>
    </row>
    <row r="176" spans="1:1" x14ac:dyDescent="0.2">
      <c r="A176" s="239"/>
    </row>
    <row r="177" spans="1:1" x14ac:dyDescent="0.2">
      <c r="A177" s="239"/>
    </row>
    <row r="178" spans="1:1" x14ac:dyDescent="0.2">
      <c r="A178" s="239"/>
    </row>
    <row r="179" spans="1:1" x14ac:dyDescent="0.2">
      <c r="A179" s="239"/>
    </row>
    <row r="180" spans="1:1" x14ac:dyDescent="0.2">
      <c r="A180" s="239"/>
    </row>
    <row r="181" spans="1:1" x14ac:dyDescent="0.2">
      <c r="A181" s="239"/>
    </row>
    <row r="182" spans="1:1" x14ac:dyDescent="0.2">
      <c r="A182" s="239"/>
    </row>
    <row r="183" spans="1:1" x14ac:dyDescent="0.2">
      <c r="A183" s="239"/>
    </row>
    <row r="184" spans="1:1" x14ac:dyDescent="0.2">
      <c r="A184" s="239"/>
    </row>
    <row r="185" spans="1:1" x14ac:dyDescent="0.2">
      <c r="A185" s="239"/>
    </row>
    <row r="186" spans="1:1" x14ac:dyDescent="0.2">
      <c r="A186" s="239"/>
    </row>
    <row r="187" spans="1:1" x14ac:dyDescent="0.2">
      <c r="A187" s="239"/>
    </row>
    <row r="188" spans="1:1" x14ac:dyDescent="0.2">
      <c r="A188" s="239"/>
    </row>
    <row r="189" spans="1:1" x14ac:dyDescent="0.2">
      <c r="A189" s="239"/>
    </row>
    <row r="190" spans="1:1" x14ac:dyDescent="0.2">
      <c r="A190" s="239"/>
    </row>
    <row r="191" spans="1:1" x14ac:dyDescent="0.2">
      <c r="A191" s="239"/>
    </row>
    <row r="192" spans="1:1" x14ac:dyDescent="0.2">
      <c r="A192" s="239"/>
    </row>
    <row r="193" spans="1:1" x14ac:dyDescent="0.2">
      <c r="A193" s="239"/>
    </row>
    <row r="194" spans="1:1" x14ac:dyDescent="0.2">
      <c r="A194" s="239"/>
    </row>
    <row r="195" spans="1:1" x14ac:dyDescent="0.2">
      <c r="A195" s="239"/>
    </row>
    <row r="196" spans="1:1" x14ac:dyDescent="0.2">
      <c r="A196" s="239"/>
    </row>
    <row r="197" spans="1:1" x14ac:dyDescent="0.2">
      <c r="A197" s="239"/>
    </row>
  </sheetData>
  <mergeCells count="12">
    <mergeCell ref="B48:C48"/>
    <mergeCell ref="E48:F48"/>
    <mergeCell ref="I48:M48"/>
    <mergeCell ref="B49:C49"/>
    <mergeCell ref="E49:F49"/>
    <mergeCell ref="I49:M49"/>
    <mergeCell ref="A4:G4"/>
    <mergeCell ref="A3:G3"/>
    <mergeCell ref="B10:B11"/>
    <mergeCell ref="C10:C11"/>
    <mergeCell ref="E10:E11"/>
    <mergeCell ref="D10:D11"/>
  </mergeCells>
  <printOptions gridLinesSet="0"/>
  <pageMargins left="1.299212598425197" right="1.4566929133858268" top="1.3779527559055118" bottom="0.98425196850393704" header="0.51181102362204722" footer="1.1023622047244095"/>
  <pageSetup scale="50" orientation="landscape" r:id="rId1"/>
  <headerFooter alignWithMargins="0">
    <oddFooter>&amp;C22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33529-8DD5-48E7-ABA8-F719135642D9}">
  <sheetPr>
    <tabColor rgb="FF92D050"/>
  </sheetPr>
  <dimension ref="A1:O200"/>
  <sheetViews>
    <sheetView showGridLines="0" topLeftCell="A16" zoomScale="82" zoomScaleNormal="82" zoomScalePageLayoutView="75" workbookViewId="0">
      <selection activeCell="D38" sqref="D38:E38"/>
    </sheetView>
  </sheetViews>
  <sheetFormatPr baseColWidth="10" defaultRowHeight="12.75" x14ac:dyDescent="0.2"/>
  <cols>
    <col min="1" max="1" width="47.7109375" customWidth="1"/>
    <col min="2" max="2" width="21.42578125" customWidth="1"/>
    <col min="3" max="3" width="20.42578125" customWidth="1"/>
    <col min="4" max="4" width="21.42578125" customWidth="1"/>
    <col min="5" max="5" width="21" customWidth="1"/>
    <col min="6" max="7" width="23.5703125" bestFit="1" customWidth="1"/>
    <col min="9" max="9" width="20" bestFit="1" customWidth="1"/>
  </cols>
  <sheetData>
    <row r="1" spans="1:7" ht="16.5" x14ac:dyDescent="0.25">
      <c r="G1" s="459" t="s">
        <v>70</v>
      </c>
    </row>
    <row r="3" spans="1:7" s="12" customFormat="1" ht="16.5" x14ac:dyDescent="0.25">
      <c r="A3" s="800" t="s">
        <v>307</v>
      </c>
      <c r="B3" s="800"/>
      <c r="C3" s="800"/>
      <c r="D3" s="800"/>
      <c r="E3" s="800"/>
      <c r="F3" s="800"/>
      <c r="G3" s="800"/>
    </row>
    <row r="4" spans="1:7" s="12" customFormat="1" ht="16.5" x14ac:dyDescent="0.25">
      <c r="A4" s="460" t="s">
        <v>9</v>
      </c>
      <c r="B4" s="460"/>
      <c r="C4" s="460"/>
      <c r="D4" s="460"/>
      <c r="E4" s="460"/>
      <c r="F4" s="460"/>
      <c r="G4" s="460"/>
    </row>
    <row r="5" spans="1:7" s="12" customFormat="1" ht="16.5" x14ac:dyDescent="0.25">
      <c r="A5" s="460"/>
      <c r="B5" s="460"/>
      <c r="C5" s="460"/>
      <c r="D5" s="460"/>
      <c r="E5" s="460"/>
      <c r="F5" s="460"/>
      <c r="G5" s="460"/>
    </row>
    <row r="6" spans="1:7" s="12" customFormat="1" ht="16.5" x14ac:dyDescent="0.25">
      <c r="A6" s="460" t="s">
        <v>69</v>
      </c>
      <c r="B6" s="460"/>
      <c r="C6" s="460"/>
      <c r="D6" s="460"/>
      <c r="E6" s="460"/>
      <c r="F6" s="460"/>
      <c r="G6" s="460"/>
    </row>
    <row r="7" spans="1:7" s="12" customFormat="1" ht="16.5" x14ac:dyDescent="0.25">
      <c r="A7" s="460"/>
      <c r="B7" s="460"/>
      <c r="C7" s="460"/>
      <c r="D7" s="460"/>
      <c r="E7" s="460"/>
      <c r="F7" s="460"/>
      <c r="G7" s="460"/>
    </row>
    <row r="8" spans="1:7" s="12" customFormat="1" ht="16.5" x14ac:dyDescent="0.25">
      <c r="A8" s="460"/>
      <c r="B8" s="460"/>
      <c r="C8" s="460"/>
      <c r="D8" s="460"/>
      <c r="E8" s="460"/>
      <c r="F8"/>
      <c r="G8" s="459"/>
    </row>
    <row r="9" spans="1:7" ht="15" customHeight="1" x14ac:dyDescent="0.25">
      <c r="A9" s="55"/>
      <c r="B9" s="801" t="s">
        <v>135</v>
      </c>
      <c r="C9" s="801" t="s">
        <v>136</v>
      </c>
      <c r="D9" s="801" t="s">
        <v>137</v>
      </c>
      <c r="E9" s="801" t="s">
        <v>138</v>
      </c>
      <c r="F9" s="461" t="s">
        <v>39</v>
      </c>
      <c r="G9" s="462"/>
    </row>
    <row r="10" spans="1:7" ht="15" x14ac:dyDescent="0.25">
      <c r="A10" s="463" t="s">
        <v>12</v>
      </c>
      <c r="B10" s="801"/>
      <c r="C10" s="801"/>
      <c r="D10" s="801"/>
      <c r="E10" s="801"/>
      <c r="F10" s="464">
        <v>43100</v>
      </c>
      <c r="G10" s="464">
        <v>42735</v>
      </c>
    </row>
    <row r="11" spans="1:7" ht="14.25" x14ac:dyDescent="0.2">
      <c r="A11" s="465" t="s">
        <v>308</v>
      </c>
      <c r="B11" s="466"/>
      <c r="C11" s="466"/>
      <c r="D11" s="466"/>
      <c r="E11" s="466"/>
      <c r="F11" s="467"/>
      <c r="G11" s="468"/>
    </row>
    <row r="12" spans="1:7" ht="14.25" x14ac:dyDescent="0.2">
      <c r="A12" s="469" t="s">
        <v>309</v>
      </c>
      <c r="B12" s="467">
        <v>329074685</v>
      </c>
      <c r="C12" s="467">
        <v>1650745445</v>
      </c>
      <c r="D12" s="467">
        <v>0</v>
      </c>
      <c r="E12" s="467">
        <v>0</v>
      </c>
      <c r="F12" s="467">
        <f>SUM(B12:E12)</f>
        <v>1979820130</v>
      </c>
      <c r="G12" s="470">
        <v>1909978848</v>
      </c>
    </row>
    <row r="13" spans="1:7" ht="14.25" x14ac:dyDescent="0.2">
      <c r="A13" s="465"/>
      <c r="B13" s="467"/>
      <c r="C13" s="467"/>
      <c r="D13" s="467"/>
      <c r="E13" s="467"/>
      <c r="F13" s="467"/>
      <c r="G13" s="470"/>
    </row>
    <row r="14" spans="1:7" ht="14.25" x14ac:dyDescent="0.2">
      <c r="A14" s="465" t="s">
        <v>132</v>
      </c>
      <c r="B14" s="467">
        <v>6889970294</v>
      </c>
      <c r="C14" s="467">
        <v>0</v>
      </c>
      <c r="D14" s="467">
        <v>0</v>
      </c>
      <c r="E14" s="467">
        <v>0</v>
      </c>
      <c r="F14" s="467">
        <f t="shared" ref="F14:F36" si="0">SUM(B14:E14)</f>
        <v>6889970294</v>
      </c>
      <c r="G14" s="470">
        <v>6688306282</v>
      </c>
    </row>
    <row r="15" spans="1:7" ht="14.25" x14ac:dyDescent="0.2">
      <c r="A15" s="465"/>
      <c r="B15" s="467"/>
      <c r="C15" s="467"/>
      <c r="D15" s="467"/>
      <c r="E15" s="467"/>
      <c r="F15" s="467"/>
      <c r="G15" s="470"/>
    </row>
    <row r="16" spans="1:7" ht="14.25" x14ac:dyDescent="0.2">
      <c r="A16" s="465" t="s">
        <v>89</v>
      </c>
      <c r="B16" s="467">
        <v>1090837610</v>
      </c>
      <c r="C16" s="467">
        <v>0</v>
      </c>
      <c r="D16" s="467">
        <v>0</v>
      </c>
      <c r="E16" s="467">
        <v>0</v>
      </c>
      <c r="F16" s="467">
        <f t="shared" si="0"/>
        <v>1090837610</v>
      </c>
      <c r="G16" s="470">
        <v>1013194938</v>
      </c>
    </row>
    <row r="17" spans="1:7" ht="14.25" x14ac:dyDescent="0.2">
      <c r="A17" s="465"/>
      <c r="B17" s="467"/>
      <c r="C17" s="467"/>
      <c r="D17" s="467"/>
      <c r="E17" s="467"/>
      <c r="F17" s="467"/>
      <c r="G17" s="470"/>
    </row>
    <row r="18" spans="1:7" ht="14.25" x14ac:dyDescent="0.2">
      <c r="A18" s="465" t="s">
        <v>157</v>
      </c>
      <c r="B18" s="467">
        <v>346966933</v>
      </c>
      <c r="C18" s="467">
        <v>0</v>
      </c>
      <c r="D18" s="467">
        <v>0</v>
      </c>
      <c r="E18" s="467">
        <v>0</v>
      </c>
      <c r="F18" s="467">
        <f t="shared" si="0"/>
        <v>346966933</v>
      </c>
      <c r="G18" s="470">
        <v>589919539</v>
      </c>
    </row>
    <row r="19" spans="1:7" ht="14.25" x14ac:dyDescent="0.2">
      <c r="A19" s="465"/>
      <c r="B19" s="467"/>
      <c r="C19" s="467"/>
      <c r="D19" s="467"/>
      <c r="E19" s="467"/>
      <c r="F19" s="467"/>
      <c r="G19" s="470"/>
    </row>
    <row r="20" spans="1:7" ht="14.25" x14ac:dyDescent="0.2">
      <c r="A20" s="465" t="s">
        <v>90</v>
      </c>
      <c r="B20" s="467">
        <v>138146974</v>
      </c>
      <c r="C20" s="467">
        <v>2918804</v>
      </c>
      <c r="D20" s="467">
        <v>0</v>
      </c>
      <c r="E20" s="467">
        <v>0</v>
      </c>
      <c r="F20" s="467">
        <f t="shared" si="0"/>
        <v>141065778</v>
      </c>
      <c r="G20" s="470">
        <v>147875809</v>
      </c>
    </row>
    <row r="21" spans="1:7" ht="14.25" x14ac:dyDescent="0.2">
      <c r="A21" s="465"/>
      <c r="B21" s="467"/>
      <c r="C21" s="467"/>
      <c r="D21" s="467"/>
      <c r="E21" s="467"/>
      <c r="F21" s="467"/>
      <c r="G21" s="470"/>
    </row>
    <row r="22" spans="1:7" ht="14.25" x14ac:dyDescent="0.2">
      <c r="A22" s="465" t="s">
        <v>71</v>
      </c>
      <c r="B22" s="467">
        <v>0</v>
      </c>
      <c r="C22" s="467">
        <v>277177404</v>
      </c>
      <c r="D22" s="467">
        <v>0</v>
      </c>
      <c r="E22" s="467">
        <v>0</v>
      </c>
      <c r="F22" s="467">
        <f t="shared" si="0"/>
        <v>277177404</v>
      </c>
      <c r="G22" s="470">
        <v>279469333</v>
      </c>
    </row>
    <row r="23" spans="1:7" ht="14.25" x14ac:dyDescent="0.2">
      <c r="A23" s="465"/>
      <c r="B23" s="467"/>
      <c r="C23" s="467"/>
      <c r="D23" s="467"/>
      <c r="E23" s="467"/>
      <c r="F23" s="467"/>
      <c r="G23" s="470"/>
    </row>
    <row r="24" spans="1:7" ht="14.25" x14ac:dyDescent="0.2">
      <c r="A24" s="471" t="s">
        <v>142</v>
      </c>
      <c r="B24" s="467">
        <v>0</v>
      </c>
      <c r="C24" s="467">
        <v>248157638</v>
      </c>
      <c r="D24" s="467">
        <v>0</v>
      </c>
      <c r="E24" s="467">
        <v>0</v>
      </c>
      <c r="F24" s="467">
        <f t="shared" si="0"/>
        <v>248157638</v>
      </c>
      <c r="G24" s="470">
        <v>179758514</v>
      </c>
    </row>
    <row r="25" spans="1:7" ht="14.25" x14ac:dyDescent="0.2">
      <c r="A25" s="465"/>
      <c r="B25" s="467"/>
      <c r="C25" s="467"/>
      <c r="D25" s="467"/>
      <c r="E25" s="467"/>
      <c r="F25" s="467"/>
      <c r="G25" s="470"/>
    </row>
    <row r="26" spans="1:7" ht="14.25" x14ac:dyDescent="0.2">
      <c r="A26" s="472" t="s">
        <v>146</v>
      </c>
      <c r="B26" s="467">
        <v>0</v>
      </c>
      <c r="C26" s="467">
        <v>0</v>
      </c>
      <c r="D26" s="467">
        <v>2490225686</v>
      </c>
      <c r="E26" s="467">
        <v>0</v>
      </c>
      <c r="F26" s="467">
        <f t="shared" si="0"/>
        <v>2490225686</v>
      </c>
      <c r="G26" s="470">
        <v>3449016770</v>
      </c>
    </row>
    <row r="27" spans="1:7" ht="14.25" x14ac:dyDescent="0.2">
      <c r="A27" s="465"/>
      <c r="B27" s="467"/>
      <c r="C27" s="467"/>
      <c r="D27" s="467"/>
      <c r="E27" s="467"/>
      <c r="F27" s="467"/>
      <c r="G27" s="470"/>
    </row>
    <row r="28" spans="1:7" ht="14.25" x14ac:dyDescent="0.2">
      <c r="A28" s="465" t="s">
        <v>105</v>
      </c>
      <c r="B28" s="467">
        <v>0</v>
      </c>
      <c r="C28" s="467">
        <v>0</v>
      </c>
      <c r="D28" s="467">
        <v>0</v>
      </c>
      <c r="E28" s="467">
        <v>21463370</v>
      </c>
      <c r="F28" s="467">
        <f t="shared" si="0"/>
        <v>21463370</v>
      </c>
      <c r="G28" s="470">
        <v>115802296</v>
      </c>
    </row>
    <row r="29" spans="1:7" ht="14.25" x14ac:dyDescent="0.2">
      <c r="A29" s="465"/>
      <c r="B29" s="467"/>
      <c r="C29" s="467"/>
      <c r="D29" s="467"/>
      <c r="E29" s="467"/>
      <c r="F29" s="467"/>
      <c r="G29" s="470"/>
    </row>
    <row r="30" spans="1:7" ht="14.25" x14ac:dyDescent="0.2">
      <c r="A30" s="465" t="s">
        <v>159</v>
      </c>
      <c r="B30" s="467">
        <v>1783165104</v>
      </c>
      <c r="C30" s="467">
        <v>0</v>
      </c>
      <c r="D30" s="467">
        <v>0</v>
      </c>
      <c r="E30" s="467">
        <v>0</v>
      </c>
      <c r="F30" s="467">
        <f t="shared" si="0"/>
        <v>1783165104</v>
      </c>
      <c r="G30" s="470">
        <v>1631375086</v>
      </c>
    </row>
    <row r="31" spans="1:7" ht="14.25" x14ac:dyDescent="0.2">
      <c r="A31" s="465"/>
      <c r="B31" s="467"/>
      <c r="C31" s="467"/>
      <c r="D31" s="467"/>
      <c r="E31" s="467"/>
      <c r="F31" s="467"/>
      <c r="G31" s="470"/>
    </row>
    <row r="32" spans="1:7" ht="14.25" x14ac:dyDescent="0.2">
      <c r="A32" s="472" t="s">
        <v>133</v>
      </c>
      <c r="B32" s="467">
        <v>142705975</v>
      </c>
      <c r="C32" s="467">
        <v>0</v>
      </c>
      <c r="D32" s="467">
        <v>0</v>
      </c>
      <c r="E32" s="467">
        <v>0</v>
      </c>
      <c r="F32" s="467">
        <f t="shared" si="0"/>
        <v>142705975</v>
      </c>
      <c r="G32" s="470">
        <v>172332182</v>
      </c>
    </row>
    <row r="33" spans="1:15" ht="14.25" x14ac:dyDescent="0.2">
      <c r="A33" s="469"/>
      <c r="B33" s="467"/>
      <c r="C33" s="467"/>
      <c r="D33" s="467"/>
      <c r="E33" s="467"/>
      <c r="F33" s="467"/>
      <c r="G33" s="470"/>
    </row>
    <row r="34" spans="1:15" ht="14.25" x14ac:dyDescent="0.2">
      <c r="A34" s="472" t="s">
        <v>134</v>
      </c>
      <c r="B34" s="467">
        <v>2040000000</v>
      </c>
      <c r="C34" s="467">
        <v>0</v>
      </c>
      <c r="D34" s="467">
        <v>0</v>
      </c>
      <c r="E34" s="467">
        <v>0</v>
      </c>
      <c r="F34" s="467">
        <f t="shared" si="0"/>
        <v>2040000000</v>
      </c>
      <c r="G34" s="470">
        <v>1800000000</v>
      </c>
    </row>
    <row r="35" spans="1:15" ht="14.25" x14ac:dyDescent="0.2">
      <c r="A35" s="469"/>
      <c r="B35" s="467"/>
      <c r="C35" s="467"/>
      <c r="D35" s="467"/>
      <c r="E35" s="467"/>
      <c r="F35" s="467"/>
      <c r="G35" s="470"/>
    </row>
    <row r="36" spans="1:15" ht="14.25" x14ac:dyDescent="0.2">
      <c r="A36" s="472" t="s">
        <v>72</v>
      </c>
      <c r="B36" s="467">
        <v>2619087447</v>
      </c>
      <c r="C36" s="467">
        <v>2152347501</v>
      </c>
      <c r="D36" s="467">
        <v>0</v>
      </c>
      <c r="E36" s="467">
        <v>0</v>
      </c>
      <c r="F36" s="467">
        <f t="shared" si="0"/>
        <v>4771434948</v>
      </c>
      <c r="G36" s="470">
        <v>5197873951</v>
      </c>
    </row>
    <row r="37" spans="1:15" ht="14.25" x14ac:dyDescent="0.2">
      <c r="A37" s="472"/>
      <c r="B37" s="467"/>
      <c r="C37" s="467"/>
      <c r="D37" s="467"/>
      <c r="E37" s="467"/>
      <c r="F37" s="467"/>
      <c r="G37" s="473"/>
    </row>
    <row r="38" spans="1:15" ht="15" x14ac:dyDescent="0.25">
      <c r="A38" s="243" t="s">
        <v>310</v>
      </c>
      <c r="B38" s="474">
        <f>+SUM(B11:B37)</f>
        <v>15379955022</v>
      </c>
      <c r="C38" s="474">
        <f>+SUM(C11:C37)</f>
        <v>4331346792</v>
      </c>
      <c r="D38" s="474">
        <f>+SUM(D11:D37)</f>
        <v>2490225686</v>
      </c>
      <c r="E38" s="474">
        <f>+SUM(E11:E37)</f>
        <v>21463370</v>
      </c>
      <c r="F38" s="474">
        <f>+SUM(F11:F37)</f>
        <v>22222990870</v>
      </c>
      <c r="G38" s="474"/>
    </row>
    <row r="39" spans="1:15" s="7" customFormat="1" ht="18" x14ac:dyDescent="0.25">
      <c r="A39" s="243" t="s">
        <v>311</v>
      </c>
      <c r="B39" s="474">
        <v>15045901026</v>
      </c>
      <c r="C39" s="474">
        <v>4306040700</v>
      </c>
      <c r="D39" s="474">
        <v>3600159526</v>
      </c>
      <c r="E39" s="474">
        <v>220802296</v>
      </c>
      <c r="F39" s="475"/>
      <c r="G39" s="474">
        <f>+SUM(G12:G38)</f>
        <v>23174903548</v>
      </c>
      <c r="I39"/>
      <c r="J39"/>
      <c r="K39"/>
      <c r="L39"/>
      <c r="M39"/>
      <c r="N39"/>
      <c r="O39"/>
    </row>
    <row r="40" spans="1:15" x14ac:dyDescent="0.2">
      <c r="A40" s="5"/>
      <c r="G40" s="186"/>
    </row>
    <row r="41" spans="1:15" s="476" customFormat="1" ht="15" x14ac:dyDescent="0.2">
      <c r="A41" s="8" t="s">
        <v>98</v>
      </c>
      <c r="F41" s="477"/>
      <c r="G41" s="477"/>
      <c r="I41" s="477"/>
    </row>
    <row r="42" spans="1:15" x14ac:dyDescent="0.2">
      <c r="A42" s="5"/>
      <c r="D42" s="478"/>
      <c r="F42" s="478"/>
    </row>
    <row r="43" spans="1:15" x14ac:dyDescent="0.2">
      <c r="A43" s="5"/>
      <c r="B43" s="478"/>
      <c r="C43" s="478"/>
      <c r="F43" s="478"/>
    </row>
    <row r="44" spans="1:15" x14ac:dyDescent="0.2">
      <c r="A44" s="5"/>
      <c r="B44" s="478"/>
    </row>
    <row r="45" spans="1:15" x14ac:dyDescent="0.2">
      <c r="A45" s="368" t="s">
        <v>140</v>
      </c>
      <c r="C45" s="454" t="s">
        <v>158</v>
      </c>
      <c r="E45" s="454" t="s">
        <v>143</v>
      </c>
      <c r="F45" s="368"/>
      <c r="G45" s="410"/>
    </row>
    <row r="46" spans="1:15" x14ac:dyDescent="0.2">
      <c r="A46" s="368" t="s">
        <v>141</v>
      </c>
      <c r="C46" s="454" t="s">
        <v>130</v>
      </c>
      <c r="E46" s="454" t="s">
        <v>127</v>
      </c>
      <c r="F46" s="368"/>
      <c r="G46" s="410"/>
    </row>
    <row r="47" spans="1:15" ht="15" x14ac:dyDescent="0.25">
      <c r="A47" s="5"/>
      <c r="E47" s="799"/>
      <c r="F47" s="799"/>
    </row>
    <row r="48" spans="1:15" x14ac:dyDescent="0.2">
      <c r="A48" s="407"/>
    </row>
    <row r="49" spans="1:3" x14ac:dyDescent="0.2">
      <c r="A49" s="5"/>
    </row>
    <row r="50" spans="1:3" x14ac:dyDescent="0.2">
      <c r="A50" s="5"/>
    </row>
    <row r="51" spans="1:3" x14ac:dyDescent="0.2">
      <c r="A51" s="479"/>
    </row>
    <row r="52" spans="1:3" x14ac:dyDescent="0.2">
      <c r="A52" s="5"/>
    </row>
    <row r="53" spans="1:3" ht="15" x14ac:dyDescent="0.25">
      <c r="A53" s="5"/>
      <c r="C53" s="480"/>
    </row>
    <row r="54" spans="1:3" ht="15" x14ac:dyDescent="0.25">
      <c r="A54" s="5"/>
      <c r="C54" s="480"/>
    </row>
    <row r="55" spans="1:3" ht="15" x14ac:dyDescent="0.25">
      <c r="A55" s="5"/>
      <c r="C55" s="480"/>
    </row>
    <row r="56" spans="1:3" x14ac:dyDescent="0.2">
      <c r="A56" s="5"/>
    </row>
    <row r="57" spans="1:3" x14ac:dyDescent="0.2">
      <c r="A57" s="5"/>
    </row>
    <row r="58" spans="1:3" x14ac:dyDescent="0.2">
      <c r="A58" s="5"/>
    </row>
    <row r="59" spans="1:3" x14ac:dyDescent="0.2">
      <c r="A59" s="5"/>
    </row>
    <row r="60" spans="1:3" x14ac:dyDescent="0.2">
      <c r="A60" s="5"/>
    </row>
    <row r="61" spans="1:3" x14ac:dyDescent="0.2">
      <c r="A61" s="5"/>
    </row>
    <row r="62" spans="1:3" x14ac:dyDescent="0.2">
      <c r="A62" s="5"/>
    </row>
    <row r="63" spans="1:3" x14ac:dyDescent="0.2">
      <c r="A63" s="5"/>
    </row>
    <row r="64" spans="1:3" x14ac:dyDescent="0.2">
      <c r="A64" s="5"/>
    </row>
    <row r="65" spans="1:1" x14ac:dyDescent="0.2">
      <c r="A65" s="5"/>
    </row>
    <row r="66" spans="1:1" x14ac:dyDescent="0.2">
      <c r="A66" s="5"/>
    </row>
    <row r="67" spans="1:1" x14ac:dyDescent="0.2">
      <c r="A67" s="5"/>
    </row>
    <row r="68" spans="1:1" x14ac:dyDescent="0.2">
      <c r="A68" s="5"/>
    </row>
    <row r="69" spans="1:1" x14ac:dyDescent="0.2">
      <c r="A69" s="5"/>
    </row>
    <row r="70" spans="1:1" x14ac:dyDescent="0.2">
      <c r="A70" s="5"/>
    </row>
    <row r="71" spans="1:1" x14ac:dyDescent="0.2">
      <c r="A71" s="5"/>
    </row>
    <row r="72" spans="1:1" x14ac:dyDescent="0.2">
      <c r="A72" s="5"/>
    </row>
    <row r="73" spans="1:1" x14ac:dyDescent="0.2">
      <c r="A73" s="5"/>
    </row>
    <row r="74" spans="1:1" x14ac:dyDescent="0.2">
      <c r="A74" s="5"/>
    </row>
    <row r="75" spans="1:1" x14ac:dyDescent="0.2">
      <c r="A75" s="5"/>
    </row>
    <row r="76" spans="1:1" x14ac:dyDescent="0.2">
      <c r="A76" s="5"/>
    </row>
    <row r="77" spans="1:1" x14ac:dyDescent="0.2">
      <c r="A77" s="5"/>
    </row>
    <row r="78" spans="1:1" x14ac:dyDescent="0.2">
      <c r="A78" s="5"/>
    </row>
    <row r="79" spans="1:1" x14ac:dyDescent="0.2">
      <c r="A79" s="5"/>
    </row>
    <row r="80" spans="1:1" x14ac:dyDescent="0.2">
      <c r="A80" s="5"/>
    </row>
    <row r="81" spans="1:1" x14ac:dyDescent="0.2">
      <c r="A81" s="5"/>
    </row>
    <row r="82" spans="1:1" x14ac:dyDescent="0.2">
      <c r="A82" s="5"/>
    </row>
    <row r="83" spans="1:1" x14ac:dyDescent="0.2">
      <c r="A83" s="5"/>
    </row>
    <row r="84" spans="1:1" x14ac:dyDescent="0.2">
      <c r="A84" s="5"/>
    </row>
    <row r="85" spans="1:1" x14ac:dyDescent="0.2">
      <c r="A85" s="5"/>
    </row>
    <row r="86" spans="1:1" x14ac:dyDescent="0.2">
      <c r="A86" s="5"/>
    </row>
    <row r="87" spans="1:1" x14ac:dyDescent="0.2">
      <c r="A87" s="5"/>
    </row>
    <row r="88" spans="1:1" x14ac:dyDescent="0.2">
      <c r="A88" s="5"/>
    </row>
    <row r="89" spans="1:1" x14ac:dyDescent="0.2">
      <c r="A89" s="5"/>
    </row>
    <row r="90" spans="1:1" x14ac:dyDescent="0.2">
      <c r="A90" s="5"/>
    </row>
    <row r="91" spans="1:1" x14ac:dyDescent="0.2">
      <c r="A91" s="5"/>
    </row>
    <row r="92" spans="1:1" x14ac:dyDescent="0.2">
      <c r="A92" s="5"/>
    </row>
    <row r="93" spans="1:1" x14ac:dyDescent="0.2">
      <c r="A93" s="5"/>
    </row>
    <row r="94" spans="1:1" x14ac:dyDescent="0.2">
      <c r="A94" s="5"/>
    </row>
    <row r="95" spans="1:1" x14ac:dyDescent="0.2">
      <c r="A95" s="5"/>
    </row>
    <row r="96" spans="1:1" x14ac:dyDescent="0.2">
      <c r="A96" s="5"/>
    </row>
    <row r="97" spans="1:1" x14ac:dyDescent="0.2">
      <c r="A97" s="5"/>
    </row>
    <row r="98" spans="1:1" x14ac:dyDescent="0.2">
      <c r="A98" s="5"/>
    </row>
    <row r="99" spans="1:1" x14ac:dyDescent="0.2">
      <c r="A99" s="5"/>
    </row>
    <row r="100" spans="1:1" x14ac:dyDescent="0.2">
      <c r="A100" s="5"/>
    </row>
    <row r="101" spans="1:1" x14ac:dyDescent="0.2">
      <c r="A101" s="5"/>
    </row>
    <row r="102" spans="1:1" x14ac:dyDescent="0.2">
      <c r="A102" s="5"/>
    </row>
    <row r="103" spans="1:1" x14ac:dyDescent="0.2">
      <c r="A103" s="5"/>
    </row>
    <row r="104" spans="1:1" x14ac:dyDescent="0.2">
      <c r="A104" s="5"/>
    </row>
    <row r="105" spans="1:1" x14ac:dyDescent="0.2">
      <c r="A105" s="5"/>
    </row>
    <row r="106" spans="1:1" x14ac:dyDescent="0.2">
      <c r="A106" s="5"/>
    </row>
    <row r="107" spans="1:1" x14ac:dyDescent="0.2">
      <c r="A107" s="5"/>
    </row>
    <row r="108" spans="1:1" x14ac:dyDescent="0.2">
      <c r="A108" s="5"/>
    </row>
    <row r="109" spans="1:1" x14ac:dyDescent="0.2">
      <c r="A109" s="5"/>
    </row>
    <row r="110" spans="1:1" x14ac:dyDescent="0.2">
      <c r="A110" s="5"/>
    </row>
    <row r="111" spans="1:1" x14ac:dyDescent="0.2">
      <c r="A111" s="5"/>
    </row>
    <row r="112" spans="1:1" x14ac:dyDescent="0.2">
      <c r="A112" s="5"/>
    </row>
    <row r="113" spans="1:1" x14ac:dyDescent="0.2">
      <c r="A113" s="5"/>
    </row>
    <row r="114" spans="1:1" x14ac:dyDescent="0.2">
      <c r="A114" s="5"/>
    </row>
    <row r="115" spans="1:1" x14ac:dyDescent="0.2">
      <c r="A115" s="5"/>
    </row>
    <row r="116" spans="1:1" x14ac:dyDescent="0.2">
      <c r="A116" s="5"/>
    </row>
    <row r="117" spans="1:1" x14ac:dyDescent="0.2">
      <c r="A117" s="5"/>
    </row>
    <row r="118" spans="1:1" x14ac:dyDescent="0.2">
      <c r="A118" s="5"/>
    </row>
    <row r="119" spans="1:1" x14ac:dyDescent="0.2">
      <c r="A119" s="5"/>
    </row>
    <row r="120" spans="1:1" x14ac:dyDescent="0.2">
      <c r="A120" s="5"/>
    </row>
    <row r="121" spans="1:1" x14ac:dyDescent="0.2">
      <c r="A121" s="5"/>
    </row>
    <row r="122" spans="1:1" x14ac:dyDescent="0.2">
      <c r="A122" s="5"/>
    </row>
    <row r="123" spans="1:1" x14ac:dyDescent="0.2">
      <c r="A123" s="5"/>
    </row>
    <row r="124" spans="1:1" x14ac:dyDescent="0.2">
      <c r="A124" s="5"/>
    </row>
    <row r="125" spans="1:1" x14ac:dyDescent="0.2">
      <c r="A125" s="5"/>
    </row>
    <row r="126" spans="1:1" x14ac:dyDescent="0.2">
      <c r="A126" s="5"/>
    </row>
    <row r="127" spans="1:1" x14ac:dyDescent="0.2">
      <c r="A127" s="5"/>
    </row>
    <row r="128" spans="1:1" x14ac:dyDescent="0.2">
      <c r="A128" s="5"/>
    </row>
    <row r="129" spans="1:1" x14ac:dyDescent="0.2">
      <c r="A129" s="5"/>
    </row>
    <row r="130" spans="1:1" x14ac:dyDescent="0.2">
      <c r="A130" s="5"/>
    </row>
    <row r="131" spans="1:1" x14ac:dyDescent="0.2">
      <c r="A131" s="5"/>
    </row>
    <row r="132" spans="1:1" x14ac:dyDescent="0.2">
      <c r="A132" s="5"/>
    </row>
    <row r="133" spans="1:1" x14ac:dyDescent="0.2">
      <c r="A133" s="5"/>
    </row>
    <row r="134" spans="1:1" x14ac:dyDescent="0.2">
      <c r="A134" s="5"/>
    </row>
    <row r="135" spans="1:1" x14ac:dyDescent="0.2">
      <c r="A135" s="5"/>
    </row>
    <row r="136" spans="1:1" x14ac:dyDescent="0.2">
      <c r="A136" s="5"/>
    </row>
    <row r="137" spans="1:1" x14ac:dyDescent="0.2">
      <c r="A137" s="5"/>
    </row>
    <row r="138" spans="1:1" x14ac:dyDescent="0.2">
      <c r="A138" s="5"/>
    </row>
    <row r="139" spans="1:1" x14ac:dyDescent="0.2">
      <c r="A139" s="5"/>
    </row>
    <row r="140" spans="1:1" x14ac:dyDescent="0.2">
      <c r="A140" s="5"/>
    </row>
    <row r="141" spans="1:1" x14ac:dyDescent="0.2">
      <c r="A141" s="5"/>
    </row>
    <row r="142" spans="1:1" x14ac:dyDescent="0.2">
      <c r="A142" s="5"/>
    </row>
    <row r="143" spans="1:1" x14ac:dyDescent="0.2">
      <c r="A143" s="5"/>
    </row>
    <row r="144" spans="1:1" x14ac:dyDescent="0.2">
      <c r="A144" s="5"/>
    </row>
    <row r="145" spans="1:1" x14ac:dyDescent="0.2">
      <c r="A145" s="5"/>
    </row>
    <row r="146" spans="1:1" x14ac:dyDescent="0.2">
      <c r="A146" s="5"/>
    </row>
    <row r="147" spans="1:1" x14ac:dyDescent="0.2">
      <c r="A147" s="5"/>
    </row>
    <row r="148" spans="1:1" x14ac:dyDescent="0.2">
      <c r="A148" s="5"/>
    </row>
    <row r="149" spans="1:1" x14ac:dyDescent="0.2">
      <c r="A149" s="5"/>
    </row>
    <row r="150" spans="1:1" x14ac:dyDescent="0.2">
      <c r="A150" s="5"/>
    </row>
    <row r="151" spans="1:1" x14ac:dyDescent="0.2">
      <c r="A151" s="5"/>
    </row>
    <row r="152" spans="1:1" x14ac:dyDescent="0.2">
      <c r="A152" s="5"/>
    </row>
    <row r="153" spans="1:1" x14ac:dyDescent="0.2">
      <c r="A153" s="5"/>
    </row>
    <row r="154" spans="1:1" x14ac:dyDescent="0.2">
      <c r="A154" s="5"/>
    </row>
    <row r="155" spans="1:1" x14ac:dyDescent="0.2">
      <c r="A155" s="5"/>
    </row>
    <row r="156" spans="1:1" x14ac:dyDescent="0.2">
      <c r="A156" s="5"/>
    </row>
    <row r="157" spans="1:1" x14ac:dyDescent="0.2">
      <c r="A157" s="5"/>
    </row>
    <row r="158" spans="1:1" x14ac:dyDescent="0.2">
      <c r="A158" s="5"/>
    </row>
    <row r="159" spans="1:1" x14ac:dyDescent="0.2">
      <c r="A159" s="5"/>
    </row>
    <row r="160" spans="1:1" x14ac:dyDescent="0.2">
      <c r="A160" s="5"/>
    </row>
    <row r="161" spans="1:1" x14ac:dyDescent="0.2">
      <c r="A161" s="5"/>
    </row>
    <row r="162" spans="1:1" x14ac:dyDescent="0.2">
      <c r="A162" s="5"/>
    </row>
    <row r="163" spans="1:1" x14ac:dyDescent="0.2">
      <c r="A163" s="5"/>
    </row>
    <row r="164" spans="1:1" x14ac:dyDescent="0.2">
      <c r="A164" s="5"/>
    </row>
    <row r="165" spans="1:1" x14ac:dyDescent="0.2">
      <c r="A165" s="5"/>
    </row>
    <row r="166" spans="1:1" x14ac:dyDescent="0.2">
      <c r="A166" s="5"/>
    </row>
    <row r="167" spans="1:1" x14ac:dyDescent="0.2">
      <c r="A167" s="5"/>
    </row>
    <row r="168" spans="1:1" x14ac:dyDescent="0.2">
      <c r="A168" s="5"/>
    </row>
    <row r="169" spans="1:1" x14ac:dyDescent="0.2">
      <c r="A169" s="5"/>
    </row>
    <row r="170" spans="1:1" x14ac:dyDescent="0.2">
      <c r="A170" s="5"/>
    </row>
    <row r="171" spans="1:1" x14ac:dyDescent="0.2">
      <c r="A171" s="5"/>
    </row>
    <row r="172" spans="1:1" x14ac:dyDescent="0.2">
      <c r="A172" s="5"/>
    </row>
    <row r="173" spans="1:1" x14ac:dyDescent="0.2">
      <c r="A173" s="5"/>
    </row>
    <row r="174" spans="1:1" x14ac:dyDescent="0.2">
      <c r="A174" s="5"/>
    </row>
    <row r="175" spans="1:1" x14ac:dyDescent="0.2">
      <c r="A175" s="5"/>
    </row>
    <row r="176" spans="1:1" x14ac:dyDescent="0.2">
      <c r="A176" s="5"/>
    </row>
    <row r="177" spans="1:1" x14ac:dyDescent="0.2">
      <c r="A177" s="5"/>
    </row>
    <row r="178" spans="1:1" x14ac:dyDescent="0.2">
      <c r="A178" s="5"/>
    </row>
    <row r="179" spans="1:1" x14ac:dyDescent="0.2">
      <c r="A179" s="5"/>
    </row>
    <row r="180" spans="1:1" x14ac:dyDescent="0.2">
      <c r="A180" s="5"/>
    </row>
    <row r="181" spans="1:1" x14ac:dyDescent="0.2">
      <c r="A181" s="5"/>
    </row>
    <row r="182" spans="1:1" x14ac:dyDescent="0.2">
      <c r="A182" s="5"/>
    </row>
    <row r="183" spans="1:1" x14ac:dyDescent="0.2">
      <c r="A183" s="5"/>
    </row>
    <row r="184" spans="1:1" x14ac:dyDescent="0.2">
      <c r="A184" s="5"/>
    </row>
    <row r="185" spans="1:1" x14ac:dyDescent="0.2">
      <c r="A185" s="5"/>
    </row>
    <row r="186" spans="1:1" x14ac:dyDescent="0.2">
      <c r="A186" s="5"/>
    </row>
    <row r="187" spans="1:1" x14ac:dyDescent="0.2">
      <c r="A187" s="5"/>
    </row>
    <row r="188" spans="1:1" x14ac:dyDescent="0.2">
      <c r="A188" s="5"/>
    </row>
    <row r="189" spans="1:1" x14ac:dyDescent="0.2">
      <c r="A189" s="5"/>
    </row>
    <row r="190" spans="1:1" x14ac:dyDescent="0.2">
      <c r="A190" s="5"/>
    </row>
    <row r="191" spans="1:1" x14ac:dyDescent="0.2">
      <c r="A191" s="5"/>
    </row>
    <row r="192" spans="1:1" x14ac:dyDescent="0.2">
      <c r="A192" s="5"/>
    </row>
    <row r="193" spans="1:1" x14ac:dyDescent="0.2">
      <c r="A193" s="5"/>
    </row>
    <row r="194" spans="1:1" x14ac:dyDescent="0.2">
      <c r="A194" s="5"/>
    </row>
    <row r="195" spans="1:1" x14ac:dyDescent="0.2">
      <c r="A195" s="5"/>
    </row>
    <row r="196" spans="1:1" x14ac:dyDescent="0.2">
      <c r="A196" s="5"/>
    </row>
    <row r="197" spans="1:1" x14ac:dyDescent="0.2">
      <c r="A197" s="5"/>
    </row>
    <row r="198" spans="1:1" x14ac:dyDescent="0.2">
      <c r="A198" s="5"/>
    </row>
    <row r="199" spans="1:1" x14ac:dyDescent="0.2">
      <c r="A199" s="5"/>
    </row>
    <row r="200" spans="1:1" x14ac:dyDescent="0.2">
      <c r="A200" s="5"/>
    </row>
  </sheetData>
  <mergeCells count="6">
    <mergeCell ref="E47:F47"/>
    <mergeCell ref="A3:G3"/>
    <mergeCell ref="B9:B10"/>
    <mergeCell ref="C9:C10"/>
    <mergeCell ref="D9:D10"/>
    <mergeCell ref="E9:E10"/>
  </mergeCells>
  <printOptions gridLinesSet="0"/>
  <pageMargins left="1.299212598425197" right="1.4566929133858268" top="1.3779527559055118" bottom="0.98425196850393704" header="0.51181102362204722" footer="1.1023622047244095"/>
  <pageSetup paperSize="9" scale="50" orientation="landscape" r:id="rId1"/>
  <headerFooter alignWithMargins="0">
    <oddFooter>&amp;C22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06792-19DC-4FA7-BCBA-A7E6768C280C}">
  <sheetPr>
    <tabColor rgb="FFFF0000"/>
  </sheetPr>
  <dimension ref="A6:M37"/>
  <sheetViews>
    <sheetView showGridLines="0" zoomScaleNormal="100" workbookViewId="0">
      <selection activeCell="B17" sqref="B17"/>
    </sheetView>
  </sheetViews>
  <sheetFormatPr baseColWidth="10" defaultColWidth="11.42578125" defaultRowHeight="12.75" x14ac:dyDescent="0.2"/>
  <cols>
    <col min="1" max="1" width="39.7109375" style="208" customWidth="1"/>
    <col min="2" max="2" width="23.140625" style="208" customWidth="1"/>
    <col min="3" max="3" width="20.85546875" style="208" customWidth="1"/>
    <col min="4" max="4" width="21.42578125" style="208" customWidth="1"/>
    <col min="5" max="5" width="11.42578125" style="208"/>
    <col min="6" max="6" width="18.42578125" style="208" bestFit="1" customWidth="1"/>
    <col min="7" max="16384" width="11.42578125" style="208"/>
  </cols>
  <sheetData>
    <row r="6" spans="1:7" s="319" customFormat="1" ht="15" x14ac:dyDescent="0.25">
      <c r="A6" s="802" t="s">
        <v>445</v>
      </c>
      <c r="B6" s="802"/>
      <c r="C6" s="802"/>
    </row>
    <row r="7" spans="1:7" s="319" customFormat="1" ht="15" x14ac:dyDescent="0.25">
      <c r="A7" s="768" t="s">
        <v>329</v>
      </c>
      <c r="B7" s="768"/>
      <c r="C7" s="768"/>
      <c r="D7" s="740"/>
      <c r="E7" s="740"/>
      <c r="F7" s="740"/>
      <c r="G7" s="740"/>
    </row>
    <row r="8" spans="1:7" s="319" customFormat="1" ht="15" x14ac:dyDescent="0.25">
      <c r="A8" s="802" t="s">
        <v>73</v>
      </c>
      <c r="B8" s="802"/>
      <c r="C8" s="802"/>
    </row>
    <row r="9" spans="1:7" s="307" customFormat="1" ht="15.75" x14ac:dyDescent="0.25">
      <c r="A9" s="320"/>
      <c r="B9" s="320"/>
      <c r="C9" s="320"/>
    </row>
    <row r="10" spans="1:7" s="307" customFormat="1" ht="15.75" x14ac:dyDescent="0.25">
      <c r="A10" s="320"/>
      <c r="B10" s="320"/>
      <c r="C10" s="208"/>
    </row>
    <row r="11" spans="1:7" s="310" customFormat="1" ht="16.5" x14ac:dyDescent="0.25">
      <c r="A11" s="312"/>
      <c r="B11" s="312"/>
      <c r="C11" s="321" t="s">
        <v>74</v>
      </c>
    </row>
    <row r="12" spans="1:7" s="310" customFormat="1" ht="16.5" x14ac:dyDescent="0.25">
      <c r="A12" s="312"/>
      <c r="B12" s="312"/>
      <c r="C12" s="322"/>
    </row>
    <row r="13" spans="1:7" x14ac:dyDescent="0.2">
      <c r="A13" s="323" t="s">
        <v>75</v>
      </c>
      <c r="B13" s="324" t="s">
        <v>100</v>
      </c>
      <c r="C13" s="325"/>
    </row>
    <row r="14" spans="1:7" x14ac:dyDescent="0.2">
      <c r="A14" s="326"/>
      <c r="B14" s="327">
        <v>43555</v>
      </c>
      <c r="C14" s="327">
        <v>43190</v>
      </c>
      <c r="E14" s="328"/>
    </row>
    <row r="15" spans="1:7" x14ac:dyDescent="0.2">
      <c r="A15" s="329"/>
      <c r="B15" s="330"/>
      <c r="C15" s="402"/>
      <c r="D15" s="331"/>
      <c r="E15" s="328"/>
    </row>
    <row r="16" spans="1:7" x14ac:dyDescent="0.2">
      <c r="A16" s="301" t="s">
        <v>148</v>
      </c>
      <c r="B16" s="74">
        <v>53817268</v>
      </c>
      <c r="C16" s="403">
        <v>58177290</v>
      </c>
      <c r="D16" s="179"/>
      <c r="E16" s="191"/>
    </row>
    <row r="17" spans="1:13" x14ac:dyDescent="0.2">
      <c r="A17" s="214"/>
      <c r="B17" s="74"/>
      <c r="C17" s="403"/>
      <c r="D17" s="334"/>
      <c r="E17" s="191"/>
    </row>
    <row r="18" spans="1:13" x14ac:dyDescent="0.2">
      <c r="A18" s="214" t="s">
        <v>76</v>
      </c>
      <c r="B18" s="212">
        <v>224</v>
      </c>
      <c r="C18" s="405">
        <v>217</v>
      </c>
      <c r="E18" s="191"/>
    </row>
    <row r="19" spans="1:13" x14ac:dyDescent="0.2">
      <c r="A19" s="214"/>
      <c r="B19" s="74"/>
      <c r="C19" s="403"/>
      <c r="E19" s="191"/>
    </row>
    <row r="20" spans="1:13" x14ac:dyDescent="0.2">
      <c r="A20" s="301" t="s">
        <v>149</v>
      </c>
      <c r="B20" s="74">
        <v>57233</v>
      </c>
      <c r="C20" s="403">
        <v>74033</v>
      </c>
      <c r="E20" s="191"/>
      <c r="F20" s="66"/>
    </row>
    <row r="21" spans="1:13" x14ac:dyDescent="0.2">
      <c r="A21" s="214"/>
      <c r="B21" s="74"/>
      <c r="C21" s="403"/>
      <c r="E21" s="191"/>
    </row>
    <row r="22" spans="1:13" x14ac:dyDescent="0.2">
      <c r="A22" s="240" t="s">
        <v>139</v>
      </c>
      <c r="B22" s="213">
        <v>5</v>
      </c>
      <c r="C22" s="404">
        <v>5</v>
      </c>
      <c r="D22" s="239"/>
    </row>
    <row r="24" spans="1:13" x14ac:dyDescent="0.2">
      <c r="A24" s="332" t="s">
        <v>165</v>
      </c>
    </row>
    <row r="25" spans="1:13" x14ac:dyDescent="0.2">
      <c r="A25" s="332"/>
    </row>
    <row r="26" spans="1:13" x14ac:dyDescent="0.2">
      <c r="A26" s="332"/>
    </row>
    <row r="28" spans="1:13" s="669" customFormat="1" x14ac:dyDescent="0.2">
      <c r="A28" s="368" t="s">
        <v>321</v>
      </c>
      <c r="B28" s="772" t="s">
        <v>322</v>
      </c>
      <c r="C28" s="772"/>
      <c r="D28" s="668" t="s">
        <v>436</v>
      </c>
      <c r="E28" s="668"/>
      <c r="I28" s="773"/>
      <c r="J28" s="773"/>
      <c r="K28" s="773"/>
      <c r="L28" s="773"/>
      <c r="M28" s="773"/>
    </row>
    <row r="29" spans="1:13" s="669" customFormat="1" x14ac:dyDescent="0.2">
      <c r="A29" s="368" t="s">
        <v>141</v>
      </c>
      <c r="B29" s="772" t="s">
        <v>437</v>
      </c>
      <c r="C29" s="772"/>
      <c r="D29" s="668" t="s">
        <v>144</v>
      </c>
      <c r="E29" s="668"/>
      <c r="I29" s="773"/>
      <c r="J29" s="773"/>
      <c r="K29" s="773"/>
      <c r="L29" s="773"/>
      <c r="M29" s="773"/>
    </row>
    <row r="32" spans="1:13" x14ac:dyDescent="0.2">
      <c r="A32" s="209"/>
    </row>
    <row r="33" spans="1:11" s="304" customFormat="1" ht="15" x14ac:dyDescent="0.2">
      <c r="A33" s="333"/>
      <c r="J33" s="215"/>
      <c r="K33" s="215"/>
    </row>
    <row r="34" spans="1:11" x14ac:dyDescent="0.2">
      <c r="C34" s="189"/>
      <c r="D34" s="189"/>
    </row>
    <row r="35" spans="1:11" x14ac:dyDescent="0.2">
      <c r="C35" s="189"/>
      <c r="D35" s="189"/>
    </row>
    <row r="37" spans="1:11" x14ac:dyDescent="0.2">
      <c r="A37" s="188"/>
    </row>
  </sheetData>
  <mergeCells count="7">
    <mergeCell ref="B29:C29"/>
    <mergeCell ref="I29:M29"/>
    <mergeCell ref="A7:C7"/>
    <mergeCell ref="A6:C6"/>
    <mergeCell ref="A8:C8"/>
    <mergeCell ref="B28:C28"/>
    <mergeCell ref="I28:M28"/>
  </mergeCells>
  <printOptions gridLinesSet="0"/>
  <pageMargins left="0.98425196850393704" right="0.78740157480314965" top="1.9685039370078741" bottom="1.1811023622047245" header="0.51181102362204722" footer="1.1023622047244095"/>
  <pageSetup orientation="portrait" r:id="rId1"/>
  <headerFooter alignWithMargins="0">
    <oddFooter>&amp;C23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P47"/>
  <sheetViews>
    <sheetView showGridLines="0" zoomScaleNormal="100" workbookViewId="0">
      <selection activeCell="E20" sqref="E20:F20"/>
    </sheetView>
  </sheetViews>
  <sheetFormatPr baseColWidth="10" defaultColWidth="11.42578125" defaultRowHeight="12.75" x14ac:dyDescent="0.2"/>
  <cols>
    <col min="1" max="1" width="24.7109375" style="67" customWidth="1"/>
    <col min="2" max="2" width="18.140625" style="67" customWidth="1"/>
    <col min="3" max="3" width="3.28515625" style="67" customWidth="1"/>
    <col min="4" max="4" width="6" style="67" customWidth="1"/>
    <col min="5" max="5" width="19.5703125" style="67" bestFit="1" customWidth="1"/>
    <col min="6" max="6" width="6" style="67" customWidth="1"/>
    <col min="7" max="7" width="19.7109375" style="67" customWidth="1"/>
    <col min="8" max="8" width="4.140625" style="67" customWidth="1"/>
    <col min="9" max="9" width="3" style="67" customWidth="1"/>
    <col min="10" max="10" width="17.42578125" style="67" bestFit="1" customWidth="1"/>
    <col min="11" max="11" width="3.85546875" style="67" customWidth="1"/>
    <col min="12" max="12" width="7.42578125" style="67" customWidth="1"/>
    <col min="13" max="16384" width="11.42578125" style="67"/>
  </cols>
  <sheetData>
    <row r="1" spans="1:10" s="84" customFormat="1" ht="15" x14ac:dyDescent="0.25">
      <c r="A1" s="803" t="s">
        <v>324</v>
      </c>
      <c r="B1" s="803"/>
      <c r="C1" s="803"/>
      <c r="D1" s="803"/>
      <c r="E1" s="803"/>
      <c r="F1" s="803"/>
      <c r="G1" s="803"/>
      <c r="H1" s="803"/>
    </row>
    <row r="2" spans="1:10" s="196" customFormat="1" ht="16.5" x14ac:dyDescent="0.25">
      <c r="A2" s="755" t="s">
        <v>325</v>
      </c>
      <c r="B2" s="788"/>
      <c r="C2" s="788"/>
      <c r="D2" s="788"/>
      <c r="E2" s="788"/>
      <c r="F2" s="755"/>
      <c r="G2" s="788"/>
    </row>
    <row r="3" spans="1:10" s="84" customFormat="1" ht="15" x14ac:dyDescent="0.25">
      <c r="A3" s="803" t="s">
        <v>9</v>
      </c>
      <c r="B3" s="803"/>
      <c r="C3" s="803"/>
      <c r="D3" s="803"/>
      <c r="E3" s="803"/>
      <c r="F3" s="803"/>
      <c r="G3" s="803"/>
      <c r="H3" s="803"/>
    </row>
    <row r="4" spans="1:10" s="84" customFormat="1" ht="15" x14ac:dyDescent="0.25">
      <c r="A4" s="121"/>
      <c r="B4" s="121"/>
      <c r="C4" s="121"/>
      <c r="D4" s="121"/>
      <c r="E4" s="121"/>
      <c r="F4" s="121"/>
      <c r="G4" s="121"/>
      <c r="H4" s="121"/>
    </row>
    <row r="5" spans="1:10" s="84" customFormat="1" ht="15" x14ac:dyDescent="0.25">
      <c r="A5" s="803" t="s">
        <v>77</v>
      </c>
      <c r="B5" s="803"/>
      <c r="C5" s="803"/>
      <c r="D5" s="803"/>
      <c r="E5" s="803"/>
      <c r="F5" s="803"/>
      <c r="G5" s="803"/>
      <c r="H5" s="803"/>
    </row>
    <row r="6" spans="1:10" s="86" customFormat="1" ht="15.75" x14ac:dyDescent="0.25">
      <c r="A6" s="122"/>
      <c r="B6" s="122"/>
      <c r="C6" s="122"/>
      <c r="D6" s="122"/>
      <c r="E6" s="122"/>
      <c r="F6" s="122"/>
      <c r="G6" s="122"/>
      <c r="H6" s="122"/>
    </row>
    <row r="7" spans="1:10" s="86" customFormat="1" ht="15.75" x14ac:dyDescent="0.25">
      <c r="A7" s="122"/>
      <c r="B7" s="122"/>
      <c r="C7" s="122"/>
      <c r="D7" s="122"/>
      <c r="E7" s="122"/>
      <c r="F7" s="122"/>
      <c r="G7" s="122"/>
      <c r="H7" s="67"/>
    </row>
    <row r="8" spans="1:10" s="87" customFormat="1" ht="16.5" x14ac:dyDescent="0.25">
      <c r="A8" s="123"/>
      <c r="B8" s="123"/>
      <c r="C8" s="123"/>
      <c r="D8" s="123"/>
      <c r="E8" s="123"/>
      <c r="F8" s="123"/>
      <c r="G8" s="123"/>
      <c r="H8" s="124" t="s">
        <v>78</v>
      </c>
    </row>
    <row r="9" spans="1:10" x14ac:dyDescent="0.2">
      <c r="A9" s="96"/>
      <c r="B9" s="96"/>
      <c r="C9" s="96"/>
      <c r="D9" s="96"/>
      <c r="E9" s="96"/>
      <c r="F9" s="96"/>
      <c r="G9" s="96"/>
      <c r="H9" s="96"/>
    </row>
    <row r="10" spans="1:10" x14ac:dyDescent="0.2">
      <c r="A10" s="125"/>
      <c r="B10" s="149"/>
      <c r="C10" s="149"/>
      <c r="D10" s="126"/>
      <c r="E10" s="806" t="s">
        <v>100</v>
      </c>
      <c r="F10" s="807"/>
      <c r="G10" s="807"/>
      <c r="H10" s="808"/>
    </row>
    <row r="11" spans="1:10" x14ac:dyDescent="0.2">
      <c r="A11" s="127" t="s">
        <v>75</v>
      </c>
      <c r="B11" s="128"/>
      <c r="C11" s="128"/>
      <c r="D11" s="128"/>
      <c r="E11" s="804">
        <v>43555</v>
      </c>
      <c r="F11" s="805"/>
      <c r="G11" s="804">
        <v>43465</v>
      </c>
      <c r="H11" s="805"/>
      <c r="J11" s="129"/>
    </row>
    <row r="12" spans="1:10" x14ac:dyDescent="0.2">
      <c r="A12" s="95"/>
      <c r="B12" s="53"/>
      <c r="C12" s="53"/>
      <c r="D12" s="53"/>
      <c r="E12" s="130"/>
      <c r="F12" s="131"/>
      <c r="G12" s="88"/>
      <c r="H12" s="132"/>
      <c r="J12" s="88"/>
    </row>
    <row r="13" spans="1:10" x14ac:dyDescent="0.2">
      <c r="A13" s="89"/>
      <c r="B13" s="53"/>
      <c r="C13" s="53"/>
      <c r="D13" s="53"/>
      <c r="E13" s="130"/>
      <c r="F13" s="132"/>
      <c r="G13" s="88"/>
      <c r="H13" s="132"/>
      <c r="J13" s="88"/>
    </row>
    <row r="14" spans="1:10" x14ac:dyDescent="0.2">
      <c r="A14" s="89" t="s">
        <v>79</v>
      </c>
      <c r="B14" s="53"/>
      <c r="C14" s="53"/>
      <c r="D14" s="53"/>
      <c r="E14" s="814">
        <f>E27/E28</f>
        <v>2.7318195519675559</v>
      </c>
      <c r="F14" s="815"/>
      <c r="G14" s="809">
        <v>3.22</v>
      </c>
      <c r="H14" s="810"/>
      <c r="J14" s="133"/>
    </row>
    <row r="15" spans="1:10" x14ac:dyDescent="0.2">
      <c r="A15" s="89"/>
      <c r="B15" s="53"/>
      <c r="C15" s="53"/>
      <c r="D15" s="53"/>
      <c r="E15" s="814"/>
      <c r="F15" s="815"/>
      <c r="G15" s="814"/>
      <c r="H15" s="815"/>
      <c r="J15" s="133"/>
    </row>
    <row r="16" spans="1:10" x14ac:dyDescent="0.2">
      <c r="A16" s="89"/>
      <c r="B16" s="53"/>
      <c r="C16" s="53"/>
      <c r="D16" s="53"/>
      <c r="E16" s="814"/>
      <c r="F16" s="815"/>
      <c r="G16" s="814"/>
      <c r="H16" s="815"/>
      <c r="J16" s="133"/>
    </row>
    <row r="17" spans="1:10" x14ac:dyDescent="0.2">
      <c r="A17" s="89" t="s">
        <v>80</v>
      </c>
      <c r="B17" s="53"/>
      <c r="C17" s="53"/>
      <c r="D17" s="53"/>
      <c r="E17" s="813">
        <f>E31/E32</f>
        <v>0.34375897770780106</v>
      </c>
      <c r="F17" s="812"/>
      <c r="G17" s="809">
        <v>0.27</v>
      </c>
      <c r="H17" s="810"/>
      <c r="J17" s="133"/>
    </row>
    <row r="18" spans="1:10" x14ac:dyDescent="0.2">
      <c r="A18" s="89"/>
      <c r="B18" s="53"/>
      <c r="C18" s="53"/>
      <c r="D18" s="53"/>
      <c r="E18" s="814"/>
      <c r="F18" s="815"/>
      <c r="G18" s="814"/>
      <c r="H18" s="815"/>
      <c r="J18" s="133"/>
    </row>
    <row r="19" spans="1:10" x14ac:dyDescent="0.2">
      <c r="A19" s="89"/>
      <c r="B19" s="53"/>
      <c r="C19" s="53"/>
      <c r="D19" s="53"/>
      <c r="E19" s="814"/>
      <c r="F19" s="815"/>
      <c r="G19" s="814"/>
      <c r="H19" s="815"/>
      <c r="J19" s="133"/>
    </row>
    <row r="20" spans="1:10" x14ac:dyDescent="0.2">
      <c r="A20" s="89" t="s">
        <v>448</v>
      </c>
      <c r="B20" s="53"/>
      <c r="C20" s="53"/>
      <c r="D20" s="53"/>
      <c r="E20" s="811" t="s">
        <v>447</v>
      </c>
      <c r="F20" s="812"/>
      <c r="G20" s="811" t="s">
        <v>447</v>
      </c>
      <c r="H20" s="812"/>
      <c r="J20" s="133"/>
    </row>
    <row r="21" spans="1:10" x14ac:dyDescent="0.2">
      <c r="A21" s="89"/>
      <c r="B21" s="53"/>
      <c r="C21" s="53"/>
      <c r="D21" s="53"/>
      <c r="E21" s="134"/>
      <c r="F21" s="135"/>
      <c r="G21" s="136"/>
      <c r="H21" s="137"/>
    </row>
    <row r="22" spans="1:10" x14ac:dyDescent="0.2">
      <c r="A22" s="109"/>
      <c r="B22" s="110"/>
      <c r="C22" s="110"/>
      <c r="D22" s="110"/>
      <c r="E22" s="138"/>
      <c r="F22" s="139"/>
      <c r="G22" s="140"/>
      <c r="H22" s="139"/>
    </row>
    <row r="26" spans="1:10" x14ac:dyDescent="0.2">
      <c r="E26" s="53"/>
      <c r="F26" s="53"/>
      <c r="G26" s="53"/>
      <c r="H26" s="53"/>
    </row>
    <row r="27" spans="1:10" x14ac:dyDescent="0.2">
      <c r="A27" s="82" t="s">
        <v>150</v>
      </c>
      <c r="C27" s="53"/>
      <c r="D27" s="53"/>
      <c r="E27" s="645">
        <f>+BG!C14</f>
        <v>121293385488</v>
      </c>
      <c r="F27" s="81">
        <f>+E27/E28</f>
        <v>2.7318195519675559</v>
      </c>
      <c r="G27" s="63"/>
      <c r="H27" s="61"/>
      <c r="J27" s="113"/>
    </row>
    <row r="28" spans="1:10" x14ac:dyDescent="0.2">
      <c r="A28" s="67" t="s">
        <v>81</v>
      </c>
      <c r="C28" s="53"/>
      <c r="D28" s="53"/>
      <c r="E28" s="141">
        <f>+BG!G14</f>
        <v>44400218675</v>
      </c>
      <c r="F28" s="63"/>
      <c r="G28" s="54"/>
      <c r="H28" s="53"/>
      <c r="J28" s="646"/>
    </row>
    <row r="29" spans="1:10" x14ac:dyDescent="0.2">
      <c r="E29" s="54"/>
      <c r="F29" s="54"/>
      <c r="G29" s="53"/>
      <c r="H29" s="53"/>
      <c r="J29" s="647"/>
    </row>
    <row r="30" spans="1:10" x14ac:dyDescent="0.2">
      <c r="E30" s="53"/>
      <c r="F30" s="53"/>
      <c r="G30" s="53"/>
      <c r="H30" s="53"/>
    </row>
    <row r="31" spans="1:10" x14ac:dyDescent="0.2">
      <c r="A31" s="80" t="s">
        <v>151</v>
      </c>
      <c r="E31" s="645">
        <f>+BG!G19</f>
        <v>44400218675</v>
      </c>
      <c r="F31" s="81">
        <f>+E31/E32</f>
        <v>0.34375897770780106</v>
      </c>
      <c r="G31" s="54"/>
      <c r="H31" s="60"/>
    </row>
    <row r="32" spans="1:10" x14ac:dyDescent="0.2">
      <c r="A32" s="80" t="s">
        <v>124</v>
      </c>
      <c r="E32" s="141">
        <f>+BG!G23</f>
        <v>129160899218</v>
      </c>
      <c r="F32" s="53"/>
      <c r="G32" s="54"/>
      <c r="H32" s="53"/>
      <c r="J32" s="644"/>
    </row>
    <row r="33" spans="1:16" x14ac:dyDescent="0.2">
      <c r="E33" s="53"/>
      <c r="F33" s="53"/>
      <c r="G33" s="53"/>
      <c r="H33" s="53"/>
    </row>
    <row r="34" spans="1:16" x14ac:dyDescent="0.2">
      <c r="E34" s="53"/>
      <c r="F34" s="53"/>
      <c r="G34" s="53"/>
      <c r="H34" s="53"/>
    </row>
    <row r="35" spans="1:16" x14ac:dyDescent="0.2">
      <c r="A35" s="82" t="s">
        <v>152</v>
      </c>
      <c r="B35" s="82"/>
      <c r="C35" s="142"/>
      <c r="D35" s="142"/>
      <c r="E35" s="645">
        <f>+ER!I27</f>
        <v>2159233955</v>
      </c>
      <c r="F35" s="81">
        <f>+E35/E36</f>
        <v>1.6909829659619669E-2</v>
      </c>
      <c r="G35" s="54"/>
      <c r="H35" s="60"/>
    </row>
    <row r="36" spans="1:16" x14ac:dyDescent="0.2">
      <c r="A36" s="82" t="s">
        <v>125</v>
      </c>
      <c r="E36" s="141">
        <f>+BG!G23-1469846235</f>
        <v>127691052983</v>
      </c>
      <c r="F36" s="53"/>
      <c r="G36" s="54"/>
      <c r="H36" s="53"/>
    </row>
    <row r="37" spans="1:16" s="91" customFormat="1" ht="15" x14ac:dyDescent="0.2">
      <c r="A37" s="67"/>
      <c r="E37" s="179"/>
      <c r="G37" s="179"/>
      <c r="O37" s="92"/>
      <c r="P37" s="92"/>
    </row>
    <row r="38" spans="1:16" x14ac:dyDescent="0.2">
      <c r="E38" s="114"/>
      <c r="G38" s="114"/>
    </row>
    <row r="39" spans="1:16" x14ac:dyDescent="0.2">
      <c r="A39" s="90" t="s">
        <v>98</v>
      </c>
    </row>
    <row r="40" spans="1:16" ht="14.25" x14ac:dyDescent="0.2">
      <c r="A40" s="93"/>
    </row>
    <row r="41" spans="1:16" ht="18" x14ac:dyDescent="0.25">
      <c r="A41" s="143"/>
      <c r="B41" s="143"/>
      <c r="C41" s="143"/>
      <c r="D41" s="143"/>
      <c r="E41" s="143"/>
      <c r="F41" s="143"/>
      <c r="G41" s="143"/>
      <c r="H41" s="143"/>
    </row>
    <row r="43" spans="1:16" x14ac:dyDescent="0.2">
      <c r="G43" s="757"/>
      <c r="H43" s="757"/>
    </row>
    <row r="44" spans="1:16" s="669" customFormat="1" x14ac:dyDescent="0.2">
      <c r="A44" s="368" t="s">
        <v>321</v>
      </c>
      <c r="B44" s="772" t="s">
        <v>322</v>
      </c>
      <c r="C44" s="772"/>
      <c r="E44" s="668" t="s">
        <v>436</v>
      </c>
      <c r="I44" s="773"/>
      <c r="J44" s="773"/>
      <c r="K44" s="773"/>
      <c r="L44" s="773"/>
      <c r="M44" s="773"/>
    </row>
    <row r="45" spans="1:16" s="669" customFormat="1" x14ac:dyDescent="0.2">
      <c r="A45" s="368" t="s">
        <v>141</v>
      </c>
      <c r="B45" s="772" t="s">
        <v>437</v>
      </c>
      <c r="C45" s="772"/>
      <c r="E45" s="668" t="s">
        <v>144</v>
      </c>
      <c r="I45" s="773"/>
      <c r="J45" s="773"/>
      <c r="K45" s="773"/>
      <c r="L45" s="773"/>
      <c r="M45" s="773"/>
    </row>
    <row r="47" spans="1:16" x14ac:dyDescent="0.2">
      <c r="A47" s="62"/>
    </row>
  </sheetData>
  <mergeCells count="26">
    <mergeCell ref="B44:C44"/>
    <mergeCell ref="I44:M44"/>
    <mergeCell ref="B45:C45"/>
    <mergeCell ref="I45:M45"/>
    <mergeCell ref="A2:G2"/>
    <mergeCell ref="E19:F19"/>
    <mergeCell ref="G19:H19"/>
    <mergeCell ref="G18:H18"/>
    <mergeCell ref="G16:H16"/>
    <mergeCell ref="G15:H15"/>
    <mergeCell ref="A1:H1"/>
    <mergeCell ref="A3:H3"/>
    <mergeCell ref="A5:H5"/>
    <mergeCell ref="G43:H43"/>
    <mergeCell ref="E11:F11"/>
    <mergeCell ref="E10:H10"/>
    <mergeCell ref="G11:H11"/>
    <mergeCell ref="G14:H14"/>
    <mergeCell ref="G17:H17"/>
    <mergeCell ref="G20:H20"/>
    <mergeCell ref="E20:F20"/>
    <mergeCell ref="E17:F17"/>
    <mergeCell ref="E14:F14"/>
    <mergeCell ref="E16:F16"/>
    <mergeCell ref="E15:F15"/>
    <mergeCell ref="E18:F18"/>
  </mergeCells>
  <phoneticPr fontId="0" type="noConversion"/>
  <printOptions gridLinesSet="0"/>
  <pageMargins left="0.98425196850393704" right="0.78740157480314965" top="1.3779527559055118" bottom="1.1811023622047245" header="0.51181102362204722" footer="1.1023622047244095"/>
  <pageSetup paperSize="9" scale="79" orientation="portrait" r:id="rId1"/>
  <headerFooter alignWithMargins="0">
    <oddFooter>&amp;C24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9C119-047A-4C56-8F0E-B4C8E7EB01FA}">
  <dimension ref="A1:L140"/>
  <sheetViews>
    <sheetView topLeftCell="A112" workbookViewId="0">
      <selection activeCell="H123" sqref="H123"/>
    </sheetView>
  </sheetViews>
  <sheetFormatPr baseColWidth="10" defaultRowHeight="12.75" x14ac:dyDescent="0.2"/>
  <cols>
    <col min="4" max="4" width="18" customWidth="1"/>
    <col min="7" max="7" width="13.42578125" customWidth="1"/>
    <col min="9" max="9" width="13.5703125" customWidth="1"/>
    <col min="12" max="12" width="13.5703125" style="823" bestFit="1" customWidth="1"/>
  </cols>
  <sheetData>
    <row r="1" spans="1:12" ht="15" x14ac:dyDescent="0.25">
      <c r="J1" s="822"/>
    </row>
    <row r="3" spans="1:12" ht="13.5" thickBot="1" x14ac:dyDescent="0.25"/>
    <row r="4" spans="1:12" ht="15.75" thickBot="1" x14ac:dyDescent="0.25">
      <c r="A4" s="824" t="s">
        <v>474</v>
      </c>
      <c r="B4" s="825"/>
      <c r="C4" s="825"/>
      <c r="D4" s="825"/>
      <c r="E4" s="825"/>
      <c r="F4" s="825"/>
      <c r="G4" s="825"/>
      <c r="H4" s="825"/>
      <c r="I4" s="825"/>
      <c r="J4" s="826"/>
    </row>
    <row r="6" spans="1:12" ht="15" x14ac:dyDescent="0.2">
      <c r="A6" s="827" t="s">
        <v>475</v>
      </c>
      <c r="B6" s="827"/>
      <c r="C6" s="827"/>
      <c r="D6" s="827"/>
      <c r="E6" s="827"/>
      <c r="F6" s="827"/>
      <c r="G6" s="827"/>
      <c r="H6" s="827"/>
      <c r="I6" s="827"/>
      <c r="J6" s="827"/>
    </row>
    <row r="7" spans="1:12" ht="15" x14ac:dyDescent="0.25">
      <c r="A7" s="828" t="s">
        <v>476</v>
      </c>
    </row>
    <row r="8" spans="1:12" s="822" customFormat="1" ht="15" x14ac:dyDescent="0.25">
      <c r="A8" s="822" t="s">
        <v>477</v>
      </c>
      <c r="L8" s="829"/>
    </row>
    <row r="9" spans="1:12" s="822" customFormat="1" ht="15" x14ac:dyDescent="0.25">
      <c r="A9" s="830" t="s">
        <v>478</v>
      </c>
      <c r="B9" s="830"/>
      <c r="C9" s="830"/>
      <c r="F9" s="830" t="s">
        <v>479</v>
      </c>
      <c r="G9" s="830"/>
      <c r="L9" s="829"/>
    </row>
    <row r="10" spans="1:12" x14ac:dyDescent="0.2">
      <c r="A10" t="s">
        <v>480</v>
      </c>
      <c r="F10" s="831">
        <v>0.1003</v>
      </c>
      <c r="G10" s="831"/>
    </row>
    <row r="11" spans="1:12" x14ac:dyDescent="0.2">
      <c r="A11" t="s">
        <v>481</v>
      </c>
      <c r="F11" s="831">
        <v>0.11600000000000001</v>
      </c>
      <c r="G11" s="831"/>
    </row>
    <row r="12" spans="1:12" x14ac:dyDescent="0.2">
      <c r="A12" t="s">
        <v>482</v>
      </c>
      <c r="F12" s="831">
        <v>0.1153</v>
      </c>
      <c r="G12" s="831"/>
    </row>
    <row r="13" spans="1:12" x14ac:dyDescent="0.2">
      <c r="A13" t="s">
        <v>483</v>
      </c>
      <c r="F13" s="831">
        <v>0.1153</v>
      </c>
      <c r="G13" s="831"/>
    </row>
    <row r="14" spans="1:12" x14ac:dyDescent="0.2">
      <c r="F14" s="831"/>
      <c r="G14" s="831"/>
    </row>
    <row r="15" spans="1:12" s="822" customFormat="1" ht="15" x14ac:dyDescent="0.25">
      <c r="A15" s="822" t="s">
        <v>484</v>
      </c>
      <c r="L15" s="829"/>
    </row>
    <row r="16" spans="1:12" ht="6.75" customHeight="1" x14ac:dyDescent="0.2"/>
    <row r="17" spans="1:12" ht="18.75" x14ac:dyDescent="0.3">
      <c r="A17" s="832" t="s">
        <v>485</v>
      </c>
      <c r="B17" s="832"/>
      <c r="C17" s="832"/>
      <c r="D17" s="832"/>
      <c r="E17" s="832"/>
      <c r="F17" s="832"/>
      <c r="G17" s="832"/>
      <c r="H17" s="832"/>
      <c r="I17" s="832"/>
      <c r="J17" s="832"/>
    </row>
    <row r="18" spans="1:12" ht="6.75" customHeight="1" x14ac:dyDescent="0.25">
      <c r="A18" s="833"/>
      <c r="B18" s="833"/>
      <c r="C18" s="833"/>
    </row>
    <row r="19" spans="1:12" s="822" customFormat="1" ht="15" x14ac:dyDescent="0.25">
      <c r="A19" s="822" t="s">
        <v>486</v>
      </c>
      <c r="L19" s="829"/>
    </row>
    <row r="20" spans="1:12" ht="6.75" customHeight="1" x14ac:dyDescent="0.2"/>
    <row r="21" spans="1:12" ht="18.75" x14ac:dyDescent="0.3">
      <c r="A21" s="832" t="s">
        <v>485</v>
      </c>
      <c r="B21" s="832"/>
      <c r="C21" s="832"/>
      <c r="D21" s="832"/>
      <c r="E21" s="832"/>
      <c r="F21" s="832"/>
      <c r="G21" s="832"/>
      <c r="H21" s="832"/>
      <c r="I21" s="832"/>
      <c r="J21" s="832"/>
    </row>
    <row r="22" spans="1:12" ht="6.75" customHeight="1" x14ac:dyDescent="0.25">
      <c r="A22" s="833"/>
      <c r="B22" s="833"/>
      <c r="C22" s="833"/>
    </row>
    <row r="23" spans="1:12" s="822" customFormat="1" ht="15" x14ac:dyDescent="0.25">
      <c r="A23" s="822" t="s">
        <v>487</v>
      </c>
      <c r="L23" s="829"/>
    </row>
    <row r="24" spans="1:12" x14ac:dyDescent="0.2">
      <c r="A24" t="s">
        <v>488</v>
      </c>
      <c r="D24" s="834" t="s">
        <v>127</v>
      </c>
      <c r="E24" s="834"/>
      <c r="F24" t="s">
        <v>489</v>
      </c>
      <c r="I24" s="834" t="s">
        <v>490</v>
      </c>
      <c r="J24" s="834"/>
    </row>
    <row r="25" spans="1:12" x14ac:dyDescent="0.2">
      <c r="A25" t="s">
        <v>491</v>
      </c>
      <c r="D25" s="834" t="s">
        <v>492</v>
      </c>
      <c r="E25" s="834"/>
      <c r="F25" t="s">
        <v>493</v>
      </c>
      <c r="I25" s="834" t="s">
        <v>490</v>
      </c>
      <c r="J25" s="834"/>
    </row>
    <row r="26" spans="1:12" x14ac:dyDescent="0.2">
      <c r="A26" t="s">
        <v>494</v>
      </c>
      <c r="D26" s="834" t="s">
        <v>495</v>
      </c>
      <c r="E26" s="834"/>
      <c r="F26" t="s">
        <v>496</v>
      </c>
      <c r="I26" s="834" t="s">
        <v>490</v>
      </c>
      <c r="J26" s="834"/>
    </row>
    <row r="27" spans="1:12" x14ac:dyDescent="0.2">
      <c r="A27" t="s">
        <v>483</v>
      </c>
      <c r="D27" s="834" t="s">
        <v>495</v>
      </c>
      <c r="E27" s="834"/>
      <c r="F27" t="s">
        <v>497</v>
      </c>
      <c r="H27" s="835"/>
      <c r="I27" s="835" t="s">
        <v>498</v>
      </c>
    </row>
    <row r="28" spans="1:12" ht="15" x14ac:dyDescent="0.25">
      <c r="A28" t="s">
        <v>499</v>
      </c>
      <c r="D28" s="834" t="s">
        <v>490</v>
      </c>
      <c r="E28" s="834"/>
      <c r="L28" s="829"/>
    </row>
    <row r="29" spans="1:12" x14ac:dyDescent="0.2">
      <c r="D29" s="835"/>
      <c r="E29" s="835"/>
    </row>
    <row r="30" spans="1:12" s="822" customFormat="1" ht="15" x14ac:dyDescent="0.25">
      <c r="A30" s="822" t="s">
        <v>500</v>
      </c>
      <c r="B30" s="836"/>
      <c r="C30" s="836"/>
      <c r="D30" s="836"/>
      <c r="E30" s="836"/>
      <c r="F30" s="836"/>
      <c r="G30" s="836"/>
      <c r="H30" s="836"/>
      <c r="I30" s="836"/>
      <c r="J30" s="836"/>
      <c r="L30" s="829"/>
    </row>
    <row r="31" spans="1:12" s="822" customFormat="1" ht="15" x14ac:dyDescent="0.25">
      <c r="A31" s="837" t="s">
        <v>478</v>
      </c>
      <c r="B31" s="837"/>
      <c r="C31" s="837"/>
      <c r="F31" s="830" t="s">
        <v>479</v>
      </c>
      <c r="G31" s="830"/>
      <c r="L31" s="829"/>
    </row>
    <row r="32" spans="1:12" x14ac:dyDescent="0.2">
      <c r="A32" t="s">
        <v>501</v>
      </c>
      <c r="F32" s="831">
        <v>3.5999999999999997E-2</v>
      </c>
      <c r="G32" s="838"/>
    </row>
    <row r="33" spans="1:10" x14ac:dyDescent="0.2">
      <c r="A33" t="s">
        <v>502</v>
      </c>
      <c r="F33" s="831">
        <v>1.1000000000000001E-3</v>
      </c>
      <c r="G33" s="838"/>
    </row>
    <row r="34" spans="1:10" x14ac:dyDescent="0.2">
      <c r="A34" t="s">
        <v>503</v>
      </c>
      <c r="F34" s="831">
        <v>6.9999999999999999E-4</v>
      </c>
      <c r="G34" s="838"/>
    </row>
    <row r="35" spans="1:10" x14ac:dyDescent="0.2">
      <c r="A35" t="s">
        <v>504</v>
      </c>
      <c r="F35" s="831">
        <v>6.9999999999999999E-4</v>
      </c>
      <c r="G35" s="838"/>
    </row>
    <row r="36" spans="1:10" x14ac:dyDescent="0.2">
      <c r="A36" t="s">
        <v>505</v>
      </c>
      <c r="F36" s="831">
        <v>1.1999999999999999E-3</v>
      </c>
      <c r="G36" s="838"/>
    </row>
    <row r="37" spans="1:10" x14ac:dyDescent="0.2">
      <c r="A37" t="s">
        <v>506</v>
      </c>
      <c r="F37" s="831">
        <v>1.1999999999999999E-3</v>
      </c>
      <c r="G37" s="838"/>
    </row>
    <row r="38" spans="1:10" x14ac:dyDescent="0.2">
      <c r="A38" t="s">
        <v>507</v>
      </c>
      <c r="F38" s="831">
        <v>2.9999999999999997E-4</v>
      </c>
      <c r="G38" s="838"/>
    </row>
    <row r="39" spans="1:10" x14ac:dyDescent="0.2">
      <c r="A39" t="s">
        <v>508</v>
      </c>
      <c r="F39" s="831">
        <v>2.9999999999999997E-4</v>
      </c>
      <c r="G39" s="838"/>
    </row>
    <row r="40" spans="1:10" x14ac:dyDescent="0.2">
      <c r="A40" t="s">
        <v>509</v>
      </c>
      <c r="F40" s="831">
        <v>2.9999999999999997E-4</v>
      </c>
      <c r="G40" s="838"/>
    </row>
    <row r="41" spans="1:10" x14ac:dyDescent="0.2">
      <c r="A41" t="s">
        <v>510</v>
      </c>
      <c r="F41" s="831">
        <v>2.9999999999999997E-4</v>
      </c>
      <c r="G41" s="838"/>
    </row>
    <row r="42" spans="1:10" x14ac:dyDescent="0.2">
      <c r="A42" t="s">
        <v>511</v>
      </c>
      <c r="F42" s="831">
        <v>9.9699999999999997E-2</v>
      </c>
      <c r="G42" s="838"/>
    </row>
    <row r="43" spans="1:10" x14ac:dyDescent="0.2">
      <c r="A43" t="s">
        <v>512</v>
      </c>
      <c r="F43" s="831">
        <v>2.9999999999999997E-4</v>
      </c>
      <c r="G43" s="838"/>
    </row>
    <row r="45" spans="1:10" ht="12.75" customHeight="1" x14ac:dyDescent="0.25">
      <c r="A45" s="839" t="s">
        <v>513</v>
      </c>
      <c r="B45" s="839"/>
      <c r="C45" s="839"/>
    </row>
    <row r="46" spans="1:10" ht="13.5" thickBot="1" x14ac:dyDescent="0.25"/>
    <row r="47" spans="1:10" ht="15.75" thickBot="1" x14ac:dyDescent="0.3">
      <c r="A47" s="840" t="s">
        <v>514</v>
      </c>
      <c r="B47" s="841"/>
      <c r="C47" s="841"/>
      <c r="D47" s="841"/>
      <c r="E47" s="841"/>
      <c r="F47" s="841"/>
      <c r="G47" s="841"/>
      <c r="H47" s="841"/>
      <c r="I47" s="841"/>
      <c r="J47" s="842"/>
    </row>
    <row r="48" spans="1:10" ht="48" customHeight="1" thickBot="1" x14ac:dyDescent="0.25">
      <c r="A48" s="843" t="s">
        <v>515</v>
      </c>
      <c r="B48" s="844"/>
      <c r="C48" s="845"/>
      <c r="D48" s="846" t="s">
        <v>516</v>
      </c>
      <c r="E48" s="847"/>
      <c r="F48" s="846" t="s">
        <v>517</v>
      </c>
      <c r="G48" s="847"/>
      <c r="H48" s="848" t="s">
        <v>518</v>
      </c>
      <c r="I48" s="849"/>
      <c r="J48" s="850"/>
    </row>
    <row r="49" spans="1:10" ht="15" x14ac:dyDescent="0.2">
      <c r="A49" s="851" t="s">
        <v>519</v>
      </c>
      <c r="B49" s="852"/>
      <c r="C49" s="852"/>
      <c r="D49" s="852"/>
      <c r="E49" s="852"/>
      <c r="F49" s="852"/>
      <c r="G49" s="852"/>
      <c r="H49" s="852"/>
      <c r="I49" s="852"/>
      <c r="J49" s="853"/>
    </row>
    <row r="50" spans="1:10" ht="15.75" thickBot="1" x14ac:dyDescent="0.25">
      <c r="A50" s="854"/>
      <c r="B50" s="855"/>
      <c r="C50" s="855"/>
      <c r="D50" s="855"/>
      <c r="E50" s="855"/>
      <c r="F50" s="855"/>
      <c r="G50" s="855"/>
      <c r="H50" s="855"/>
      <c r="I50" s="855"/>
      <c r="J50" s="856"/>
    </row>
    <row r="51" spans="1:10" ht="13.5" thickBot="1" x14ac:dyDescent="0.25"/>
    <row r="52" spans="1:10" ht="15.75" thickBot="1" x14ac:dyDescent="0.3">
      <c r="A52" s="840" t="s">
        <v>520</v>
      </c>
      <c r="B52" s="841"/>
      <c r="C52" s="841"/>
      <c r="D52" s="841"/>
      <c r="E52" s="841"/>
      <c r="F52" s="841"/>
      <c r="G52" s="841"/>
      <c r="H52" s="841"/>
      <c r="I52" s="841"/>
      <c r="J52" s="842"/>
    </row>
    <row r="53" spans="1:10" ht="48" customHeight="1" thickBot="1" x14ac:dyDescent="0.25">
      <c r="A53" s="843" t="s">
        <v>515</v>
      </c>
      <c r="B53" s="844"/>
      <c r="C53" s="845"/>
      <c r="D53" s="846" t="s">
        <v>521</v>
      </c>
      <c r="E53" s="847"/>
      <c r="F53" s="846" t="s">
        <v>522</v>
      </c>
      <c r="G53" s="847"/>
      <c r="H53" s="846" t="s">
        <v>523</v>
      </c>
      <c r="I53" s="857"/>
      <c r="J53" s="847"/>
    </row>
    <row r="54" spans="1:10" ht="15" x14ac:dyDescent="0.2">
      <c r="A54" s="858" t="s">
        <v>524</v>
      </c>
      <c r="B54" s="859"/>
      <c r="C54" s="859"/>
      <c r="D54" s="859"/>
      <c r="E54" s="859"/>
      <c r="F54" s="859"/>
      <c r="G54" s="859"/>
      <c r="H54" s="859"/>
      <c r="I54" s="859"/>
      <c r="J54" s="860"/>
    </row>
    <row r="55" spans="1:10" ht="15" x14ac:dyDescent="0.2">
      <c r="A55" s="861"/>
      <c r="B55" s="862"/>
      <c r="C55" s="862"/>
      <c r="D55" s="862"/>
      <c r="E55" s="862"/>
      <c r="F55" s="862"/>
      <c r="G55" s="862"/>
      <c r="H55" s="862"/>
      <c r="I55" s="862"/>
      <c r="J55" s="863"/>
    </row>
    <row r="56" spans="1:10" ht="15.75" thickBot="1" x14ac:dyDescent="0.25">
      <c r="A56" s="864"/>
      <c r="B56" s="865"/>
      <c r="C56" s="865"/>
      <c r="D56" s="865"/>
      <c r="E56" s="865"/>
      <c r="F56" s="865"/>
      <c r="G56" s="865"/>
      <c r="H56" s="865"/>
      <c r="I56" s="865"/>
      <c r="J56" s="866"/>
    </row>
    <row r="58" spans="1:10" ht="12.75" customHeight="1" x14ac:dyDescent="0.25">
      <c r="A58" s="839" t="s">
        <v>525</v>
      </c>
      <c r="B58" s="839"/>
      <c r="C58" s="839"/>
    </row>
    <row r="60" spans="1:10" ht="15" x14ac:dyDescent="0.25">
      <c r="A60" s="833" t="s">
        <v>485</v>
      </c>
      <c r="B60" s="833"/>
      <c r="C60" s="833"/>
    </row>
    <row r="62" spans="1:10" ht="12.75" customHeight="1" thickBot="1" x14ac:dyDescent="0.3">
      <c r="A62" s="828" t="s">
        <v>526</v>
      </c>
      <c r="B62" s="828"/>
      <c r="C62" s="828"/>
    </row>
    <row r="63" spans="1:10" ht="14.25" customHeight="1" thickBot="1" x14ac:dyDescent="0.25">
      <c r="A63" s="867" t="s">
        <v>527</v>
      </c>
      <c r="B63" s="868"/>
      <c r="C63" s="868"/>
      <c r="D63" s="868"/>
      <c r="E63" s="869"/>
      <c r="F63" s="870" t="s">
        <v>528</v>
      </c>
      <c r="G63" s="871"/>
      <c r="H63" s="871"/>
      <c r="I63" s="871"/>
      <c r="J63" s="872"/>
    </row>
    <row r="64" spans="1:10" x14ac:dyDescent="0.2">
      <c r="A64" s="873" t="s">
        <v>529</v>
      </c>
      <c r="B64" s="874"/>
      <c r="C64" s="874"/>
      <c r="D64" s="874"/>
      <c r="E64" s="875"/>
      <c r="F64" s="876" t="s">
        <v>530</v>
      </c>
      <c r="G64" s="877"/>
      <c r="H64" s="877"/>
      <c r="I64" s="877"/>
      <c r="J64" s="878"/>
    </row>
    <row r="65" spans="1:12" ht="13.5" thickBot="1" x14ac:dyDescent="0.25">
      <c r="A65" s="879"/>
      <c r="B65" s="880"/>
      <c r="C65" s="880"/>
      <c r="D65" s="880"/>
      <c r="E65" s="881"/>
      <c r="F65" s="882"/>
      <c r="G65" s="883"/>
      <c r="H65" s="883"/>
      <c r="I65" s="883"/>
      <c r="J65" s="884"/>
    </row>
    <row r="66" spans="1:12" x14ac:dyDescent="0.2">
      <c r="A66" s="885"/>
      <c r="B66" s="885"/>
      <c r="C66" s="885"/>
      <c r="D66" s="885"/>
      <c r="E66" s="885"/>
      <c r="F66" s="885"/>
      <c r="G66" s="885"/>
      <c r="H66" s="885"/>
      <c r="I66" s="885"/>
      <c r="J66" s="885"/>
    </row>
    <row r="67" spans="1:12" x14ac:dyDescent="0.2">
      <c r="A67" s="885"/>
      <c r="B67" s="885"/>
      <c r="C67" s="885"/>
      <c r="D67" s="885"/>
      <c r="E67" s="885"/>
      <c r="F67" s="885"/>
      <c r="G67" s="885"/>
      <c r="H67" s="885"/>
      <c r="I67" s="885"/>
      <c r="J67" s="885"/>
    </row>
    <row r="68" spans="1:12" x14ac:dyDescent="0.2">
      <c r="A68" s="885"/>
      <c r="B68" s="885"/>
      <c r="C68" s="885"/>
      <c r="D68" s="885"/>
      <c r="E68" s="885"/>
      <c r="F68" s="885"/>
      <c r="G68" s="885"/>
      <c r="H68" s="885"/>
      <c r="I68" s="885"/>
      <c r="J68" s="885"/>
    </row>
    <row r="69" spans="1:12" x14ac:dyDescent="0.2">
      <c r="E69" t="s">
        <v>321</v>
      </c>
      <c r="G69" t="s">
        <v>322</v>
      </c>
      <c r="I69" t="s">
        <v>323</v>
      </c>
    </row>
    <row r="70" spans="1:12" x14ac:dyDescent="0.2">
      <c r="E70" t="s">
        <v>531</v>
      </c>
      <c r="G70" t="s">
        <v>532</v>
      </c>
      <c r="I70" t="s">
        <v>533</v>
      </c>
    </row>
    <row r="71" spans="1:12" ht="26.25" x14ac:dyDescent="0.4">
      <c r="E71" s="886"/>
    </row>
    <row r="72" spans="1:12" x14ac:dyDescent="0.2">
      <c r="A72" s="885"/>
      <c r="B72" s="885"/>
      <c r="C72" s="885"/>
      <c r="D72" s="885"/>
      <c r="E72" s="885"/>
      <c r="F72" s="885"/>
      <c r="G72" s="885"/>
      <c r="H72" s="885"/>
      <c r="I72" s="885"/>
      <c r="J72" s="885"/>
    </row>
    <row r="73" spans="1:12" ht="15" x14ac:dyDescent="0.2">
      <c r="A73" s="827" t="s">
        <v>534</v>
      </c>
      <c r="B73" s="827"/>
      <c r="C73" s="827"/>
      <c r="D73" s="827"/>
      <c r="E73" s="827"/>
      <c r="F73" s="827"/>
      <c r="G73" s="827"/>
      <c r="H73" s="827"/>
      <c r="I73" s="827"/>
      <c r="J73" s="827"/>
    </row>
    <row r="75" spans="1:12" ht="18.75" customHeight="1" x14ac:dyDescent="0.2">
      <c r="G75" s="887" t="s">
        <v>535</v>
      </c>
      <c r="H75" s="887"/>
      <c r="I75" s="887"/>
      <c r="J75" s="887"/>
    </row>
    <row r="76" spans="1:12" ht="16.5" customHeight="1" x14ac:dyDescent="0.2">
      <c r="G76" s="887" t="s">
        <v>536</v>
      </c>
      <c r="H76" s="887"/>
      <c r="I76" s="887"/>
      <c r="J76" s="887"/>
    </row>
    <row r="77" spans="1:12" ht="15.75" x14ac:dyDescent="0.25">
      <c r="A77" s="888" t="s">
        <v>537</v>
      </c>
      <c r="B77" s="889"/>
      <c r="C77" s="889"/>
      <c r="D77" s="889"/>
      <c r="E77" s="889"/>
      <c r="F77" s="889"/>
      <c r="G77" s="889"/>
      <c r="H77" s="889"/>
      <c r="I77" s="889"/>
      <c r="J77" s="889"/>
    </row>
    <row r="78" spans="1:12" ht="13.5" customHeight="1" thickBot="1" x14ac:dyDescent="0.25">
      <c r="A78" s="890" t="s">
        <v>538</v>
      </c>
      <c r="B78" s="890"/>
      <c r="C78" s="890"/>
      <c r="D78" s="890"/>
      <c r="E78" s="890"/>
      <c r="F78" s="890"/>
    </row>
    <row r="79" spans="1:12" s="896" customFormat="1" ht="25.5" customHeight="1" thickBot="1" x14ac:dyDescent="0.25">
      <c r="A79" s="891" t="s">
        <v>539</v>
      </c>
      <c r="B79" s="892"/>
      <c r="C79" s="892"/>
      <c r="D79" s="892"/>
      <c r="E79" s="892"/>
      <c r="F79" s="893"/>
      <c r="G79" s="894">
        <v>43555</v>
      </c>
      <c r="H79" s="895"/>
      <c r="I79" s="894">
        <v>43190</v>
      </c>
      <c r="J79" s="895"/>
      <c r="L79" s="897"/>
    </row>
    <row r="80" spans="1:12" ht="15.75" thickBot="1" x14ac:dyDescent="0.25">
      <c r="A80" s="898" t="s">
        <v>529</v>
      </c>
      <c r="B80" s="899"/>
      <c r="C80" s="899"/>
      <c r="D80" s="899"/>
      <c r="E80" s="899"/>
      <c r="F80" s="900"/>
      <c r="G80" s="901">
        <v>1555180123</v>
      </c>
      <c r="H80" s="902"/>
      <c r="I80" s="901">
        <v>729814036</v>
      </c>
      <c r="J80" s="902"/>
    </row>
    <row r="82" spans="1:12" ht="15" x14ac:dyDescent="0.2">
      <c r="A82" s="903" t="s">
        <v>540</v>
      </c>
      <c r="B82" s="904"/>
      <c r="C82" s="904"/>
      <c r="D82" s="904"/>
      <c r="E82" s="904"/>
      <c r="F82" s="904"/>
      <c r="G82" s="904"/>
      <c r="H82" s="904"/>
      <c r="I82" s="904"/>
      <c r="J82" s="904"/>
      <c r="K82" s="904"/>
    </row>
    <row r="83" spans="1:12" ht="13.5" customHeight="1" thickBot="1" x14ac:dyDescent="0.25">
      <c r="A83" s="905" t="s">
        <v>538</v>
      </c>
      <c r="B83" s="905"/>
      <c r="C83" s="905"/>
      <c r="D83" s="905"/>
      <c r="E83" s="905"/>
      <c r="F83" s="905"/>
      <c r="G83" s="904"/>
      <c r="H83" s="904"/>
      <c r="I83" s="904"/>
      <c r="J83" s="904"/>
    </row>
    <row r="84" spans="1:12" s="896" customFormat="1" ht="25.5" customHeight="1" thickBot="1" x14ac:dyDescent="0.25">
      <c r="A84" s="891" t="s">
        <v>541</v>
      </c>
      <c r="B84" s="892"/>
      <c r="C84" s="892"/>
      <c r="D84" s="892"/>
      <c r="E84" s="892"/>
      <c r="F84" s="893"/>
      <c r="G84" s="894">
        <v>43555</v>
      </c>
      <c r="H84" s="895"/>
      <c r="I84" s="894">
        <v>43190</v>
      </c>
      <c r="J84" s="895"/>
      <c r="L84" s="897"/>
    </row>
    <row r="85" spans="1:12" s="896" customFormat="1" ht="25.5" customHeight="1" thickBot="1" x14ac:dyDescent="0.25">
      <c r="A85" s="906" t="s">
        <v>542</v>
      </c>
      <c r="B85" s="907"/>
      <c r="C85" s="907"/>
      <c r="D85" s="907"/>
      <c r="E85" s="907"/>
      <c r="F85" s="908"/>
      <c r="G85" s="909">
        <v>2500000000</v>
      </c>
      <c r="H85" s="910"/>
      <c r="I85" s="911">
        <v>0</v>
      </c>
      <c r="J85" s="912"/>
      <c r="L85" s="897"/>
    </row>
    <row r="86" spans="1:12" s="896" customFormat="1" ht="25.5" customHeight="1" thickBot="1" x14ac:dyDescent="0.25">
      <c r="A86" s="906" t="s">
        <v>543</v>
      </c>
      <c r="B86" s="907"/>
      <c r="C86" s="907"/>
      <c r="D86" s="907"/>
      <c r="E86" s="907"/>
      <c r="F86" s="908"/>
      <c r="G86" s="909">
        <f>+G85</f>
        <v>2500000000</v>
      </c>
      <c r="H86" s="910"/>
      <c r="I86" s="911">
        <v>0</v>
      </c>
      <c r="J86" s="912"/>
      <c r="L86" s="897"/>
    </row>
    <row r="87" spans="1:12" s="896" customFormat="1" ht="25.5" customHeight="1" thickBot="1" x14ac:dyDescent="0.25">
      <c r="A87" s="906" t="s">
        <v>544</v>
      </c>
      <c r="B87" s="907"/>
      <c r="C87" s="907"/>
      <c r="D87" s="907"/>
      <c r="E87" s="907"/>
      <c r="F87" s="908"/>
      <c r="G87" s="909">
        <f>+G86</f>
        <v>2500000000</v>
      </c>
      <c r="H87" s="910"/>
      <c r="I87" s="911">
        <v>0</v>
      </c>
      <c r="J87" s="912"/>
      <c r="L87" s="897"/>
    </row>
    <row r="88" spans="1:12" s="896" customFormat="1" ht="25.5" customHeight="1" thickBot="1" x14ac:dyDescent="0.25">
      <c r="A88" s="906" t="s">
        <v>545</v>
      </c>
      <c r="B88" s="907"/>
      <c r="C88" s="907"/>
      <c r="D88" s="907"/>
      <c r="E88" s="907"/>
      <c r="F88" s="908"/>
      <c r="G88" s="909">
        <f>+G87</f>
        <v>2500000000</v>
      </c>
      <c r="H88" s="910"/>
      <c r="I88" s="911">
        <v>0</v>
      </c>
      <c r="J88" s="912"/>
      <c r="L88" s="897"/>
    </row>
    <row r="89" spans="1:12" ht="15.75" thickBot="1" x14ac:dyDescent="0.25">
      <c r="A89" s="913" t="s">
        <v>39</v>
      </c>
      <c r="B89" s="899"/>
      <c r="C89" s="899"/>
      <c r="D89" s="899"/>
      <c r="E89" s="899"/>
      <c r="F89" s="900"/>
      <c r="G89" s="901">
        <v>10000000000</v>
      </c>
      <c r="H89" s="902"/>
      <c r="I89" s="901">
        <v>0</v>
      </c>
      <c r="J89" s="902"/>
    </row>
    <row r="90" spans="1:12" ht="15" x14ac:dyDescent="0.25">
      <c r="G90" s="914"/>
      <c r="H90" s="914"/>
      <c r="I90" s="914"/>
    </row>
    <row r="91" spans="1:12" s="896" customFormat="1" ht="15" x14ac:dyDescent="0.25">
      <c r="A91" s="828" t="s">
        <v>546</v>
      </c>
      <c r="B91"/>
      <c r="C91"/>
      <c r="D91"/>
      <c r="E91"/>
      <c r="F91"/>
      <c r="L91" s="897"/>
    </row>
    <row r="92" spans="1:12" ht="13.5" thickBot="1" x14ac:dyDescent="0.25">
      <c r="A92" s="835" t="s">
        <v>547</v>
      </c>
      <c r="B92" s="835"/>
      <c r="C92" s="835"/>
      <c r="D92" s="835"/>
      <c r="E92" s="835"/>
      <c r="F92" s="835"/>
    </row>
    <row r="93" spans="1:12" ht="13.5" thickBot="1" x14ac:dyDescent="0.25">
      <c r="A93" s="835"/>
      <c r="B93" s="835"/>
      <c r="C93" s="835"/>
      <c r="D93" s="835"/>
      <c r="E93" s="835"/>
      <c r="F93" s="835"/>
      <c r="G93" s="894">
        <v>43555</v>
      </c>
      <c r="H93" s="895"/>
      <c r="I93" s="894">
        <v>43190</v>
      </c>
      <c r="J93" s="895"/>
    </row>
    <row r="94" spans="1:12" ht="15.75" thickBot="1" x14ac:dyDescent="0.25">
      <c r="A94" s="835"/>
      <c r="B94" s="835"/>
      <c r="C94" s="835"/>
      <c r="D94" s="835"/>
      <c r="E94" s="835"/>
      <c r="F94" s="835"/>
      <c r="G94" s="915" t="s">
        <v>548</v>
      </c>
      <c r="H94" s="916"/>
      <c r="I94" s="916"/>
      <c r="J94" s="917"/>
      <c r="K94" s="896"/>
    </row>
    <row r="95" spans="1:12" ht="15" x14ac:dyDescent="0.2">
      <c r="A95" s="835"/>
      <c r="B95" s="835"/>
      <c r="C95" s="835"/>
      <c r="D95" s="835"/>
      <c r="E95" s="835"/>
      <c r="F95" s="835"/>
      <c r="G95" s="918"/>
      <c r="H95" s="918"/>
      <c r="I95" s="918"/>
      <c r="J95" s="918"/>
    </row>
    <row r="96" spans="1:12" s="896" customFormat="1" x14ac:dyDescent="0.2">
      <c r="L96" s="897"/>
    </row>
    <row r="97" spans="1:12" s="896" customFormat="1" ht="15.75" thickBot="1" x14ac:dyDescent="0.3">
      <c r="A97" s="828" t="s">
        <v>549</v>
      </c>
      <c r="B97" s="822"/>
      <c r="C97" s="822"/>
      <c r="D97" s="822"/>
      <c r="E97" s="822"/>
      <c r="F97" s="822"/>
      <c r="L97" s="897"/>
    </row>
    <row r="98" spans="1:12" ht="13.5" thickBot="1" x14ac:dyDescent="0.25">
      <c r="A98" s="919" t="s">
        <v>550</v>
      </c>
      <c r="C98" s="920" t="s">
        <v>551</v>
      </c>
      <c r="E98" s="920" t="s">
        <v>552</v>
      </c>
      <c r="F98" s="835"/>
      <c r="G98" s="894">
        <v>43555</v>
      </c>
      <c r="H98" s="895"/>
      <c r="I98" s="894">
        <v>43190</v>
      </c>
      <c r="J98" s="895"/>
    </row>
    <row r="99" spans="1:12" s="896" customFormat="1" ht="13.5" thickBot="1" x14ac:dyDescent="0.25">
      <c r="A99" t="s">
        <v>436</v>
      </c>
      <c r="C99" s="896" t="s">
        <v>553</v>
      </c>
      <c r="E99" s="896" t="s">
        <v>127</v>
      </c>
      <c r="G99" s="921">
        <v>292740000</v>
      </c>
      <c r="H99" s="922"/>
      <c r="I99" s="923">
        <v>-1</v>
      </c>
      <c r="J99" s="924"/>
      <c r="L99" s="897"/>
    </row>
    <row r="100" spans="1:12" ht="13.5" thickBot="1" x14ac:dyDescent="0.25">
      <c r="A100" t="s">
        <v>554</v>
      </c>
      <c r="C100" s="896" t="s">
        <v>553</v>
      </c>
      <c r="E100" t="s">
        <v>495</v>
      </c>
      <c r="G100" s="921">
        <v>270810000</v>
      </c>
      <c r="H100" s="922"/>
      <c r="I100" s="925"/>
      <c r="J100" s="926"/>
    </row>
    <row r="101" spans="1:12" ht="13.5" thickBot="1" x14ac:dyDescent="0.25">
      <c r="A101" t="s">
        <v>555</v>
      </c>
      <c r="C101" s="896" t="s">
        <v>553</v>
      </c>
      <c r="E101" s="834" t="s">
        <v>492</v>
      </c>
      <c r="F101" s="834"/>
      <c r="G101" s="921">
        <v>49200000</v>
      </c>
      <c r="H101" s="922"/>
      <c r="I101" s="925"/>
      <c r="J101" s="926"/>
    </row>
    <row r="102" spans="1:12" ht="13.5" thickBot="1" x14ac:dyDescent="0.25">
      <c r="A102" t="s">
        <v>556</v>
      </c>
      <c r="C102" s="896" t="s">
        <v>553</v>
      </c>
      <c r="E102" s="834" t="s">
        <v>495</v>
      </c>
      <c r="F102" s="834"/>
      <c r="G102" s="921">
        <f>+G101</f>
        <v>49200000</v>
      </c>
      <c r="H102" s="922"/>
      <c r="I102" s="925"/>
      <c r="J102" s="926"/>
    </row>
    <row r="103" spans="1:12" ht="13.5" thickBot="1" x14ac:dyDescent="0.25">
      <c r="A103" t="s">
        <v>557</v>
      </c>
      <c r="C103" s="896" t="s">
        <v>558</v>
      </c>
      <c r="E103" t="s">
        <v>498</v>
      </c>
      <c r="G103" s="921">
        <f>2500000*12</f>
        <v>30000000</v>
      </c>
      <c r="H103" s="922"/>
      <c r="I103" s="927"/>
      <c r="J103" s="928"/>
    </row>
    <row r="104" spans="1:12" ht="15.75" thickBot="1" x14ac:dyDescent="0.25">
      <c r="G104" s="901">
        <f>SUM(G99:H103)</f>
        <v>691950000</v>
      </c>
      <c r="H104" s="902"/>
      <c r="I104" s="901">
        <v>728670005</v>
      </c>
      <c r="J104" s="902"/>
    </row>
    <row r="105" spans="1:12" ht="15" x14ac:dyDescent="0.25">
      <c r="A105" s="822" t="s">
        <v>559</v>
      </c>
    </row>
    <row r="106" spans="1:12" ht="15" x14ac:dyDescent="0.25">
      <c r="A106" s="822"/>
    </row>
    <row r="127" spans="9:10" ht="13.5" thickBot="1" x14ac:dyDescent="0.25">
      <c r="I127" s="929"/>
      <c r="J127" s="929"/>
    </row>
    <row r="134" spans="5:9" x14ac:dyDescent="0.2">
      <c r="E134" t="s">
        <v>321</v>
      </c>
      <c r="G134" t="s">
        <v>322</v>
      </c>
      <c r="I134" t="s">
        <v>323</v>
      </c>
    </row>
    <row r="135" spans="5:9" x14ac:dyDescent="0.2">
      <c r="E135" t="s">
        <v>531</v>
      </c>
      <c r="G135" t="s">
        <v>532</v>
      </c>
      <c r="I135" t="s">
        <v>533</v>
      </c>
    </row>
    <row r="140" spans="5:9" ht="26.25" x14ac:dyDescent="0.4">
      <c r="E140" s="886">
        <v>29</v>
      </c>
    </row>
  </sheetData>
  <mergeCells count="81">
    <mergeCell ref="G104:H104"/>
    <mergeCell ref="I104:J104"/>
    <mergeCell ref="G99:H99"/>
    <mergeCell ref="I99:J103"/>
    <mergeCell ref="G100:H100"/>
    <mergeCell ref="E101:F101"/>
    <mergeCell ref="G101:H101"/>
    <mergeCell ref="E102:F102"/>
    <mergeCell ref="G102:H102"/>
    <mergeCell ref="G103:H103"/>
    <mergeCell ref="G89:H89"/>
    <mergeCell ref="I89:J89"/>
    <mergeCell ref="G93:H93"/>
    <mergeCell ref="I93:J93"/>
    <mergeCell ref="G94:J94"/>
    <mergeCell ref="G98:H98"/>
    <mergeCell ref="I98:J98"/>
    <mergeCell ref="A87:F87"/>
    <mergeCell ref="G87:H87"/>
    <mergeCell ref="I87:J87"/>
    <mergeCell ref="A88:F88"/>
    <mergeCell ref="G88:H88"/>
    <mergeCell ref="I88:J88"/>
    <mergeCell ref="A85:F85"/>
    <mergeCell ref="G85:H85"/>
    <mergeCell ref="I85:J85"/>
    <mergeCell ref="A86:F86"/>
    <mergeCell ref="G86:H86"/>
    <mergeCell ref="I86:J86"/>
    <mergeCell ref="G80:H80"/>
    <mergeCell ref="I80:J80"/>
    <mergeCell ref="A83:F83"/>
    <mergeCell ref="A84:F84"/>
    <mergeCell ref="G84:H84"/>
    <mergeCell ref="I84:J84"/>
    <mergeCell ref="F63:J63"/>
    <mergeCell ref="F64:J65"/>
    <mergeCell ref="A73:J73"/>
    <mergeCell ref="G75:J75"/>
    <mergeCell ref="G76:J76"/>
    <mergeCell ref="A79:F79"/>
    <mergeCell ref="G79:H79"/>
    <mergeCell ref="I79:J79"/>
    <mergeCell ref="F43:G43"/>
    <mergeCell ref="D48:E48"/>
    <mergeCell ref="F48:G48"/>
    <mergeCell ref="H48:J48"/>
    <mergeCell ref="D53:E53"/>
    <mergeCell ref="F53:G53"/>
    <mergeCell ref="H53:J53"/>
    <mergeCell ref="F37:G37"/>
    <mergeCell ref="F38:G38"/>
    <mergeCell ref="F39:G39"/>
    <mergeCell ref="F40:G40"/>
    <mergeCell ref="F41:G41"/>
    <mergeCell ref="F42:G42"/>
    <mergeCell ref="F31:G31"/>
    <mergeCell ref="F32:G32"/>
    <mergeCell ref="F33:G33"/>
    <mergeCell ref="F34:G34"/>
    <mergeCell ref="F35:G35"/>
    <mergeCell ref="F36:G36"/>
    <mergeCell ref="D25:E25"/>
    <mergeCell ref="I25:J25"/>
    <mergeCell ref="D26:E26"/>
    <mergeCell ref="I26:J26"/>
    <mergeCell ref="D27:E27"/>
    <mergeCell ref="D28:E28"/>
    <mergeCell ref="F12:G12"/>
    <mergeCell ref="F13:G13"/>
    <mergeCell ref="F14:G14"/>
    <mergeCell ref="A17:J17"/>
    <mergeCell ref="A21:J21"/>
    <mergeCell ref="D24:E24"/>
    <mergeCell ref="I24:J24"/>
    <mergeCell ref="A4:J4"/>
    <mergeCell ref="A6:J6"/>
    <mergeCell ref="A9:C9"/>
    <mergeCell ref="F9:G9"/>
    <mergeCell ref="F10:G10"/>
    <mergeCell ref="F11:G1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45D5E-6452-4770-8811-66B9E9763110}">
  <dimension ref="A1:E59"/>
  <sheetViews>
    <sheetView topLeftCell="A50" workbookViewId="0">
      <selection activeCell="A72" sqref="A72"/>
    </sheetView>
  </sheetViews>
  <sheetFormatPr baseColWidth="10" defaultRowHeight="12.75" x14ac:dyDescent="0.2"/>
  <cols>
    <col min="1" max="1" width="35.42578125" customWidth="1"/>
    <col min="2" max="2" width="17.28515625" customWidth="1"/>
    <col min="3" max="3" width="15.28515625" customWidth="1"/>
  </cols>
  <sheetData>
    <row r="1" spans="1:3" x14ac:dyDescent="0.2">
      <c r="A1" s="817" t="s">
        <v>166</v>
      </c>
      <c r="B1" s="817" t="s">
        <v>168</v>
      </c>
      <c r="C1" s="817"/>
    </row>
    <row r="2" spans="1:3" x14ac:dyDescent="0.2">
      <c r="A2" s="817"/>
      <c r="B2" s="244">
        <v>43281</v>
      </c>
      <c r="C2" s="244">
        <v>43100</v>
      </c>
    </row>
    <row r="3" spans="1:3" x14ac:dyDescent="0.2">
      <c r="A3" s="249" t="s">
        <v>156</v>
      </c>
      <c r="B3" s="246">
        <v>14230256874</v>
      </c>
      <c r="C3" s="250">
        <v>13530841486</v>
      </c>
    </row>
    <row r="4" spans="1:3" x14ac:dyDescent="0.2">
      <c r="A4" s="249" t="s">
        <v>169</v>
      </c>
      <c r="B4" s="246">
        <v>-6542051590</v>
      </c>
      <c r="C4" s="250">
        <v>-5402051590</v>
      </c>
    </row>
    <row r="5" spans="1:3" x14ac:dyDescent="0.2">
      <c r="A5" s="249" t="s">
        <v>170</v>
      </c>
      <c r="B5" s="246">
        <v>16751231869</v>
      </c>
      <c r="C5" s="250">
        <v>13644980032</v>
      </c>
    </row>
    <row r="6" spans="1:3" x14ac:dyDescent="0.2">
      <c r="A6" s="249" t="s">
        <v>171</v>
      </c>
      <c r="B6" s="246">
        <v>6028335846</v>
      </c>
      <c r="C6" s="250">
        <v>6100006219</v>
      </c>
    </row>
    <row r="7" spans="1:3" x14ac:dyDescent="0.2">
      <c r="A7" s="249" t="s">
        <v>172</v>
      </c>
      <c r="B7" s="247">
        <v>-940017396</v>
      </c>
      <c r="C7" s="250">
        <v>-940017396</v>
      </c>
    </row>
    <row r="8" spans="1:3" x14ac:dyDescent="0.2">
      <c r="A8" s="251" t="s">
        <v>173</v>
      </c>
      <c r="B8" s="248">
        <f>SUM(B3:B7)</f>
        <v>29527755603</v>
      </c>
      <c r="C8" s="252">
        <v>26933758751</v>
      </c>
    </row>
    <row r="12" spans="1:3" x14ac:dyDescent="0.2">
      <c r="A12" s="816" t="s">
        <v>166</v>
      </c>
      <c r="B12" s="816" t="s">
        <v>168</v>
      </c>
      <c r="C12" s="816"/>
    </row>
    <row r="13" spans="1:3" x14ac:dyDescent="0.2">
      <c r="A13" s="816"/>
      <c r="B13" s="264">
        <v>43281</v>
      </c>
      <c r="C13" s="244">
        <v>43100</v>
      </c>
    </row>
    <row r="14" spans="1:3" x14ac:dyDescent="0.2">
      <c r="A14" s="265" t="s">
        <v>188</v>
      </c>
      <c r="B14" s="266"/>
      <c r="C14" s="267">
        <v>9360628</v>
      </c>
    </row>
    <row r="15" spans="1:3" x14ac:dyDescent="0.2">
      <c r="A15" s="265" t="s">
        <v>189</v>
      </c>
      <c r="B15" s="268"/>
      <c r="C15" s="266">
        <v>0</v>
      </c>
    </row>
    <row r="16" spans="1:3" x14ac:dyDescent="0.2">
      <c r="A16" s="265" t="s">
        <v>190</v>
      </c>
      <c r="B16" s="246">
        <v>471061153</v>
      </c>
      <c r="C16" s="268">
        <v>93814614</v>
      </c>
    </row>
    <row r="17" spans="1:3" x14ac:dyDescent="0.2">
      <c r="A17" s="265" t="s">
        <v>191</v>
      </c>
      <c r="B17" s="268"/>
      <c r="C17" s="269">
        <v>0</v>
      </c>
    </row>
    <row r="18" spans="1:3" x14ac:dyDescent="0.2">
      <c r="A18" s="265" t="s">
        <v>192</v>
      </c>
      <c r="B18" s="246">
        <v>369332978</v>
      </c>
      <c r="C18" s="268">
        <v>286012978</v>
      </c>
    </row>
    <row r="19" spans="1:3" x14ac:dyDescent="0.2">
      <c r="A19" s="265" t="s">
        <v>193</v>
      </c>
      <c r="B19" s="246">
        <v>25183996</v>
      </c>
      <c r="C19" s="268">
        <v>36385181</v>
      </c>
    </row>
    <row r="20" spans="1:3" x14ac:dyDescent="0.2">
      <c r="A20" s="265" t="s">
        <v>194</v>
      </c>
      <c r="B20" s="268">
        <f>+C20</f>
        <v>10001</v>
      </c>
      <c r="C20" s="268">
        <v>10001</v>
      </c>
    </row>
    <row r="21" spans="1:3" x14ac:dyDescent="0.2">
      <c r="A21" s="270" t="s">
        <v>173</v>
      </c>
      <c r="B21" s="271">
        <f>SUM(B14:B20)</f>
        <v>865588128</v>
      </c>
      <c r="C21" s="271">
        <v>425583402</v>
      </c>
    </row>
    <row r="22" spans="1:3" x14ac:dyDescent="0.2">
      <c r="B22" s="186">
        <f>+BG!C11</f>
        <v>0</v>
      </c>
    </row>
    <row r="24" spans="1:3" x14ac:dyDescent="0.2">
      <c r="A24" s="816" t="s">
        <v>166</v>
      </c>
      <c r="B24" s="816" t="s">
        <v>168</v>
      </c>
      <c r="C24" s="816"/>
    </row>
    <row r="25" spans="1:3" x14ac:dyDescent="0.2">
      <c r="A25" s="816"/>
      <c r="B25" s="264">
        <v>43281</v>
      </c>
      <c r="C25" s="244">
        <v>43100</v>
      </c>
    </row>
    <row r="26" spans="1:3" x14ac:dyDescent="0.2">
      <c r="A26" s="265" t="s">
        <v>195</v>
      </c>
      <c r="B26" s="246">
        <v>49423535173</v>
      </c>
      <c r="C26" s="267">
        <v>47765963636</v>
      </c>
    </row>
    <row r="27" spans="1:3" x14ac:dyDescent="0.2">
      <c r="A27" s="265" t="s">
        <v>196</v>
      </c>
      <c r="B27" s="246">
        <f>+C27</f>
        <v>-250000000</v>
      </c>
      <c r="C27" s="267">
        <v>-250000000</v>
      </c>
    </row>
    <row r="28" spans="1:3" x14ac:dyDescent="0.2">
      <c r="A28" s="265" t="s">
        <v>197</v>
      </c>
      <c r="B28" s="246">
        <v>11057260415</v>
      </c>
      <c r="C28" s="267">
        <v>13382337081</v>
      </c>
    </row>
    <row r="29" spans="1:3" x14ac:dyDescent="0.2">
      <c r="A29" s="270" t="s">
        <v>173</v>
      </c>
      <c r="B29" s="272">
        <f>SUM(B26:B28)</f>
        <v>60230795588</v>
      </c>
      <c r="C29" s="271">
        <v>60898300717</v>
      </c>
    </row>
    <row r="30" spans="1:3" x14ac:dyDescent="0.2">
      <c r="B30" s="186">
        <f>+B29-BG!C12</f>
        <v>-14643460071</v>
      </c>
    </row>
    <row r="34" spans="1:3" x14ac:dyDescent="0.2">
      <c r="A34" s="816" t="s">
        <v>166</v>
      </c>
      <c r="B34" s="816" t="s">
        <v>167</v>
      </c>
      <c r="C34" s="816"/>
    </row>
    <row r="35" spans="1:3" x14ac:dyDescent="0.2">
      <c r="A35" s="816"/>
      <c r="B35" s="264">
        <v>43281</v>
      </c>
      <c r="C35" s="244">
        <v>43100</v>
      </c>
    </row>
    <row r="36" spans="1:3" x14ac:dyDescent="0.2">
      <c r="A36" s="289" t="s">
        <v>198</v>
      </c>
      <c r="B36" s="266"/>
      <c r="C36" s="266"/>
    </row>
    <row r="37" spans="1:3" x14ac:dyDescent="0.2">
      <c r="A37" s="289" t="s">
        <v>199</v>
      </c>
      <c r="B37" s="266"/>
      <c r="C37" s="290"/>
    </row>
    <row r="38" spans="1:3" x14ac:dyDescent="0.2">
      <c r="A38" s="273" t="s">
        <v>208</v>
      </c>
      <c r="B38" s="281">
        <v>0</v>
      </c>
      <c r="C38" s="280">
        <v>4500000000</v>
      </c>
    </row>
    <row r="39" spans="1:3" x14ac:dyDescent="0.2">
      <c r="A39" s="273" t="s">
        <v>209</v>
      </c>
      <c r="B39" s="281">
        <v>0</v>
      </c>
      <c r="C39" s="280">
        <v>256315076</v>
      </c>
    </row>
    <row r="40" spans="1:3" x14ac:dyDescent="0.2">
      <c r="A40" s="273" t="s">
        <v>210</v>
      </c>
      <c r="B40" s="281">
        <v>0</v>
      </c>
      <c r="C40" s="280">
        <v>-244101375</v>
      </c>
    </row>
    <row r="41" spans="1:3" x14ac:dyDescent="0.2">
      <c r="A41" s="273" t="s">
        <v>211</v>
      </c>
      <c r="B41" s="274">
        <v>2500000000</v>
      </c>
      <c r="C41" s="280">
        <v>4970000000</v>
      </c>
    </row>
    <row r="42" spans="1:3" x14ac:dyDescent="0.2">
      <c r="A42" s="273" t="s">
        <v>212</v>
      </c>
      <c r="B42" s="281">
        <v>0</v>
      </c>
      <c r="C42" s="280">
        <v>499999997</v>
      </c>
    </row>
    <row r="43" spans="1:3" x14ac:dyDescent="0.2">
      <c r="A43" s="273" t="s">
        <v>213</v>
      </c>
      <c r="B43" s="281">
        <v>0</v>
      </c>
      <c r="C43" s="280">
        <v>6986302</v>
      </c>
    </row>
    <row r="44" spans="1:3" x14ac:dyDescent="0.2">
      <c r="A44" s="273" t="s">
        <v>214</v>
      </c>
      <c r="B44" s="281">
        <v>0</v>
      </c>
      <c r="C44" s="280">
        <v>-4424657</v>
      </c>
    </row>
    <row r="45" spans="1:3" x14ac:dyDescent="0.2">
      <c r="A45" s="273" t="s">
        <v>207</v>
      </c>
      <c r="B45" s="274">
        <v>343113940</v>
      </c>
      <c r="C45" s="280">
        <v>1005530562</v>
      </c>
    </row>
    <row r="46" spans="1:3" x14ac:dyDescent="0.2">
      <c r="A46" s="273" t="s">
        <v>215</v>
      </c>
      <c r="B46" s="274">
        <v>4998997</v>
      </c>
      <c r="C46" s="280">
        <v>27348029</v>
      </c>
    </row>
    <row r="47" spans="1:3" x14ac:dyDescent="0.2">
      <c r="A47" s="273" t="s">
        <v>216</v>
      </c>
      <c r="B47" s="274">
        <v>-4801588</v>
      </c>
      <c r="C47" s="280">
        <v>-26539737</v>
      </c>
    </row>
    <row r="48" spans="1:3" x14ac:dyDescent="0.2">
      <c r="A48" s="273" t="s">
        <v>202</v>
      </c>
      <c r="B48" s="274">
        <v>14383562</v>
      </c>
      <c r="C48" s="280">
        <v>100684934</v>
      </c>
    </row>
    <row r="49" spans="1:5" x14ac:dyDescent="0.2">
      <c r="A49" s="273" t="s">
        <v>217</v>
      </c>
      <c r="B49" s="274">
        <v>2478057915</v>
      </c>
      <c r="C49" s="280">
        <v>3510398994</v>
      </c>
    </row>
    <row r="50" spans="1:5" x14ac:dyDescent="0.2">
      <c r="A50" s="273" t="s">
        <v>201</v>
      </c>
      <c r="B50" s="274">
        <v>26343107</v>
      </c>
      <c r="C50" s="280">
        <v>125900758</v>
      </c>
    </row>
    <row r="51" spans="1:5" x14ac:dyDescent="0.2">
      <c r="A51" s="273" t="s">
        <v>218</v>
      </c>
      <c r="B51" s="274">
        <v>-16445253</v>
      </c>
      <c r="C51" s="280">
        <v>-112975226</v>
      </c>
    </row>
    <row r="52" spans="1:5" x14ac:dyDescent="0.2">
      <c r="A52" s="273" t="s">
        <v>219</v>
      </c>
      <c r="B52" s="274">
        <v>-2876713</v>
      </c>
      <c r="C52" s="280">
        <v>-89657536</v>
      </c>
    </row>
    <row r="53" spans="1:5" x14ac:dyDescent="0.2">
      <c r="A53" s="273" t="s">
        <v>220</v>
      </c>
      <c r="B53" s="274">
        <v>500000006</v>
      </c>
      <c r="C53" s="280">
        <v>1337401597</v>
      </c>
    </row>
    <row r="54" spans="1:5" x14ac:dyDescent="0.2">
      <c r="A54" s="273" t="s">
        <v>221</v>
      </c>
      <c r="B54" s="274">
        <v>5881280</v>
      </c>
      <c r="C54" s="280">
        <v>43981736</v>
      </c>
    </row>
    <row r="55" spans="1:5" x14ac:dyDescent="0.2">
      <c r="A55" s="273" t="s">
        <v>222</v>
      </c>
      <c r="B55" s="274">
        <v>-3100456</v>
      </c>
      <c r="C55" s="280">
        <v>-35351598</v>
      </c>
    </row>
    <row r="56" spans="1:5" x14ac:dyDescent="0.2">
      <c r="A56" s="270" t="s">
        <v>203</v>
      </c>
      <c r="B56" s="272">
        <f>SUM(B38:B55)</f>
        <v>5845554797</v>
      </c>
      <c r="C56" s="272">
        <v>14853075822</v>
      </c>
      <c r="E56" s="186">
        <f>+B56-BG!G9</f>
        <v>-4154445203</v>
      </c>
    </row>
    <row r="57" spans="1:5" x14ac:dyDescent="0.2">
      <c r="A57" s="265" t="s">
        <v>204</v>
      </c>
      <c r="B57" s="268">
        <v>0</v>
      </c>
      <c r="C57" s="268">
        <v>15753364</v>
      </c>
    </row>
    <row r="58" spans="1:5" x14ac:dyDescent="0.2">
      <c r="A58" s="270" t="s">
        <v>205</v>
      </c>
      <c r="B58" s="272">
        <v>0</v>
      </c>
      <c r="C58" s="272">
        <v>15753364</v>
      </c>
    </row>
    <row r="59" spans="1:5" x14ac:dyDescent="0.2">
      <c r="A59" s="270" t="s">
        <v>206</v>
      </c>
      <c r="B59" s="272">
        <f>+B56</f>
        <v>5845554797</v>
      </c>
      <c r="C59" s="272">
        <v>14868829184</v>
      </c>
    </row>
  </sheetData>
  <mergeCells count="8">
    <mergeCell ref="A34:A35"/>
    <mergeCell ref="B34:C34"/>
    <mergeCell ref="A1:A2"/>
    <mergeCell ref="B1:C1"/>
    <mergeCell ref="A12:A13"/>
    <mergeCell ref="B12:C12"/>
    <mergeCell ref="A24:A25"/>
    <mergeCell ref="B24:C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J70"/>
  <sheetViews>
    <sheetView showGridLines="0" topLeftCell="A7" zoomScale="80" zoomScaleNormal="80" workbookViewId="0">
      <selection activeCell="C12" sqref="C12"/>
    </sheetView>
  </sheetViews>
  <sheetFormatPr baseColWidth="10" defaultColWidth="11.42578125" defaultRowHeight="12.75" x14ac:dyDescent="0.2"/>
  <cols>
    <col min="1" max="1" width="33.28515625" style="67" customWidth="1"/>
    <col min="2" max="2" width="14.85546875" style="67" customWidth="1"/>
    <col min="3" max="3" width="22.85546875" style="67" customWidth="1"/>
    <col min="4" max="4" width="18.85546875" style="67" customWidth="1"/>
    <col min="5" max="5" width="37.7109375" style="67" customWidth="1"/>
    <col min="6" max="6" width="15.42578125" style="67" customWidth="1"/>
    <col min="7" max="7" width="17.42578125" style="67" customWidth="1"/>
    <col min="8" max="8" width="18.28515625" style="67" customWidth="1"/>
    <col min="9" max="9" width="11.42578125" style="67"/>
    <col min="10" max="10" width="15.5703125" style="67" bestFit="1" customWidth="1"/>
    <col min="11" max="16384" width="11.42578125" style="67"/>
  </cols>
  <sheetData>
    <row r="2" spans="1:10" ht="16.5" x14ac:dyDescent="0.25">
      <c r="A2" s="755" t="s">
        <v>324</v>
      </c>
      <c r="B2" s="755"/>
      <c r="C2" s="755"/>
      <c r="D2" s="755"/>
      <c r="E2" s="755"/>
      <c r="F2" s="755"/>
      <c r="G2" s="755"/>
      <c r="H2" s="755"/>
    </row>
    <row r="3" spans="1:10" s="112" customFormat="1" ht="16.5" x14ac:dyDescent="0.25">
      <c r="A3" s="755" t="s">
        <v>325</v>
      </c>
      <c r="B3" s="755"/>
      <c r="C3" s="755"/>
      <c r="D3" s="755"/>
      <c r="E3" s="755"/>
      <c r="F3" s="755"/>
      <c r="G3" s="755"/>
      <c r="H3" s="755"/>
    </row>
    <row r="4" spans="1:10" s="112" customFormat="1" ht="16.5" x14ac:dyDescent="0.25">
      <c r="A4" s="755" t="s">
        <v>9</v>
      </c>
      <c r="B4" s="755"/>
      <c r="C4" s="755"/>
      <c r="D4" s="755"/>
      <c r="E4" s="755"/>
      <c r="F4" s="755"/>
      <c r="G4" s="755"/>
      <c r="H4" s="755"/>
    </row>
    <row r="6" spans="1:10" x14ac:dyDescent="0.2">
      <c r="A6" s="216" t="s">
        <v>0</v>
      </c>
      <c r="B6" s="217" t="s">
        <v>109</v>
      </c>
      <c r="C6" s="194">
        <v>43555</v>
      </c>
      <c r="D6" s="194">
        <v>43465</v>
      </c>
      <c r="E6" s="216" t="s">
        <v>1</v>
      </c>
      <c r="F6" s="217" t="s">
        <v>109</v>
      </c>
      <c r="G6" s="194">
        <v>43555</v>
      </c>
      <c r="H6" s="194">
        <v>43465</v>
      </c>
    </row>
    <row r="7" spans="1:10" x14ac:dyDescent="0.2">
      <c r="A7" s="218" t="s">
        <v>2</v>
      </c>
      <c r="B7" s="64"/>
      <c r="C7" s="59"/>
      <c r="D7" s="59"/>
      <c r="E7" s="219" t="s">
        <v>3</v>
      </c>
      <c r="F7" s="192"/>
      <c r="G7" s="64"/>
      <c r="H7" s="64"/>
    </row>
    <row r="8" spans="1:10" x14ac:dyDescent="0.2">
      <c r="A8" s="64"/>
      <c r="B8" s="225"/>
      <c r="C8" s="190"/>
      <c r="D8" s="64"/>
      <c r="E8" s="64"/>
      <c r="F8" s="187"/>
      <c r="G8" s="352"/>
      <c r="H8" s="64"/>
    </row>
    <row r="9" spans="1:10" x14ac:dyDescent="0.2">
      <c r="A9" s="64" t="s">
        <v>110</v>
      </c>
      <c r="B9" s="225">
        <v>4</v>
      </c>
      <c r="C9" s="222">
        <v>2024053488</v>
      </c>
      <c r="D9" s="222">
        <v>2870824623</v>
      </c>
      <c r="E9" s="221" t="s">
        <v>113</v>
      </c>
      <c r="F9" s="187">
        <v>9</v>
      </c>
      <c r="G9" s="220">
        <v>10000000000</v>
      </c>
      <c r="H9" s="222">
        <v>11878791814</v>
      </c>
      <c r="I9" s="114"/>
      <c r="J9" s="144"/>
    </row>
    <row r="10" spans="1:10" x14ac:dyDescent="0.2">
      <c r="A10" s="223" t="s">
        <v>111</v>
      </c>
      <c r="B10" s="231">
        <v>5</v>
      </c>
      <c r="C10" s="222">
        <f>44083532574</f>
        <v>44083532574</v>
      </c>
      <c r="D10" s="222">
        <v>41424583047</v>
      </c>
      <c r="E10" s="223" t="s">
        <v>114</v>
      </c>
      <c r="F10" s="224">
        <v>10</v>
      </c>
      <c r="G10" s="657">
        <v>32416924965</v>
      </c>
      <c r="H10" s="237">
        <v>19841765959</v>
      </c>
    </row>
    <row r="11" spans="1:10" x14ac:dyDescent="0.2">
      <c r="A11" s="223" t="s">
        <v>106</v>
      </c>
      <c r="B11" s="231">
        <v>6</v>
      </c>
      <c r="C11" s="222">
        <v>0</v>
      </c>
      <c r="D11" s="222">
        <v>1274135334</v>
      </c>
      <c r="E11" s="221" t="s">
        <v>115</v>
      </c>
      <c r="F11" s="224">
        <v>11</v>
      </c>
      <c r="G11" s="657">
        <v>786755109</v>
      </c>
      <c r="H11" s="237">
        <v>385604926</v>
      </c>
    </row>
    <row r="12" spans="1:10" x14ac:dyDescent="0.2">
      <c r="A12" s="221" t="s">
        <v>112</v>
      </c>
      <c r="B12" s="225">
        <v>7</v>
      </c>
      <c r="C12" s="222">
        <v>74874255659</v>
      </c>
      <c r="D12" s="222">
        <v>65848718689</v>
      </c>
      <c r="E12" s="221" t="s">
        <v>327</v>
      </c>
      <c r="F12" s="187">
        <v>12</v>
      </c>
      <c r="G12" s="657">
        <v>1196538601</v>
      </c>
      <c r="H12" s="237">
        <v>2519235388</v>
      </c>
    </row>
    <row r="13" spans="1:10" x14ac:dyDescent="0.2">
      <c r="A13" s="221" t="s">
        <v>131</v>
      </c>
      <c r="B13" s="225">
        <v>8</v>
      </c>
      <c r="C13" s="222">
        <v>311543767</v>
      </c>
      <c r="D13" s="222">
        <v>109591865</v>
      </c>
      <c r="E13" s="64"/>
      <c r="F13" s="187"/>
      <c r="G13" s="220"/>
      <c r="H13" s="222"/>
    </row>
    <row r="14" spans="1:10" x14ac:dyDescent="0.2">
      <c r="A14" s="226" t="s">
        <v>4</v>
      </c>
      <c r="B14" s="225"/>
      <c r="C14" s="363">
        <f>SUM(C9:C13)</f>
        <v>121293385488</v>
      </c>
      <c r="D14" s="359">
        <f>SUM(D9:D13)</f>
        <v>111527853558</v>
      </c>
      <c r="E14" s="218" t="s">
        <v>5</v>
      </c>
      <c r="F14" s="187"/>
      <c r="G14" s="236">
        <f>SUM(G9:G13)</f>
        <v>44400218675</v>
      </c>
      <c r="H14" s="227">
        <f>SUM(H9:H13)</f>
        <v>34625398087</v>
      </c>
    </row>
    <row r="15" spans="1:10" x14ac:dyDescent="0.2">
      <c r="A15" s="190"/>
      <c r="B15" s="225"/>
      <c r="C15" s="364"/>
      <c r="D15" s="360"/>
      <c r="E15" s="64"/>
      <c r="F15" s="187"/>
      <c r="G15" s="353"/>
      <c r="H15" s="228"/>
    </row>
    <row r="16" spans="1:10" x14ac:dyDescent="0.2">
      <c r="A16" s="226" t="s">
        <v>6</v>
      </c>
      <c r="B16" s="225"/>
      <c r="C16" s="365"/>
      <c r="D16" s="361"/>
      <c r="E16" s="218" t="s">
        <v>412</v>
      </c>
      <c r="F16" s="187"/>
      <c r="G16" s="355">
        <v>0</v>
      </c>
      <c r="H16" s="355">
        <v>0</v>
      </c>
    </row>
    <row r="17" spans="1:9" x14ac:dyDescent="0.2">
      <c r="A17" s="190"/>
      <c r="B17" s="225"/>
      <c r="C17" s="364"/>
      <c r="D17" s="360"/>
      <c r="E17" s="64"/>
      <c r="F17" s="187"/>
      <c r="G17" s="237"/>
      <c r="H17" s="222"/>
    </row>
    <row r="18" spans="1:9" x14ac:dyDescent="0.2">
      <c r="A18" s="229" t="s">
        <v>123</v>
      </c>
      <c r="B18" s="225" t="s">
        <v>408</v>
      </c>
      <c r="C18" s="222">
        <v>49468672709</v>
      </c>
      <c r="D18" s="222">
        <v>49195982152</v>
      </c>
      <c r="E18" s="221"/>
      <c r="F18" s="225"/>
      <c r="G18" s="222"/>
      <c r="H18" s="222"/>
    </row>
    <row r="19" spans="1:9" x14ac:dyDescent="0.2">
      <c r="A19" s="190" t="s">
        <v>326</v>
      </c>
      <c r="B19" s="225"/>
      <c r="C19" s="222">
        <v>1515583079</v>
      </c>
      <c r="D19" s="222">
        <v>793763509</v>
      </c>
      <c r="E19" s="218" t="s">
        <v>104</v>
      </c>
      <c r="F19" s="192"/>
      <c r="G19" s="227">
        <f>+G20+G14</f>
        <v>44400218675</v>
      </c>
      <c r="H19" s="227">
        <f>+H14+H20</f>
        <v>34625398087</v>
      </c>
    </row>
    <row r="20" spans="1:9" hidden="1" x14ac:dyDescent="0.2">
      <c r="A20" s="190"/>
      <c r="B20" s="225"/>
      <c r="C20" s="357"/>
      <c r="D20" s="360"/>
      <c r="E20" s="230"/>
      <c r="F20" s="231"/>
      <c r="G20" s="355"/>
      <c r="H20" s="355"/>
    </row>
    <row r="21" spans="1:9" hidden="1" x14ac:dyDescent="0.2">
      <c r="A21" s="193"/>
      <c r="B21" s="231"/>
      <c r="C21" s="360"/>
      <c r="D21" s="358"/>
    </row>
    <row r="22" spans="1:9" x14ac:dyDescent="0.2">
      <c r="A22" s="64"/>
      <c r="B22" s="187"/>
      <c r="C22" s="362"/>
      <c r="D22" s="362"/>
      <c r="E22" s="64"/>
      <c r="F22" s="192"/>
      <c r="G22" s="228"/>
      <c r="H22" s="228"/>
    </row>
    <row r="23" spans="1:9" x14ac:dyDescent="0.2">
      <c r="A23" s="226" t="s">
        <v>7</v>
      </c>
      <c r="B23" s="225"/>
      <c r="C23" s="359">
        <f>SUM(C18:C22)</f>
        <v>50984255788</v>
      </c>
      <c r="D23" s="359">
        <f>SUM(D18:D22)</f>
        <v>49989745661</v>
      </c>
      <c r="E23" s="218" t="s">
        <v>102</v>
      </c>
      <c r="F23" s="192"/>
      <c r="G23" s="741">
        <f>127231203412+1929695806</f>
        <v>129160899218</v>
      </c>
      <c r="H23" s="355">
        <v>126892201132</v>
      </c>
    </row>
    <row r="24" spans="1:9" x14ac:dyDescent="0.2">
      <c r="A24" s="190"/>
      <c r="B24" s="225"/>
      <c r="C24" s="228"/>
      <c r="D24" s="228"/>
      <c r="E24" s="64"/>
      <c r="F24" s="192"/>
      <c r="G24" s="228"/>
      <c r="H24" s="228"/>
    </row>
    <row r="25" spans="1:9" ht="13.5" thickBot="1" x14ac:dyDescent="0.25">
      <c r="A25" s="232" t="s">
        <v>8</v>
      </c>
      <c r="B25" s="233"/>
      <c r="C25" s="354">
        <f>+C23+C14</f>
        <v>172277641276</v>
      </c>
      <c r="D25" s="354">
        <f>+D23+D14</f>
        <v>161517599219</v>
      </c>
      <c r="E25" s="234" t="s">
        <v>95</v>
      </c>
      <c r="F25" s="235"/>
      <c r="G25" s="354">
        <f>+G23+G19</f>
        <v>173561117893</v>
      </c>
      <c r="H25" s="354">
        <f>+H23+H19</f>
        <v>161517599219</v>
      </c>
      <c r="I25" s="114"/>
    </row>
    <row r="26" spans="1:9" ht="15" thickTop="1" x14ac:dyDescent="0.2">
      <c r="A26" s="48"/>
      <c r="B26" s="48"/>
      <c r="C26" s="115"/>
      <c r="D26" s="115"/>
      <c r="G26" s="186"/>
    </row>
    <row r="27" spans="1:9" s="107" customFormat="1" ht="18" x14ac:dyDescent="0.25">
      <c r="A27" s="93" t="s">
        <v>98</v>
      </c>
      <c r="E27" s="48"/>
      <c r="F27" s="48"/>
      <c r="G27" s="186"/>
      <c r="H27" s="115"/>
    </row>
    <row r="28" spans="1:9" s="107" customFormat="1" ht="18" x14ac:dyDescent="0.25">
      <c r="C28" s="179"/>
      <c r="D28" s="179"/>
      <c r="G28"/>
    </row>
    <row r="29" spans="1:9" ht="18" x14ac:dyDescent="0.25">
      <c r="C29" s="179"/>
      <c r="E29" s="107"/>
      <c r="F29" s="107"/>
      <c r="G29"/>
      <c r="H29" s="116"/>
    </row>
    <row r="30" spans="1:9" x14ac:dyDescent="0.2">
      <c r="C30" s="114"/>
      <c r="E30" s="179"/>
      <c r="G30"/>
    </row>
    <row r="31" spans="1:9" x14ac:dyDescent="0.2">
      <c r="C31" s="147"/>
      <c r="G31"/>
    </row>
    <row r="32" spans="1:9" x14ac:dyDescent="0.2">
      <c r="C32" s="147"/>
      <c r="E32" s="147"/>
    </row>
    <row r="33" spans="1:8" customFormat="1" ht="13.5" x14ac:dyDescent="0.25">
      <c r="A33" s="751" t="s">
        <v>321</v>
      </c>
      <c r="B33" s="751"/>
      <c r="C33" s="751" t="s">
        <v>322</v>
      </c>
      <c r="D33" s="751"/>
      <c r="E33" s="482" t="s">
        <v>323</v>
      </c>
      <c r="F33" s="76"/>
      <c r="G33" s="76"/>
      <c r="H33" s="2"/>
    </row>
    <row r="34" spans="1:8" x14ac:dyDescent="0.2">
      <c r="A34" s="757" t="s">
        <v>141</v>
      </c>
      <c r="B34" s="757"/>
      <c r="C34" s="756" t="s">
        <v>154</v>
      </c>
      <c r="D34" s="756"/>
      <c r="E34" s="108" t="s">
        <v>127</v>
      </c>
      <c r="F34" s="108"/>
      <c r="G34" s="148"/>
    </row>
    <row r="35" spans="1:8" x14ac:dyDescent="0.2">
      <c r="F35" s="108"/>
      <c r="G35" s="83"/>
    </row>
    <row r="36" spans="1:8" x14ac:dyDescent="0.2">
      <c r="A36" s="111"/>
    </row>
    <row r="37" spans="1:8" ht="12.75" hidden="1" customHeight="1" x14ac:dyDescent="0.2"/>
    <row r="38" spans="1:8" ht="12.75" hidden="1" customHeight="1" x14ac:dyDescent="0.2"/>
    <row r="39" spans="1:8" hidden="1" x14ac:dyDescent="0.2"/>
    <row r="40" spans="1:8" hidden="1" x14ac:dyDescent="0.2"/>
    <row r="41" spans="1:8" hidden="1" x14ac:dyDescent="0.2"/>
    <row r="42" spans="1:8" hidden="1" x14ac:dyDescent="0.2"/>
    <row r="43" spans="1:8" ht="15" x14ac:dyDescent="0.25">
      <c r="A43" s="111"/>
      <c r="B43" s="117"/>
      <c r="C43" s="84"/>
      <c r="D43" s="118"/>
    </row>
    <row r="44" spans="1:8" ht="15" x14ac:dyDescent="0.25">
      <c r="A44" s="117"/>
      <c r="B44" s="119"/>
      <c r="C44" s="84"/>
      <c r="D44" s="118"/>
      <c r="E44" s="119"/>
      <c r="F44" s="117"/>
    </row>
    <row r="45" spans="1:8" ht="15" x14ac:dyDescent="0.25">
      <c r="E45" s="119"/>
      <c r="F45" s="117"/>
    </row>
    <row r="47" spans="1:8" x14ac:dyDescent="0.2">
      <c r="A47" s="62"/>
    </row>
    <row r="52" spans="2:7" x14ac:dyDescent="0.2">
      <c r="B52" s="53"/>
      <c r="C52" s="53"/>
      <c r="D52" s="53"/>
    </row>
    <row r="53" spans="2:7" x14ac:dyDescent="0.2">
      <c r="B53" s="53"/>
      <c r="C53" s="53"/>
      <c r="D53" s="53"/>
      <c r="E53" s="53"/>
      <c r="F53" s="71"/>
      <c r="G53" s="53"/>
    </row>
    <row r="54" spans="2:7" x14ac:dyDescent="0.2">
      <c r="B54" s="53"/>
      <c r="C54" s="53"/>
      <c r="D54" s="71"/>
      <c r="E54" s="53"/>
      <c r="F54" s="71"/>
      <c r="G54" s="53"/>
    </row>
    <row r="55" spans="2:7" x14ac:dyDescent="0.2">
      <c r="B55" s="53"/>
      <c r="C55" s="53"/>
      <c r="D55" s="71"/>
      <c r="E55" s="71"/>
      <c r="F55" s="71"/>
      <c r="G55" s="53"/>
    </row>
    <row r="56" spans="2:7" x14ac:dyDescent="0.2">
      <c r="B56" s="71"/>
      <c r="C56" s="53"/>
      <c r="D56" s="71"/>
      <c r="E56" s="68"/>
      <c r="F56" s="71"/>
      <c r="G56" s="53"/>
    </row>
    <row r="57" spans="2:7" x14ac:dyDescent="0.2">
      <c r="B57" s="71"/>
      <c r="C57" s="53"/>
      <c r="D57" s="72"/>
      <c r="E57" s="68"/>
      <c r="F57" s="53"/>
      <c r="G57" s="53"/>
    </row>
    <row r="58" spans="2:7" x14ac:dyDescent="0.2">
      <c r="B58" s="71"/>
      <c r="C58" s="53"/>
      <c r="D58" s="53"/>
      <c r="E58" s="68"/>
      <c r="F58" s="70"/>
      <c r="G58" s="53"/>
    </row>
    <row r="59" spans="2:7" x14ac:dyDescent="0.2">
      <c r="B59" s="71"/>
      <c r="C59" s="53"/>
      <c r="D59" s="53"/>
      <c r="E59" s="68"/>
      <c r="F59" s="53"/>
      <c r="G59" s="53"/>
    </row>
    <row r="60" spans="2:7" x14ac:dyDescent="0.2">
      <c r="B60" s="53"/>
      <c r="C60" s="53"/>
      <c r="D60" s="53"/>
      <c r="E60" s="68"/>
      <c r="F60" s="70"/>
      <c r="G60" s="53"/>
    </row>
    <row r="61" spans="2:7" x14ac:dyDescent="0.2">
      <c r="B61" s="53"/>
      <c r="C61" s="53"/>
      <c r="D61" s="53"/>
      <c r="E61" s="68"/>
      <c r="F61" s="53"/>
      <c r="G61" s="53"/>
    </row>
    <row r="62" spans="2:7" x14ac:dyDescent="0.2">
      <c r="B62" s="53"/>
      <c r="C62" s="53"/>
      <c r="D62" s="53"/>
      <c r="E62" s="68"/>
      <c r="F62" s="53"/>
      <c r="G62" s="53"/>
    </row>
    <row r="63" spans="2:7" x14ac:dyDescent="0.2">
      <c r="E63" s="71"/>
      <c r="F63" s="53"/>
      <c r="G63" s="53"/>
    </row>
    <row r="64" spans="2:7" x14ac:dyDescent="0.2">
      <c r="E64" s="68"/>
    </row>
    <row r="65" spans="5:5" x14ac:dyDescent="0.2">
      <c r="E65" s="68"/>
    </row>
    <row r="66" spans="5:5" x14ac:dyDescent="0.2">
      <c r="E66" s="68"/>
    </row>
    <row r="67" spans="5:5" x14ac:dyDescent="0.2">
      <c r="E67" s="69"/>
    </row>
    <row r="68" spans="5:5" x14ac:dyDescent="0.2">
      <c r="E68" s="53"/>
    </row>
    <row r="69" spans="5:5" x14ac:dyDescent="0.2">
      <c r="E69" s="70"/>
    </row>
    <row r="70" spans="5:5" x14ac:dyDescent="0.2">
      <c r="E70" s="53"/>
    </row>
  </sheetData>
  <mergeCells count="7">
    <mergeCell ref="A3:H3"/>
    <mergeCell ref="A4:H4"/>
    <mergeCell ref="C33:D33"/>
    <mergeCell ref="C34:D34"/>
    <mergeCell ref="A2:H2"/>
    <mergeCell ref="A33:B33"/>
    <mergeCell ref="A34:B34"/>
  </mergeCells>
  <phoneticPr fontId="0" type="noConversion"/>
  <printOptions horizontalCentered="1" gridLinesSet="0"/>
  <pageMargins left="1.1811023622047245" right="1.5748031496062993" top="1.3779527559055118" bottom="1.1811023622047245" header="0.51181102362204722" footer="0.98425196850393704"/>
  <pageSetup scale="55" orientation="landscape" r:id="rId1"/>
  <headerFooter alignWithMargins="0">
    <oddFooter xml:space="preserve">&amp;C4
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335E2-D21D-454E-AF4E-F5B7A1086007}">
  <dimension ref="A1:C44"/>
  <sheetViews>
    <sheetView topLeftCell="A25" workbookViewId="0">
      <selection sqref="A1:C44"/>
    </sheetView>
  </sheetViews>
  <sheetFormatPr baseColWidth="10" defaultColWidth="11.42578125" defaultRowHeight="12.75" x14ac:dyDescent="0.2"/>
  <cols>
    <col min="1" max="1" width="46.5703125" style="67" customWidth="1"/>
    <col min="2" max="2" width="18.7109375" style="114" customWidth="1"/>
    <col min="3" max="3" width="18.42578125" style="288" customWidth="1"/>
    <col min="4" max="16384" width="11.42578125" style="67"/>
  </cols>
  <sheetData>
    <row r="1" spans="1:3" x14ac:dyDescent="0.2">
      <c r="A1" s="816" t="s">
        <v>166</v>
      </c>
      <c r="B1" s="816" t="s">
        <v>167</v>
      </c>
      <c r="C1" s="816"/>
    </row>
    <row r="2" spans="1:3" x14ac:dyDescent="0.2">
      <c r="A2" s="816"/>
      <c r="B2" s="264">
        <v>43190</v>
      </c>
      <c r="C2" s="244">
        <v>43100</v>
      </c>
    </row>
    <row r="3" spans="1:3" x14ac:dyDescent="0.2">
      <c r="A3" s="292" t="s">
        <v>208</v>
      </c>
      <c r="B3" s="293">
        <v>0</v>
      </c>
      <c r="C3" s="211">
        <v>4500000000</v>
      </c>
    </row>
    <row r="4" spans="1:3" x14ac:dyDescent="0.2">
      <c r="A4" s="273" t="s">
        <v>209</v>
      </c>
      <c r="B4" s="281">
        <v>0</v>
      </c>
      <c r="C4" s="280">
        <v>256315076</v>
      </c>
    </row>
    <row r="5" spans="1:3" x14ac:dyDescent="0.2">
      <c r="A5" s="273" t="s">
        <v>210</v>
      </c>
      <c r="B5" s="281">
        <v>0</v>
      </c>
      <c r="C5" s="280">
        <v>-244101375</v>
      </c>
    </row>
    <row r="6" spans="1:3" x14ac:dyDescent="0.2">
      <c r="A6" s="273" t="s">
        <v>211</v>
      </c>
      <c r="B6" s="274">
        <v>2500000000</v>
      </c>
      <c r="C6" s="280">
        <v>4970000000</v>
      </c>
    </row>
    <row r="7" spans="1:3" x14ac:dyDescent="0.2">
      <c r="A7" s="273" t="s">
        <v>212</v>
      </c>
      <c r="B7" s="281">
        <v>0</v>
      </c>
      <c r="C7" s="280">
        <v>499999997</v>
      </c>
    </row>
    <row r="8" spans="1:3" x14ac:dyDescent="0.2">
      <c r="A8" s="273" t="s">
        <v>213</v>
      </c>
      <c r="B8" s="281">
        <v>0</v>
      </c>
      <c r="C8" s="280">
        <v>6986302</v>
      </c>
    </row>
    <row r="9" spans="1:3" x14ac:dyDescent="0.2">
      <c r="A9" s="273" t="s">
        <v>214</v>
      </c>
      <c r="B9" s="281">
        <v>0</v>
      </c>
      <c r="C9" s="280">
        <v>-4424657</v>
      </c>
    </row>
    <row r="10" spans="1:3" x14ac:dyDescent="0.2">
      <c r="A10" s="273" t="s">
        <v>207</v>
      </c>
      <c r="B10" s="274">
        <v>343113940</v>
      </c>
      <c r="C10" s="280">
        <v>1005530562</v>
      </c>
    </row>
    <row r="11" spans="1:3" x14ac:dyDescent="0.2">
      <c r="A11" s="273" t="s">
        <v>215</v>
      </c>
      <c r="B11" s="274">
        <v>4998997</v>
      </c>
      <c r="C11" s="280">
        <v>27348029</v>
      </c>
    </row>
    <row r="12" spans="1:3" x14ac:dyDescent="0.2">
      <c r="A12" s="273" t="s">
        <v>216</v>
      </c>
      <c r="B12" s="274">
        <v>-4801588</v>
      </c>
      <c r="C12" s="280">
        <v>-26539737</v>
      </c>
    </row>
    <row r="13" spans="1:3" x14ac:dyDescent="0.2">
      <c r="A13" s="273" t="s">
        <v>202</v>
      </c>
      <c r="B13" s="274">
        <v>14383562</v>
      </c>
      <c r="C13" s="280">
        <v>100684934</v>
      </c>
    </row>
    <row r="14" spans="1:3" x14ac:dyDescent="0.2">
      <c r="A14" s="273" t="s">
        <v>217</v>
      </c>
      <c r="B14" s="274">
        <v>2478057915</v>
      </c>
      <c r="C14" s="280">
        <v>3510398994</v>
      </c>
    </row>
    <row r="15" spans="1:3" x14ac:dyDescent="0.2">
      <c r="A15" s="273" t="s">
        <v>201</v>
      </c>
      <c r="B15" s="274">
        <v>26343107</v>
      </c>
      <c r="C15" s="280">
        <v>125900758</v>
      </c>
    </row>
    <row r="16" spans="1:3" x14ac:dyDescent="0.2">
      <c r="A16" s="273" t="s">
        <v>218</v>
      </c>
      <c r="B16" s="274">
        <v>-16445253</v>
      </c>
      <c r="C16" s="280">
        <v>-112975226</v>
      </c>
    </row>
    <row r="17" spans="1:3" x14ac:dyDescent="0.2">
      <c r="A17" s="273" t="s">
        <v>219</v>
      </c>
      <c r="B17" s="274">
        <v>-2876713</v>
      </c>
      <c r="C17" s="280">
        <v>-89657536</v>
      </c>
    </row>
    <row r="18" spans="1:3" x14ac:dyDescent="0.2">
      <c r="A18" s="273" t="s">
        <v>220</v>
      </c>
      <c r="B18" s="274">
        <v>500000006</v>
      </c>
      <c r="C18" s="280">
        <v>1337401597</v>
      </c>
    </row>
    <row r="19" spans="1:3" x14ac:dyDescent="0.2">
      <c r="A19" s="273" t="s">
        <v>221</v>
      </c>
      <c r="B19" s="274">
        <v>5881280</v>
      </c>
      <c r="C19" s="280">
        <v>43981736</v>
      </c>
    </row>
    <row r="20" spans="1:3" x14ac:dyDescent="0.2">
      <c r="A20" s="273" t="s">
        <v>222</v>
      </c>
      <c r="B20" s="274">
        <v>-3100456</v>
      </c>
      <c r="C20" s="280">
        <v>-35351598</v>
      </c>
    </row>
    <row r="21" spans="1:3" x14ac:dyDescent="0.2">
      <c r="A21" s="276" t="s">
        <v>223</v>
      </c>
      <c r="B21" s="281">
        <v>0</v>
      </c>
      <c r="C21" s="280">
        <v>0</v>
      </c>
    </row>
    <row r="22" spans="1:3" x14ac:dyDescent="0.2">
      <c r="A22" s="286" t="s">
        <v>206</v>
      </c>
      <c r="B22" s="282">
        <f>SUM(B3:B21)</f>
        <v>5845554797</v>
      </c>
      <c r="C22" s="227">
        <f>SUM(C3:C21)</f>
        <v>15871497856</v>
      </c>
    </row>
    <row r="23" spans="1:3" x14ac:dyDescent="0.2">
      <c r="A23" s="275"/>
      <c r="B23" s="283"/>
      <c r="C23" s="283"/>
    </row>
    <row r="24" spans="1:3" x14ac:dyDescent="0.2">
      <c r="A24" s="277" t="s">
        <v>224</v>
      </c>
      <c r="B24" s="283"/>
      <c r="C24" s="283"/>
    </row>
    <row r="25" spans="1:3" x14ac:dyDescent="0.2">
      <c r="A25" s="279" t="s">
        <v>225</v>
      </c>
      <c r="B25" s="287">
        <v>0</v>
      </c>
      <c r="C25" s="280">
        <v>1000000000</v>
      </c>
    </row>
    <row r="26" spans="1:3" x14ac:dyDescent="0.2">
      <c r="A26" s="279" t="s">
        <v>226</v>
      </c>
      <c r="B26" s="274">
        <v>4602740</v>
      </c>
      <c r="C26" s="280">
        <v>49808229</v>
      </c>
    </row>
    <row r="27" spans="1:3" x14ac:dyDescent="0.2">
      <c r="A27" s="279" t="s">
        <v>227</v>
      </c>
      <c r="B27" s="274">
        <v>-1972602</v>
      </c>
      <c r="C27" s="280">
        <v>-43561645</v>
      </c>
    </row>
    <row r="28" spans="1:3" x14ac:dyDescent="0.2">
      <c r="A28" s="279" t="s">
        <v>228</v>
      </c>
      <c r="B28" s="274">
        <v>10206666665</v>
      </c>
      <c r="C28" s="280">
        <v>8040000000</v>
      </c>
    </row>
    <row r="29" spans="1:3" x14ac:dyDescent="0.2">
      <c r="A29" s="279" t="s">
        <v>229</v>
      </c>
      <c r="B29" s="274">
        <v>2131897812</v>
      </c>
      <c r="C29" s="280">
        <v>2558648224</v>
      </c>
    </row>
    <row r="30" spans="1:3" x14ac:dyDescent="0.2">
      <c r="A30" s="279" t="s">
        <v>230</v>
      </c>
      <c r="B30" s="274">
        <v>-1895413972</v>
      </c>
      <c r="C30" s="280">
        <v>-2286958111</v>
      </c>
    </row>
    <row r="31" spans="1:3" x14ac:dyDescent="0.2">
      <c r="A31" s="279" t="s">
        <v>231</v>
      </c>
      <c r="B31" s="274">
        <v>-177184113</v>
      </c>
      <c r="C31" s="280">
        <v>-213445483</v>
      </c>
    </row>
    <row r="32" spans="1:3" x14ac:dyDescent="0.2">
      <c r="A32" s="279" t="s">
        <v>232</v>
      </c>
      <c r="B32" s="274">
        <v>2882377008</v>
      </c>
      <c r="C32" s="280">
        <v>0</v>
      </c>
    </row>
    <row r="33" spans="1:3" x14ac:dyDescent="0.2">
      <c r="A33" s="276" t="s">
        <v>233</v>
      </c>
      <c r="B33" s="274">
        <v>155530892</v>
      </c>
      <c r="C33" s="280">
        <v>0</v>
      </c>
    </row>
    <row r="34" spans="1:3" x14ac:dyDescent="0.2">
      <c r="A34" s="279" t="s">
        <v>234</v>
      </c>
      <c r="B34" s="274">
        <v>500000000</v>
      </c>
      <c r="C34" s="280">
        <v>2500000000</v>
      </c>
    </row>
    <row r="35" spans="1:3" x14ac:dyDescent="0.2">
      <c r="A35" s="276" t="s">
        <v>235</v>
      </c>
      <c r="B35" s="274">
        <v>2015475936</v>
      </c>
      <c r="C35" s="280">
        <v>0</v>
      </c>
    </row>
    <row r="36" spans="1:3" x14ac:dyDescent="0.2">
      <c r="A36" s="276" t="s">
        <v>236</v>
      </c>
      <c r="B36" s="274">
        <v>144759360</v>
      </c>
      <c r="C36" s="280">
        <v>0</v>
      </c>
    </row>
    <row r="37" spans="1:3" x14ac:dyDescent="0.2">
      <c r="A37" s="276" t="s">
        <v>237</v>
      </c>
      <c r="B37" s="274">
        <v>-140980343</v>
      </c>
      <c r="C37" s="280">
        <v>0</v>
      </c>
    </row>
    <row r="38" spans="1:3" x14ac:dyDescent="0.2">
      <c r="A38" s="276" t="s">
        <v>238</v>
      </c>
      <c r="B38" s="274">
        <v>-146683143</v>
      </c>
      <c r="C38" s="280">
        <v>0</v>
      </c>
    </row>
    <row r="39" spans="1:3" x14ac:dyDescent="0.2">
      <c r="A39" s="276" t="s">
        <v>200</v>
      </c>
      <c r="B39" s="274">
        <v>2685494977</v>
      </c>
      <c r="C39" s="280">
        <v>0</v>
      </c>
    </row>
    <row r="40" spans="1:3" x14ac:dyDescent="0.2">
      <c r="A40" s="276" t="s">
        <v>201</v>
      </c>
      <c r="B40" s="274">
        <v>78663822</v>
      </c>
      <c r="C40" s="280">
        <v>0</v>
      </c>
    </row>
    <row r="41" spans="1:3" x14ac:dyDescent="0.2">
      <c r="A41" s="276" t="s">
        <v>239</v>
      </c>
      <c r="B41" s="274">
        <v>-75447820</v>
      </c>
      <c r="C41" s="280">
        <v>0</v>
      </c>
    </row>
    <row r="42" spans="1:3" x14ac:dyDescent="0.2">
      <c r="A42" s="279" t="s">
        <v>240</v>
      </c>
      <c r="B42" s="281">
        <v>0</v>
      </c>
      <c r="C42" s="280">
        <v>58630134</v>
      </c>
    </row>
    <row r="43" spans="1:3" x14ac:dyDescent="0.2">
      <c r="A43" s="279" t="s">
        <v>241</v>
      </c>
      <c r="B43" s="281">
        <v>0</v>
      </c>
      <c r="C43" s="280">
        <v>-56609559</v>
      </c>
    </row>
    <row r="44" spans="1:3" x14ac:dyDescent="0.2">
      <c r="A44" s="277" t="s">
        <v>242</v>
      </c>
      <c r="B44" s="285">
        <f>SUM(B26:B43)</f>
        <v>18367787219</v>
      </c>
      <c r="C44" s="285">
        <f>SUM(C25:C43)</f>
        <v>11606511789</v>
      </c>
    </row>
  </sheetData>
  <mergeCells count="2">
    <mergeCell ref="A1:A2"/>
    <mergeCell ref="B1:C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0BE9A-4AAF-4D34-ACCD-D69883FFD88A}">
  <dimension ref="A1:E17"/>
  <sheetViews>
    <sheetView workbookViewId="0">
      <selection sqref="A1:D11"/>
    </sheetView>
  </sheetViews>
  <sheetFormatPr baseColWidth="10" defaultRowHeight="12.75" x14ac:dyDescent="0.2"/>
  <cols>
    <col min="1" max="1" width="48" customWidth="1"/>
    <col min="2" max="2" width="19.5703125" customWidth="1"/>
    <col min="3" max="3" width="16.140625" customWidth="1"/>
    <col min="4" max="4" width="16.85546875" customWidth="1"/>
    <col min="5" max="5" width="13.7109375" bestFit="1" customWidth="1"/>
  </cols>
  <sheetData>
    <row r="1" spans="1:5" x14ac:dyDescent="0.2">
      <c r="A1" s="818" t="s">
        <v>174</v>
      </c>
      <c r="B1" s="254" t="s">
        <v>175</v>
      </c>
      <c r="C1" s="819" t="s">
        <v>176</v>
      </c>
      <c r="D1" s="819"/>
    </row>
    <row r="2" spans="1:5" x14ac:dyDescent="0.2">
      <c r="A2" s="818"/>
      <c r="B2" s="254" t="s">
        <v>177</v>
      </c>
      <c r="C2" s="254" t="s">
        <v>177</v>
      </c>
      <c r="D2" s="254" t="s">
        <v>178</v>
      </c>
    </row>
    <row r="3" spans="1:5" x14ac:dyDescent="0.2">
      <c r="A3" s="255" t="s">
        <v>179</v>
      </c>
      <c r="B3" s="256">
        <v>30981488743</v>
      </c>
      <c r="C3" s="246">
        <v>6542051590</v>
      </c>
      <c r="D3" s="257">
        <v>0.84409999999999996</v>
      </c>
      <c r="E3" s="253">
        <f>+C3/B9</f>
        <v>0.1767652687536492</v>
      </c>
    </row>
    <row r="4" spans="1:5" x14ac:dyDescent="0.2">
      <c r="A4" s="258" t="s">
        <v>180</v>
      </c>
      <c r="B4" s="259"/>
      <c r="C4" s="260"/>
      <c r="D4" s="260"/>
    </row>
    <row r="5" spans="1:5" x14ac:dyDescent="0.2">
      <c r="A5" s="258" t="s">
        <v>181</v>
      </c>
      <c r="B5" s="260">
        <v>0</v>
      </c>
      <c r="C5" s="260">
        <v>0</v>
      </c>
      <c r="D5" s="257">
        <v>0</v>
      </c>
    </row>
    <row r="6" spans="1:5" x14ac:dyDescent="0.2">
      <c r="A6" s="258" t="s">
        <v>182</v>
      </c>
      <c r="B6" s="246">
        <v>6028335846</v>
      </c>
      <c r="C6" s="261">
        <v>940017396</v>
      </c>
      <c r="D6" s="257">
        <v>0.15590000000000001</v>
      </c>
    </row>
    <row r="7" spans="1:5" x14ac:dyDescent="0.2">
      <c r="A7" s="258" t="s">
        <v>183</v>
      </c>
      <c r="B7" s="260">
        <v>0</v>
      </c>
      <c r="C7" s="260">
        <v>0</v>
      </c>
      <c r="D7" s="257">
        <v>0</v>
      </c>
    </row>
    <row r="8" spans="1:5" x14ac:dyDescent="0.2">
      <c r="A8" s="258" t="s">
        <v>184</v>
      </c>
      <c r="B8" s="256">
        <f>+B6</f>
        <v>6028335846</v>
      </c>
      <c r="C8" s="256">
        <v>940017396</v>
      </c>
      <c r="D8" s="262">
        <v>0.15590000000000001</v>
      </c>
    </row>
    <row r="9" spans="1:5" x14ac:dyDescent="0.2">
      <c r="A9" s="255" t="s">
        <v>185</v>
      </c>
      <c r="B9" s="256">
        <f>+B8+B3</f>
        <v>37009824589</v>
      </c>
      <c r="C9" s="256">
        <f>SUM(C3:C6)</f>
        <v>7482068986</v>
      </c>
      <c r="D9" s="257">
        <v>1</v>
      </c>
    </row>
    <row r="10" spans="1:5" x14ac:dyDescent="0.2">
      <c r="A10" s="258" t="s">
        <v>186</v>
      </c>
      <c r="B10" s="261">
        <f>+C3+C6</f>
        <v>7482068986</v>
      </c>
      <c r="C10" s="258"/>
      <c r="D10" s="258"/>
    </row>
    <row r="11" spans="1:5" x14ac:dyDescent="0.2">
      <c r="A11" s="255" t="s">
        <v>187</v>
      </c>
      <c r="B11" s="256">
        <f>+B9-B10</f>
        <v>29527755603</v>
      </c>
      <c r="C11" s="263"/>
      <c r="D11" s="258"/>
    </row>
    <row r="13" spans="1:5" x14ac:dyDescent="0.2">
      <c r="B13" s="186">
        <f>+B11-BG!C10</f>
        <v>-14555776971</v>
      </c>
    </row>
    <row r="15" spans="1:5" x14ac:dyDescent="0.2">
      <c r="B15" s="179">
        <v>14230256874</v>
      </c>
    </row>
    <row r="16" spans="1:5" x14ac:dyDescent="0.2">
      <c r="B16" s="179">
        <v>16751231869</v>
      </c>
    </row>
    <row r="17" spans="2:2" x14ac:dyDescent="0.2">
      <c r="B17" s="186">
        <f>SUM(B15:B16)</f>
        <v>30981488743</v>
      </c>
    </row>
  </sheetData>
  <mergeCells count="2">
    <mergeCell ref="A1:A2"/>
    <mergeCell ref="C1:D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02116-A81A-4218-977E-0CDDA7AF2E1D}">
  <dimension ref="A1:C39"/>
  <sheetViews>
    <sheetView topLeftCell="A29" workbookViewId="0">
      <selection activeCell="A33" sqref="A33:C39"/>
    </sheetView>
  </sheetViews>
  <sheetFormatPr baseColWidth="10" defaultColWidth="11.42578125" defaultRowHeight="12.75" x14ac:dyDescent="0.2"/>
  <cols>
    <col min="1" max="1" width="54.85546875" style="294" customWidth="1"/>
    <col min="2" max="2" width="13.7109375" style="294" customWidth="1"/>
    <col min="3" max="3" width="14.42578125" style="294" customWidth="1"/>
    <col min="4" max="16384" width="11.42578125" style="294"/>
  </cols>
  <sheetData>
    <row r="1" spans="1:3" ht="24" customHeight="1" x14ac:dyDescent="0.2">
      <c r="A1" s="820" t="s">
        <v>166</v>
      </c>
      <c r="B1" s="821" t="s">
        <v>167</v>
      </c>
      <c r="C1" s="821"/>
    </row>
    <row r="2" spans="1:3" x14ac:dyDescent="0.2">
      <c r="A2" s="820"/>
      <c r="B2" s="244" t="s">
        <v>245</v>
      </c>
      <c r="C2" s="244">
        <v>43100</v>
      </c>
    </row>
    <row r="3" spans="1:3" x14ac:dyDescent="0.2">
      <c r="A3" s="245" t="s">
        <v>243</v>
      </c>
      <c r="B3" s="246">
        <v>289426532</v>
      </c>
      <c r="C3" s="247">
        <v>636714207</v>
      </c>
    </row>
    <row r="4" spans="1:3" x14ac:dyDescent="0.2">
      <c r="A4" s="245" t="s">
        <v>244</v>
      </c>
      <c r="B4" s="246">
        <v>57581756</v>
      </c>
      <c r="C4" s="247">
        <v>44160182</v>
      </c>
    </row>
    <row r="5" spans="1:3" x14ac:dyDescent="0.2">
      <c r="A5" s="295" t="s">
        <v>173</v>
      </c>
      <c r="B5" s="248">
        <f>SUM(B3:B4)</f>
        <v>347008288</v>
      </c>
      <c r="C5" s="248">
        <v>680874389</v>
      </c>
    </row>
    <row r="8" spans="1:3" ht="24" customHeight="1" x14ac:dyDescent="0.2">
      <c r="A8" s="816" t="s">
        <v>166</v>
      </c>
      <c r="B8" s="816" t="s">
        <v>167</v>
      </c>
      <c r="C8" s="816"/>
    </row>
    <row r="9" spans="1:3" x14ac:dyDescent="0.2">
      <c r="A9" s="816"/>
      <c r="B9" s="244" t="s">
        <v>245</v>
      </c>
      <c r="C9" s="244">
        <v>43100</v>
      </c>
    </row>
    <row r="10" spans="1:3" x14ac:dyDescent="0.2">
      <c r="A10" s="265" t="s">
        <v>246</v>
      </c>
      <c r="B10" s="246">
        <v>12963030</v>
      </c>
      <c r="C10" s="267">
        <v>19915612</v>
      </c>
    </row>
    <row r="11" spans="1:3" x14ac:dyDescent="0.2">
      <c r="A11" s="265" t="s">
        <v>247</v>
      </c>
      <c r="B11" s="246">
        <v>395429415</v>
      </c>
      <c r="C11" s="266">
        <v>0</v>
      </c>
    </row>
    <row r="12" spans="1:3" x14ac:dyDescent="0.2">
      <c r="A12" s="265" t="s">
        <v>248</v>
      </c>
      <c r="B12" s="246">
        <v>155284164</v>
      </c>
      <c r="C12" s="267">
        <v>145140480</v>
      </c>
    </row>
    <row r="13" spans="1:3" x14ac:dyDescent="0.2">
      <c r="A13" s="270" t="s">
        <v>173</v>
      </c>
      <c r="B13" s="271">
        <f>SUM(B10:B12)</f>
        <v>563676609</v>
      </c>
      <c r="C13" s="271">
        <v>165056092</v>
      </c>
    </row>
    <row r="16" spans="1:3" ht="24" customHeight="1" x14ac:dyDescent="0.2">
      <c r="A16" s="816" t="s">
        <v>166</v>
      </c>
      <c r="B16" s="816" t="s">
        <v>167</v>
      </c>
      <c r="C16" s="816"/>
    </row>
    <row r="17" spans="1:3" x14ac:dyDescent="0.2">
      <c r="A17" s="816"/>
      <c r="B17" s="264">
        <v>43190</v>
      </c>
      <c r="C17" s="244">
        <v>43100</v>
      </c>
    </row>
    <row r="18" spans="1:3" x14ac:dyDescent="0.2">
      <c r="A18" s="265" t="s">
        <v>250</v>
      </c>
      <c r="B18" s="246">
        <v>127732036</v>
      </c>
      <c r="C18" s="266">
        <v>0</v>
      </c>
    </row>
    <row r="19" spans="1:3" x14ac:dyDescent="0.2">
      <c r="A19" s="265" t="s">
        <v>251</v>
      </c>
      <c r="B19" s="246">
        <v>298682190</v>
      </c>
      <c r="C19" s="266">
        <v>0</v>
      </c>
    </row>
    <row r="20" spans="1:3" x14ac:dyDescent="0.2">
      <c r="A20" s="265" t="s">
        <v>164</v>
      </c>
      <c r="B20" s="246">
        <v>60000000</v>
      </c>
      <c r="C20" s="266"/>
    </row>
    <row r="21" spans="1:3" x14ac:dyDescent="0.2">
      <c r="A21" s="265" t="s">
        <v>249</v>
      </c>
      <c r="B21" s="246">
        <v>847846971</v>
      </c>
      <c r="C21" s="266">
        <v>0</v>
      </c>
    </row>
    <row r="22" spans="1:3" x14ac:dyDescent="0.2">
      <c r="A22" s="270" t="s">
        <v>173</v>
      </c>
      <c r="B22" s="271">
        <f>SUM(B18:B21)</f>
        <v>1334261197</v>
      </c>
      <c r="C22" s="296">
        <v>0</v>
      </c>
    </row>
    <row r="25" spans="1:3" ht="24" customHeight="1" x14ac:dyDescent="0.2">
      <c r="A25" s="816" t="s">
        <v>166</v>
      </c>
      <c r="B25" s="816" t="s">
        <v>167</v>
      </c>
      <c r="C25" s="816"/>
    </row>
    <row r="26" spans="1:3" x14ac:dyDescent="0.2">
      <c r="A26" s="816"/>
      <c r="B26" s="297">
        <v>43281</v>
      </c>
      <c r="C26" s="298">
        <v>42916</v>
      </c>
    </row>
    <row r="27" spans="1:3" x14ac:dyDescent="0.2">
      <c r="A27" s="265" t="s">
        <v>252</v>
      </c>
      <c r="B27" s="246">
        <v>50170367512</v>
      </c>
      <c r="C27" s="267">
        <v>46822919911</v>
      </c>
    </row>
    <row r="28" spans="1:3" x14ac:dyDescent="0.2">
      <c r="A28" s="265" t="s">
        <v>253</v>
      </c>
      <c r="B28" s="246">
        <v>-269134611</v>
      </c>
      <c r="C28" s="267">
        <v>-66408329</v>
      </c>
    </row>
    <row r="29" spans="1:3" x14ac:dyDescent="0.2">
      <c r="A29" s="299" t="s">
        <v>254</v>
      </c>
      <c r="B29" s="246">
        <v>-1540546352</v>
      </c>
      <c r="C29" s="267">
        <v>-1639006773</v>
      </c>
    </row>
    <row r="30" spans="1:3" x14ac:dyDescent="0.2">
      <c r="A30" s="270" t="s">
        <v>173</v>
      </c>
      <c r="B30" s="271">
        <f>SUM(B27:B29)</f>
        <v>48360686549</v>
      </c>
      <c r="C30" s="271">
        <v>45117504809</v>
      </c>
    </row>
    <row r="33" spans="1:3" x14ac:dyDescent="0.2">
      <c r="A33" s="816" t="s">
        <v>166</v>
      </c>
      <c r="B33" s="816" t="s">
        <v>167</v>
      </c>
      <c r="C33" s="816"/>
    </row>
    <row r="34" spans="1:3" x14ac:dyDescent="0.2">
      <c r="A34" s="816"/>
      <c r="B34" s="297">
        <v>43281</v>
      </c>
      <c r="C34" s="298">
        <v>42916</v>
      </c>
    </row>
    <row r="35" spans="1:3" x14ac:dyDescent="0.2">
      <c r="A35" s="265" t="s">
        <v>255</v>
      </c>
      <c r="B35" s="300">
        <v>315096707</v>
      </c>
      <c r="C35" s="267">
        <v>180102272</v>
      </c>
    </row>
    <row r="36" spans="1:3" x14ac:dyDescent="0.2">
      <c r="A36" s="265" t="s">
        <v>256</v>
      </c>
      <c r="B36" s="300">
        <v>71253403</v>
      </c>
      <c r="C36" s="267">
        <v>141818228</v>
      </c>
    </row>
    <row r="37" spans="1:3" x14ac:dyDescent="0.2">
      <c r="A37" s="265" t="s">
        <v>257</v>
      </c>
      <c r="B37" s="300">
        <v>25199930</v>
      </c>
      <c r="C37" s="267">
        <v>17086456</v>
      </c>
    </row>
    <row r="38" spans="1:3" x14ac:dyDescent="0.2">
      <c r="A38" s="265" t="s">
        <v>258</v>
      </c>
      <c r="B38" s="300">
        <v>26292742</v>
      </c>
      <c r="C38" s="267">
        <v>19179266</v>
      </c>
    </row>
    <row r="39" spans="1:3" x14ac:dyDescent="0.2">
      <c r="A39" s="270" t="s">
        <v>173</v>
      </c>
      <c r="B39" s="271">
        <f>SUM(B35:B38)</f>
        <v>437842782</v>
      </c>
      <c r="C39" s="271">
        <v>358186222</v>
      </c>
    </row>
  </sheetData>
  <mergeCells count="10">
    <mergeCell ref="A25:A26"/>
    <mergeCell ref="B25:C25"/>
    <mergeCell ref="A33:A34"/>
    <mergeCell ref="B33:C33"/>
    <mergeCell ref="A1:A2"/>
    <mergeCell ref="B1:C1"/>
    <mergeCell ref="A8:A9"/>
    <mergeCell ref="B8:C8"/>
    <mergeCell ref="A16:A17"/>
    <mergeCell ref="B16:C1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FFEF6-DDA8-4036-9D65-059E18BEEFF4}">
  <dimension ref="A1:C20"/>
  <sheetViews>
    <sheetView workbookViewId="0">
      <selection sqref="A1:C20"/>
    </sheetView>
  </sheetViews>
  <sheetFormatPr baseColWidth="10" defaultRowHeight="12.75" x14ac:dyDescent="0.2"/>
  <cols>
    <col min="1" max="1" width="35.5703125" customWidth="1"/>
    <col min="2" max="2" width="15.42578125" style="186" customWidth="1"/>
    <col min="3" max="3" width="17.5703125" style="186" customWidth="1"/>
  </cols>
  <sheetData>
    <row r="1" spans="1:3" x14ac:dyDescent="0.2">
      <c r="A1" s="278" t="s">
        <v>225</v>
      </c>
      <c r="B1" s="284">
        <v>0</v>
      </c>
      <c r="C1" s="291">
        <v>1000000000</v>
      </c>
    </row>
    <row r="2" spans="1:3" x14ac:dyDescent="0.2">
      <c r="A2" s="279" t="s">
        <v>226</v>
      </c>
      <c r="B2" s="274">
        <v>4602740</v>
      </c>
      <c r="C2" s="281">
        <v>49808229</v>
      </c>
    </row>
    <row r="3" spans="1:3" x14ac:dyDescent="0.2">
      <c r="A3" s="279" t="s">
        <v>227</v>
      </c>
      <c r="B3" s="274">
        <v>-1972602</v>
      </c>
      <c r="C3" s="281">
        <v>-43561645</v>
      </c>
    </row>
    <row r="4" spans="1:3" x14ac:dyDescent="0.2">
      <c r="A4" s="279" t="s">
        <v>228</v>
      </c>
      <c r="B4" s="274">
        <v>10206666665</v>
      </c>
      <c r="C4" s="281">
        <v>8040000000</v>
      </c>
    </row>
    <row r="5" spans="1:3" x14ac:dyDescent="0.2">
      <c r="A5" s="279" t="s">
        <v>229</v>
      </c>
      <c r="B5" s="274">
        <v>2131897812</v>
      </c>
      <c r="C5" s="281">
        <v>2558648224</v>
      </c>
    </row>
    <row r="6" spans="1:3" x14ac:dyDescent="0.2">
      <c r="A6" s="279" t="s">
        <v>230</v>
      </c>
      <c r="B6" s="274">
        <v>-1895413972</v>
      </c>
      <c r="C6" s="281">
        <v>-2286958111</v>
      </c>
    </row>
    <row r="7" spans="1:3" x14ac:dyDescent="0.2">
      <c r="A7" s="279" t="s">
        <v>231</v>
      </c>
      <c r="B7" s="274">
        <v>-177184113</v>
      </c>
      <c r="C7" s="281">
        <v>-213445483</v>
      </c>
    </row>
    <row r="8" spans="1:3" x14ac:dyDescent="0.2">
      <c r="A8" s="279" t="s">
        <v>232</v>
      </c>
      <c r="B8" s="274">
        <v>2882377008</v>
      </c>
      <c r="C8" s="281">
        <v>0</v>
      </c>
    </row>
    <row r="9" spans="1:3" x14ac:dyDescent="0.2">
      <c r="A9" s="276" t="s">
        <v>233</v>
      </c>
      <c r="B9" s="274">
        <v>155530892</v>
      </c>
      <c r="C9" s="281">
        <v>0</v>
      </c>
    </row>
    <row r="10" spans="1:3" x14ac:dyDescent="0.2">
      <c r="A10" s="279" t="s">
        <v>234</v>
      </c>
      <c r="B10" s="274">
        <v>500000000</v>
      </c>
      <c r="C10" s="281">
        <v>2500000000</v>
      </c>
    </row>
    <row r="11" spans="1:3" x14ac:dyDescent="0.2">
      <c r="A11" s="276" t="s">
        <v>235</v>
      </c>
      <c r="B11" s="274">
        <v>2015475936</v>
      </c>
      <c r="C11" s="281">
        <v>0</v>
      </c>
    </row>
    <row r="12" spans="1:3" x14ac:dyDescent="0.2">
      <c r="A12" s="276" t="s">
        <v>236</v>
      </c>
      <c r="B12" s="274">
        <v>144759360</v>
      </c>
      <c r="C12" s="281">
        <v>0</v>
      </c>
    </row>
    <row r="13" spans="1:3" x14ac:dyDescent="0.2">
      <c r="A13" s="276" t="s">
        <v>237</v>
      </c>
      <c r="B13" s="274">
        <v>-140980343</v>
      </c>
      <c r="C13" s="281">
        <v>0</v>
      </c>
    </row>
    <row r="14" spans="1:3" x14ac:dyDescent="0.2">
      <c r="A14" s="276" t="s">
        <v>238</v>
      </c>
      <c r="B14" s="274">
        <v>-146683143</v>
      </c>
      <c r="C14" s="281">
        <v>0</v>
      </c>
    </row>
    <row r="15" spans="1:3" x14ac:dyDescent="0.2">
      <c r="A15" s="276" t="s">
        <v>200</v>
      </c>
      <c r="B15" s="274">
        <v>2685494977</v>
      </c>
      <c r="C15" s="281">
        <v>0</v>
      </c>
    </row>
    <row r="16" spans="1:3" x14ac:dyDescent="0.2">
      <c r="A16" s="276" t="s">
        <v>201</v>
      </c>
      <c r="B16" s="274">
        <v>78663822</v>
      </c>
      <c r="C16" s="281">
        <v>0</v>
      </c>
    </row>
    <row r="17" spans="1:3" x14ac:dyDescent="0.2">
      <c r="A17" s="276" t="s">
        <v>239</v>
      </c>
      <c r="B17" s="274">
        <v>-75447820</v>
      </c>
      <c r="C17" s="281">
        <v>0</v>
      </c>
    </row>
    <row r="18" spans="1:3" x14ac:dyDescent="0.2">
      <c r="A18" s="279" t="s">
        <v>240</v>
      </c>
      <c r="B18" s="281">
        <v>0</v>
      </c>
      <c r="C18" s="281">
        <v>58630134</v>
      </c>
    </row>
    <row r="19" spans="1:3" x14ac:dyDescent="0.2">
      <c r="A19" s="279" t="s">
        <v>241</v>
      </c>
      <c r="B19" s="281">
        <v>0</v>
      </c>
      <c r="C19" s="281">
        <v>-56609559</v>
      </c>
    </row>
    <row r="20" spans="1:3" x14ac:dyDescent="0.2">
      <c r="A20" s="277" t="s">
        <v>242</v>
      </c>
      <c r="B20" s="285">
        <f>SUM(B2:B19)</f>
        <v>18367787219</v>
      </c>
      <c r="C20" s="285">
        <f>SUM(C1:C19)</f>
        <v>11606511789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708A8-AD77-4A7C-9842-265F32B3DC55}">
  <sheetPr>
    <tabColor rgb="FFFF0000"/>
  </sheetPr>
  <dimension ref="A1:L48"/>
  <sheetViews>
    <sheetView topLeftCell="A12" zoomScaleNormal="100" workbookViewId="0">
      <selection activeCell="I37" sqref="I37"/>
    </sheetView>
  </sheetViews>
  <sheetFormatPr baseColWidth="10" defaultColWidth="11.42578125" defaultRowHeight="12.75" x14ac:dyDescent="0.2"/>
  <cols>
    <col min="1" max="1" width="1.85546875" style="196" customWidth="1"/>
    <col min="2" max="4" width="11.42578125" style="196"/>
    <col min="5" max="5" width="4.5703125" style="196" customWidth="1"/>
    <col min="6" max="6" width="1.140625" style="196" hidden="1" customWidth="1"/>
    <col min="7" max="7" width="12" style="196" hidden="1" customWidth="1"/>
    <col min="8" max="8" width="13.140625" style="196" customWidth="1"/>
    <col min="9" max="9" width="23" style="196" customWidth="1"/>
    <col min="10" max="10" width="19.42578125" style="196" bestFit="1" customWidth="1"/>
    <col min="11" max="11" width="2.140625" style="196" customWidth="1"/>
    <col min="12" max="12" width="12.85546875" style="196" bestFit="1" customWidth="1"/>
    <col min="13" max="16384" width="11.42578125" style="196"/>
  </cols>
  <sheetData>
    <row r="1" spans="1:10" s="316" customFormat="1" ht="12" x14ac:dyDescent="0.2"/>
    <row r="2" spans="1:10" s="386" customFormat="1" ht="12" x14ac:dyDescent="0.2">
      <c r="B2" s="760" t="s">
        <v>162</v>
      </c>
      <c r="C2" s="760"/>
      <c r="D2" s="760"/>
      <c r="E2" s="760"/>
      <c r="F2" s="760"/>
      <c r="G2" s="760"/>
      <c r="H2" s="760"/>
      <c r="I2" s="760"/>
      <c r="J2" s="760"/>
    </row>
    <row r="3" spans="1:10" s="386" customFormat="1" ht="12" x14ac:dyDescent="0.2">
      <c r="B3" s="760" t="s">
        <v>328</v>
      </c>
      <c r="C3" s="760"/>
      <c r="D3" s="760"/>
      <c r="E3" s="760"/>
      <c r="F3" s="760"/>
      <c r="G3" s="760"/>
      <c r="H3" s="760"/>
      <c r="I3" s="760"/>
      <c r="J3" s="760"/>
    </row>
    <row r="4" spans="1:10" x14ac:dyDescent="0.2">
      <c r="A4" s="386"/>
      <c r="B4" s="761" t="s">
        <v>329</v>
      </c>
      <c r="C4" s="761"/>
      <c r="D4" s="761"/>
      <c r="E4" s="761"/>
      <c r="F4" s="761"/>
      <c r="G4" s="761"/>
      <c r="H4" s="761"/>
      <c r="I4" s="761"/>
      <c r="J4" s="761"/>
    </row>
    <row r="5" spans="1:10" s="386" customFormat="1" ht="12" x14ac:dyDescent="0.2">
      <c r="B5" s="760" t="s">
        <v>9</v>
      </c>
      <c r="C5" s="760"/>
      <c r="D5" s="760"/>
      <c r="E5" s="760"/>
      <c r="F5" s="760"/>
      <c r="G5" s="760"/>
      <c r="H5" s="760"/>
      <c r="I5" s="760"/>
      <c r="J5" s="760"/>
    </row>
    <row r="7" spans="1:10" ht="18" customHeight="1" x14ac:dyDescent="0.2">
      <c r="B7" s="347"/>
      <c r="C7" s="346"/>
      <c r="D7" s="346"/>
      <c r="E7" s="346"/>
      <c r="F7" s="346"/>
      <c r="G7" s="346"/>
      <c r="H7" s="385"/>
      <c r="I7" s="384" t="s">
        <v>259</v>
      </c>
      <c r="J7" s="383"/>
    </row>
    <row r="8" spans="1:10" ht="18" customHeight="1" x14ac:dyDescent="0.2">
      <c r="B8" s="198"/>
      <c r="H8" s="382" t="s">
        <v>109</v>
      </c>
      <c r="I8" s="381">
        <v>43555</v>
      </c>
      <c r="J8" s="381">
        <v>43190</v>
      </c>
    </row>
    <row r="9" spans="1:10" x14ac:dyDescent="0.2">
      <c r="B9" s="198"/>
      <c r="H9" s="380"/>
      <c r="I9" s="380"/>
      <c r="J9" s="380"/>
    </row>
    <row r="10" spans="1:10" x14ac:dyDescent="0.2">
      <c r="B10" s="198"/>
      <c r="H10" s="380"/>
      <c r="I10" s="380"/>
      <c r="J10" s="380"/>
    </row>
    <row r="11" spans="1:10" x14ac:dyDescent="0.2">
      <c r="B11" s="198" t="s">
        <v>122</v>
      </c>
      <c r="H11" s="374">
        <v>13</v>
      </c>
      <c r="I11" s="376">
        <f>53817651868-383818</f>
        <v>53817268050</v>
      </c>
      <c r="J11" s="376">
        <v>58177290209</v>
      </c>
    </row>
    <row r="12" spans="1:10" x14ac:dyDescent="0.2">
      <c r="B12" s="198"/>
      <c r="H12" s="374"/>
      <c r="I12" s="394"/>
      <c r="J12" s="394"/>
    </row>
    <row r="13" spans="1:10" x14ac:dyDescent="0.2">
      <c r="B13" s="378" t="s">
        <v>121</v>
      </c>
      <c r="H13" s="374" t="s">
        <v>116</v>
      </c>
      <c r="I13" s="376">
        <v>-42796270553</v>
      </c>
      <c r="J13" s="376">
        <v>-45066530525</v>
      </c>
    </row>
    <row r="14" spans="1:10" x14ac:dyDescent="0.2">
      <c r="B14" s="198"/>
      <c r="H14" s="374"/>
      <c r="I14" s="379"/>
      <c r="J14" s="379"/>
    </row>
    <row r="15" spans="1:10" x14ac:dyDescent="0.2">
      <c r="B15" s="758" t="s">
        <v>103</v>
      </c>
      <c r="C15" s="759"/>
      <c r="D15" s="348"/>
      <c r="E15" s="348"/>
      <c r="F15" s="348"/>
      <c r="G15" s="348"/>
      <c r="H15" s="374"/>
      <c r="I15" s="373">
        <f>I11+I13</f>
        <v>11020997497</v>
      </c>
      <c r="J15" s="373">
        <f>SUM(J11:J14)</f>
        <v>13110759684</v>
      </c>
    </row>
    <row r="16" spans="1:10" x14ac:dyDescent="0.2">
      <c r="B16" s="198"/>
      <c r="H16" s="374"/>
      <c r="I16" s="379"/>
      <c r="J16" s="379"/>
    </row>
    <row r="17" spans="2:12" x14ac:dyDescent="0.2">
      <c r="B17" s="198" t="s">
        <v>120</v>
      </c>
      <c r="H17" s="374"/>
      <c r="I17" s="376">
        <v>279164688</v>
      </c>
      <c r="J17" s="376">
        <v>875605087</v>
      </c>
    </row>
    <row r="18" spans="2:12" x14ac:dyDescent="0.2">
      <c r="B18" s="198"/>
      <c r="H18" s="374"/>
      <c r="I18" s="394"/>
      <c r="J18" s="394"/>
    </row>
    <row r="19" spans="2:12" x14ac:dyDescent="0.2">
      <c r="B19" s="378" t="s">
        <v>119</v>
      </c>
      <c r="H19" s="374" t="s">
        <v>117</v>
      </c>
      <c r="I19" s="377">
        <v>-3553604281</v>
      </c>
      <c r="J19" s="377">
        <v>-3939124970</v>
      </c>
    </row>
    <row r="20" spans="2:12" x14ac:dyDescent="0.2">
      <c r="B20" s="198"/>
      <c r="C20" s="196" t="s">
        <v>10</v>
      </c>
      <c r="H20" s="374"/>
      <c r="I20" s="395"/>
      <c r="J20" s="395"/>
    </row>
    <row r="21" spans="2:12" x14ac:dyDescent="0.2">
      <c r="B21" s="198" t="s">
        <v>118</v>
      </c>
      <c r="G21" s="196" t="s">
        <v>10</v>
      </c>
      <c r="H21" s="374" t="s">
        <v>117</v>
      </c>
      <c r="I21" s="377">
        <f>-2998518406+459849571</f>
        <v>-2538668835</v>
      </c>
      <c r="J21" s="377">
        <v>-2328061501</v>
      </c>
    </row>
    <row r="22" spans="2:12" x14ac:dyDescent="0.2">
      <c r="B22" s="198"/>
      <c r="H22" s="374"/>
      <c r="I22" s="395"/>
      <c r="J22" s="395"/>
    </row>
    <row r="23" spans="2:12" x14ac:dyDescent="0.2">
      <c r="B23" s="378" t="s">
        <v>409</v>
      </c>
      <c r="H23" s="455" t="s">
        <v>117</v>
      </c>
      <c r="I23" s="377">
        <f>-2647513915+383818</f>
        <v>-2647130097</v>
      </c>
      <c r="J23" s="377">
        <v>-2166188618</v>
      </c>
    </row>
    <row r="24" spans="2:12" x14ac:dyDescent="0.2">
      <c r="B24" s="198"/>
      <c r="H24" s="455"/>
      <c r="I24" s="395"/>
      <c r="J24" s="395"/>
    </row>
    <row r="25" spans="2:12" x14ac:dyDescent="0.2">
      <c r="B25" s="378" t="s">
        <v>301</v>
      </c>
      <c r="H25" s="374" t="s">
        <v>117</v>
      </c>
      <c r="I25" s="377">
        <v>-401525017</v>
      </c>
      <c r="J25" s="377">
        <v>-518676086</v>
      </c>
    </row>
    <row r="26" spans="2:12" x14ac:dyDescent="0.2">
      <c r="B26" s="378"/>
      <c r="H26" s="455"/>
      <c r="I26" s="377"/>
      <c r="J26" s="377"/>
    </row>
    <row r="27" spans="2:12" x14ac:dyDescent="0.2">
      <c r="B27" s="375" t="s">
        <v>260</v>
      </c>
      <c r="C27" s="348"/>
      <c r="D27" s="348"/>
      <c r="E27" s="348"/>
      <c r="F27" s="348"/>
      <c r="G27" s="348"/>
      <c r="H27" s="374"/>
      <c r="I27" s="373">
        <f>SUM(I15:I26)</f>
        <v>2159233955</v>
      </c>
      <c r="J27" s="373">
        <f>SUM(J15:J25)</f>
        <v>5034313596</v>
      </c>
    </row>
    <row r="28" spans="2:12" x14ac:dyDescent="0.2">
      <c r="B28" s="198"/>
      <c r="H28" s="374"/>
      <c r="I28" s="394"/>
      <c r="J28" s="394"/>
      <c r="L28" s="456"/>
    </row>
    <row r="29" spans="2:12" x14ac:dyDescent="0.2">
      <c r="B29" s="198" t="s">
        <v>11</v>
      </c>
      <c r="H29" s="374"/>
      <c r="I29" s="376">
        <v>-229538149</v>
      </c>
      <c r="J29" s="376">
        <v>-508130687</v>
      </c>
    </row>
    <row r="30" spans="2:12" x14ac:dyDescent="0.2">
      <c r="B30" s="198"/>
      <c r="H30" s="374"/>
      <c r="I30" s="394"/>
      <c r="J30" s="394"/>
    </row>
    <row r="31" spans="2:12" x14ac:dyDescent="0.2">
      <c r="B31" s="198" t="s">
        <v>155</v>
      </c>
      <c r="H31" s="374"/>
      <c r="I31" s="376">
        <v>0</v>
      </c>
      <c r="J31" s="376">
        <v>0</v>
      </c>
      <c r="L31" s="456"/>
    </row>
    <row r="32" spans="2:12" x14ac:dyDescent="0.2">
      <c r="B32" s="198"/>
      <c r="H32" s="374"/>
      <c r="I32" s="394"/>
      <c r="J32" s="394"/>
    </row>
    <row r="33" spans="1:12" x14ac:dyDescent="0.2">
      <c r="B33" s="375" t="s">
        <v>107</v>
      </c>
      <c r="C33" s="348"/>
      <c r="D33" s="348"/>
      <c r="E33" s="348"/>
      <c r="F33" s="348"/>
      <c r="G33" s="348"/>
      <c r="H33" s="374"/>
      <c r="I33" s="373">
        <f>SUM(I27:I31)</f>
        <v>1929695806</v>
      </c>
      <c r="J33" s="373">
        <f>SUM(J27:J32)</f>
        <v>4526182909</v>
      </c>
      <c r="L33" s="456"/>
    </row>
    <row r="34" spans="1:12" ht="2.25" customHeight="1" x14ac:dyDescent="0.2">
      <c r="B34" s="199"/>
      <c r="C34" s="197"/>
      <c r="D34" s="197"/>
      <c r="E34" s="197"/>
      <c r="F34" s="197"/>
      <c r="G34" s="197"/>
      <c r="H34" s="372"/>
      <c r="I34" s="199"/>
      <c r="J34" s="372"/>
    </row>
    <row r="35" spans="1:12" ht="7.5" customHeight="1" x14ac:dyDescent="0.2"/>
    <row r="36" spans="1:12" ht="15" customHeight="1" x14ac:dyDescent="0.2">
      <c r="I36" s="202"/>
    </row>
    <row r="37" spans="1:12" s="200" customFormat="1" ht="14.45" customHeight="1" x14ac:dyDescent="0.2">
      <c r="B37" s="370" t="s">
        <v>98</v>
      </c>
    </row>
    <row r="38" spans="1:12" ht="15" x14ac:dyDescent="0.2">
      <c r="A38" s="204"/>
    </row>
    <row r="43" spans="1:12" customFormat="1" ht="13.5" x14ac:dyDescent="0.25">
      <c r="A43" s="196"/>
      <c r="B43" s="196"/>
      <c r="C43" s="751" t="s">
        <v>321</v>
      </c>
      <c r="D43" s="751"/>
      <c r="E43" s="196"/>
      <c r="F43" s="76"/>
      <c r="G43" s="76"/>
      <c r="H43" s="751" t="s">
        <v>322</v>
      </c>
      <c r="I43" s="751"/>
      <c r="J43" s="666" t="s">
        <v>323</v>
      </c>
    </row>
    <row r="44" spans="1:12" s="67" customFormat="1" x14ac:dyDescent="0.2">
      <c r="C44" s="757" t="s">
        <v>141</v>
      </c>
      <c r="D44" s="757"/>
      <c r="F44" s="667"/>
      <c r="G44" s="148"/>
      <c r="H44" s="756" t="s">
        <v>154</v>
      </c>
      <c r="I44" s="756"/>
      <c r="J44" s="667" t="s">
        <v>127</v>
      </c>
    </row>
    <row r="46" spans="1:12" x14ac:dyDescent="0.2">
      <c r="A46" s="367"/>
    </row>
    <row r="48" spans="1:12" x14ac:dyDescent="0.2">
      <c r="B48" s="366"/>
    </row>
  </sheetData>
  <mergeCells count="9">
    <mergeCell ref="C44:D44"/>
    <mergeCell ref="H44:I44"/>
    <mergeCell ref="B15:C15"/>
    <mergeCell ref="B3:J3"/>
    <mergeCell ref="B2:J2"/>
    <mergeCell ref="B5:J5"/>
    <mergeCell ref="B4:J4"/>
    <mergeCell ref="C43:D43"/>
    <mergeCell ref="H43:I43"/>
  </mergeCells>
  <pageMargins left="0.78740157480314965" right="0.78740157480314965" top="1.9685039370078741" bottom="1.1811023622047245" header="0.51181102362204722" footer="1.1023622047244095"/>
  <pageSetup scale="85" orientation="portrait" r:id="rId1"/>
  <headerFooter alignWithMargins="0">
    <oddFooter>&amp;C5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65ACC-2667-425B-A688-9180F1CAFA82}">
  <dimension ref="A1:AY28"/>
  <sheetViews>
    <sheetView showGridLines="0" workbookViewId="0">
      <selection activeCell="I17" sqref="I17"/>
    </sheetView>
  </sheetViews>
  <sheetFormatPr baseColWidth="10" defaultColWidth="11.42578125" defaultRowHeight="12.75" x14ac:dyDescent="0.2"/>
  <cols>
    <col min="1" max="1" width="45.5703125" style="196" customWidth="1"/>
    <col min="2" max="2" width="13.85546875" style="196" customWidth="1"/>
    <col min="3" max="3" width="15.5703125" style="196" customWidth="1"/>
    <col min="4" max="5" width="14.140625" style="196" customWidth="1"/>
    <col min="6" max="6" width="13.7109375" style="196" customWidth="1"/>
    <col min="7" max="7" width="15.28515625" style="196" customWidth="1"/>
    <col min="8" max="8" width="16" style="196" customWidth="1"/>
    <col min="9" max="9" width="15.42578125" style="196" customWidth="1"/>
    <col min="10" max="10" width="14.7109375" style="196" bestFit="1" customWidth="1"/>
    <col min="11" max="16384" width="11.42578125" style="196"/>
  </cols>
  <sheetData>
    <row r="1" spans="1:51" s="526" customFormat="1" ht="15.75" x14ac:dyDescent="0.25">
      <c r="A1" s="766" t="s">
        <v>128</v>
      </c>
      <c r="B1" s="766"/>
      <c r="C1" s="766"/>
      <c r="D1" s="766"/>
      <c r="E1" s="766"/>
      <c r="F1" s="766"/>
      <c r="G1" s="766"/>
      <c r="H1" s="766"/>
      <c r="I1" s="766"/>
      <c r="J1" s="525"/>
    </row>
    <row r="2" spans="1:51" s="526" customFormat="1" ht="14.25" x14ac:dyDescent="0.2">
      <c r="A2" s="767" t="s">
        <v>328</v>
      </c>
      <c r="B2" s="767"/>
      <c r="C2" s="767"/>
      <c r="D2" s="767"/>
      <c r="E2" s="767"/>
      <c r="F2" s="767"/>
      <c r="G2" s="767"/>
      <c r="H2" s="767"/>
      <c r="I2" s="767"/>
      <c r="J2" s="525"/>
    </row>
    <row r="3" spans="1:51" s="526" customFormat="1" ht="15" x14ac:dyDescent="0.25">
      <c r="A3" s="768" t="s">
        <v>329</v>
      </c>
      <c r="B3" s="768"/>
      <c r="C3" s="768"/>
      <c r="D3" s="768"/>
      <c r="E3" s="768"/>
      <c r="F3" s="768"/>
      <c r="G3" s="768"/>
      <c r="H3" s="768"/>
      <c r="I3" s="768"/>
      <c r="J3" s="525"/>
    </row>
    <row r="4" spans="1:51" s="201" customFormat="1" ht="14.25" x14ac:dyDescent="0.2">
      <c r="A4" s="769" t="s">
        <v>302</v>
      </c>
      <c r="B4" s="769"/>
      <c r="C4" s="769"/>
      <c r="D4" s="769"/>
      <c r="E4" s="769"/>
      <c r="F4" s="769"/>
      <c r="G4" s="769"/>
      <c r="H4" s="769"/>
      <c r="I4" s="769"/>
      <c r="J4" s="525"/>
      <c r="K4" s="525"/>
      <c r="L4" s="525"/>
    </row>
    <row r="5" spans="1:51" x14ac:dyDescent="0.2">
      <c r="A5" s="524"/>
      <c r="B5" s="523"/>
      <c r="C5" s="523"/>
      <c r="D5" s="523"/>
      <c r="E5" s="523"/>
      <c r="F5" s="523"/>
      <c r="G5" s="523"/>
      <c r="H5" s="523"/>
      <c r="I5" s="522"/>
      <c r="J5" s="492"/>
      <c r="K5" s="492"/>
      <c r="L5" s="492"/>
      <c r="M5" s="492"/>
      <c r="N5" s="492"/>
      <c r="O5" s="492"/>
      <c r="P5" s="491"/>
      <c r="Q5" s="491"/>
      <c r="R5" s="491"/>
      <c r="S5" s="491"/>
      <c r="T5" s="491"/>
      <c r="U5" s="491"/>
      <c r="V5" s="491"/>
      <c r="W5" s="491"/>
      <c r="X5" s="491"/>
      <c r="Y5" s="491"/>
      <c r="Z5" s="491"/>
      <c r="AA5" s="491"/>
      <c r="AB5" s="491"/>
      <c r="AC5" s="491"/>
      <c r="AD5" s="491"/>
      <c r="AE5" s="491"/>
      <c r="AF5" s="491"/>
      <c r="AG5" s="491"/>
      <c r="AH5" s="491"/>
      <c r="AI5" s="491"/>
      <c r="AJ5" s="491"/>
      <c r="AK5" s="491"/>
      <c r="AL5" s="491"/>
      <c r="AM5" s="491"/>
      <c r="AN5" s="491"/>
      <c r="AO5" s="491"/>
      <c r="AP5" s="491"/>
      <c r="AQ5" s="491"/>
      <c r="AR5" s="491"/>
      <c r="AS5" s="491"/>
      <c r="AT5" s="491"/>
      <c r="AU5" s="491"/>
      <c r="AV5" s="491"/>
      <c r="AW5" s="491"/>
      <c r="AX5" s="491"/>
      <c r="AY5" s="491"/>
    </row>
    <row r="6" spans="1:51" x14ac:dyDescent="0.2">
      <c r="A6" s="348"/>
      <c r="B6" s="492"/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1"/>
      <c r="Q6" s="491"/>
      <c r="R6" s="491"/>
      <c r="S6" s="491"/>
      <c r="T6" s="491"/>
      <c r="U6" s="491"/>
      <c r="V6" s="491"/>
      <c r="W6" s="491"/>
      <c r="X6" s="491"/>
      <c r="Y6" s="491"/>
      <c r="Z6" s="491"/>
      <c r="AA6" s="491"/>
      <c r="AB6" s="491"/>
      <c r="AC6" s="491"/>
      <c r="AD6" s="491"/>
      <c r="AE6" s="491"/>
      <c r="AF6" s="491"/>
      <c r="AG6" s="491"/>
      <c r="AH6" s="491"/>
      <c r="AI6" s="491"/>
      <c r="AJ6" s="491"/>
      <c r="AK6" s="491"/>
      <c r="AL6" s="491"/>
      <c r="AM6" s="491"/>
      <c r="AN6" s="491"/>
      <c r="AO6" s="491"/>
      <c r="AP6" s="491"/>
      <c r="AQ6" s="491"/>
      <c r="AR6" s="491"/>
      <c r="AS6" s="491"/>
      <c r="AT6" s="491"/>
      <c r="AU6" s="491"/>
      <c r="AV6" s="491"/>
      <c r="AW6" s="491"/>
      <c r="AX6" s="491"/>
      <c r="AY6" s="491"/>
    </row>
    <row r="7" spans="1:51" x14ac:dyDescent="0.2">
      <c r="A7" s="521"/>
      <c r="B7" s="520"/>
      <c r="C7" s="617"/>
      <c r="D7" s="520"/>
      <c r="E7" s="519"/>
      <c r="F7" s="518"/>
      <c r="G7" s="762" t="s">
        <v>342</v>
      </c>
      <c r="H7" s="763"/>
      <c r="I7" s="517">
        <v>43555</v>
      </c>
      <c r="J7" s="516">
        <v>43190</v>
      </c>
      <c r="K7" s="492"/>
      <c r="L7" s="492"/>
      <c r="M7" s="492"/>
      <c r="N7" s="492"/>
      <c r="O7" s="492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1"/>
      <c r="AI7" s="491"/>
      <c r="AJ7" s="491"/>
      <c r="AK7" s="491"/>
      <c r="AL7" s="491"/>
      <c r="AM7" s="491"/>
      <c r="AN7" s="491"/>
      <c r="AO7" s="491"/>
      <c r="AP7" s="491"/>
      <c r="AQ7" s="491"/>
      <c r="AR7" s="491"/>
      <c r="AS7" s="491"/>
      <c r="AT7" s="491"/>
      <c r="AU7" s="491"/>
      <c r="AV7" s="491"/>
      <c r="AW7" s="491"/>
      <c r="AX7" s="491"/>
      <c r="AY7" s="491"/>
    </row>
    <row r="8" spans="1:51" x14ac:dyDescent="0.2">
      <c r="A8" s="515" t="s">
        <v>12</v>
      </c>
      <c r="B8" s="455" t="s">
        <v>163</v>
      </c>
      <c r="C8" s="455"/>
      <c r="D8" s="764" t="s">
        <v>13</v>
      </c>
      <c r="E8" s="770"/>
      <c r="F8" s="765"/>
      <c r="G8" s="764"/>
      <c r="H8" s="765"/>
      <c r="I8" s="455" t="s">
        <v>341</v>
      </c>
      <c r="J8" s="487" t="s">
        <v>341</v>
      </c>
      <c r="K8" s="492"/>
      <c r="L8" s="492"/>
      <c r="M8" s="492"/>
      <c r="N8" s="492"/>
      <c r="O8" s="492"/>
      <c r="P8" s="491"/>
      <c r="Q8" s="491"/>
      <c r="R8" s="491"/>
      <c r="S8" s="491"/>
      <c r="T8" s="491"/>
      <c r="U8" s="491"/>
      <c r="V8" s="491"/>
      <c r="W8" s="491"/>
      <c r="X8" s="491"/>
      <c r="Y8" s="491"/>
      <c r="Z8" s="491"/>
      <c r="AA8" s="491"/>
      <c r="AB8" s="491"/>
      <c r="AC8" s="491"/>
      <c r="AD8" s="491"/>
      <c r="AE8" s="491"/>
      <c r="AF8" s="491"/>
      <c r="AG8" s="491"/>
      <c r="AH8" s="491"/>
      <c r="AI8" s="491"/>
      <c r="AJ8" s="491"/>
      <c r="AK8" s="491"/>
      <c r="AL8" s="491"/>
      <c r="AM8" s="491"/>
      <c r="AN8" s="491"/>
      <c r="AO8" s="491"/>
      <c r="AP8" s="491"/>
      <c r="AQ8" s="491"/>
      <c r="AR8" s="491"/>
      <c r="AS8" s="491"/>
      <c r="AT8" s="491"/>
      <c r="AU8" s="491"/>
      <c r="AV8" s="491"/>
      <c r="AW8" s="491"/>
      <c r="AX8" s="491"/>
      <c r="AY8" s="491"/>
    </row>
    <row r="9" spans="1:51" s="388" customFormat="1" x14ac:dyDescent="0.2">
      <c r="A9" s="382"/>
      <c r="B9" s="382" t="s">
        <v>340</v>
      </c>
      <c r="C9" s="455" t="s">
        <v>345</v>
      </c>
      <c r="D9" s="514" t="s">
        <v>126</v>
      </c>
      <c r="E9" s="514" t="s">
        <v>99</v>
      </c>
      <c r="F9" s="514" t="s">
        <v>147</v>
      </c>
      <c r="G9" s="382" t="s">
        <v>339</v>
      </c>
      <c r="H9" s="382" t="s">
        <v>338</v>
      </c>
      <c r="I9" s="382" t="s">
        <v>282</v>
      </c>
      <c r="J9" s="302" t="s">
        <v>282</v>
      </c>
      <c r="K9" s="513"/>
      <c r="L9" s="513"/>
      <c r="M9" s="513"/>
      <c r="N9" s="513"/>
      <c r="O9" s="513"/>
      <c r="P9" s="512"/>
      <c r="Q9" s="512"/>
      <c r="R9" s="512"/>
      <c r="S9" s="512"/>
      <c r="T9" s="512"/>
      <c r="U9" s="512"/>
      <c r="V9" s="512"/>
      <c r="W9" s="512"/>
      <c r="X9" s="512"/>
      <c r="Y9" s="512"/>
      <c r="Z9" s="512"/>
      <c r="AA9" s="512"/>
      <c r="AB9" s="512"/>
      <c r="AC9" s="512"/>
      <c r="AD9" s="512"/>
      <c r="AE9" s="512"/>
      <c r="AF9" s="512"/>
      <c r="AG9" s="512"/>
      <c r="AH9" s="512"/>
      <c r="AI9" s="512"/>
      <c r="AJ9" s="512"/>
      <c r="AK9" s="512"/>
      <c r="AL9" s="512"/>
      <c r="AM9" s="512"/>
      <c r="AN9" s="512"/>
      <c r="AO9" s="512"/>
      <c r="AP9" s="512"/>
      <c r="AQ9" s="512"/>
      <c r="AR9" s="512"/>
      <c r="AS9" s="512"/>
      <c r="AT9" s="512"/>
      <c r="AU9" s="512"/>
      <c r="AV9" s="512"/>
      <c r="AW9" s="512"/>
      <c r="AX9" s="512"/>
      <c r="AY9" s="512"/>
    </row>
    <row r="10" spans="1:51" x14ac:dyDescent="0.2">
      <c r="A10" s="511" t="s">
        <v>337</v>
      </c>
      <c r="B10" s="510">
        <v>75000000000</v>
      </c>
      <c r="C10" s="510">
        <v>-1720000000</v>
      </c>
      <c r="D10" s="510">
        <v>8149925222</v>
      </c>
      <c r="E10" s="510">
        <v>17958836652</v>
      </c>
      <c r="F10" s="510">
        <v>13524332554</v>
      </c>
      <c r="G10" s="510">
        <v>0</v>
      </c>
      <c r="H10" s="510">
        <v>13979106704</v>
      </c>
      <c r="I10" s="509">
        <f>SUM(B10:H10)</f>
        <v>126892201132</v>
      </c>
      <c r="J10" s="508">
        <v>111387583334</v>
      </c>
      <c r="K10" s="494"/>
      <c r="L10" s="492"/>
      <c r="M10" s="492"/>
      <c r="N10" s="492"/>
      <c r="O10" s="492"/>
      <c r="P10" s="491"/>
      <c r="Q10" s="491"/>
      <c r="R10" s="491"/>
      <c r="S10" s="491"/>
      <c r="T10" s="491"/>
      <c r="U10" s="491"/>
      <c r="V10" s="491"/>
      <c r="W10" s="491"/>
      <c r="X10" s="491"/>
      <c r="Y10" s="491"/>
      <c r="Z10" s="491"/>
      <c r="AA10" s="491"/>
      <c r="AB10" s="491"/>
      <c r="AC10" s="491"/>
      <c r="AD10" s="491"/>
      <c r="AE10" s="491"/>
      <c r="AF10" s="491"/>
      <c r="AG10" s="491"/>
      <c r="AH10" s="491"/>
      <c r="AI10" s="491"/>
      <c r="AJ10" s="491"/>
      <c r="AK10" s="491"/>
      <c r="AL10" s="491"/>
      <c r="AM10" s="491"/>
      <c r="AN10" s="491"/>
      <c r="AO10" s="491"/>
      <c r="AP10" s="491"/>
      <c r="AQ10" s="491"/>
      <c r="AR10" s="491"/>
      <c r="AS10" s="491"/>
      <c r="AT10" s="491"/>
      <c r="AU10" s="491"/>
      <c r="AV10" s="491"/>
      <c r="AW10" s="491"/>
      <c r="AX10" s="491"/>
      <c r="AY10" s="491"/>
    </row>
    <row r="11" spans="1:51" x14ac:dyDescent="0.2">
      <c r="A11" s="527"/>
      <c r="B11" s="528"/>
      <c r="C11" s="528"/>
      <c r="D11" s="528"/>
      <c r="E11" s="528"/>
      <c r="F11" s="528"/>
      <c r="G11" s="528"/>
      <c r="H11" s="528"/>
      <c r="I11" s="509"/>
      <c r="J11" s="529"/>
      <c r="K11" s="492"/>
      <c r="L11" s="492"/>
      <c r="M11" s="492"/>
      <c r="N11" s="492"/>
      <c r="O11" s="492"/>
      <c r="P11" s="491"/>
      <c r="Q11" s="491"/>
      <c r="R11" s="491"/>
      <c r="S11" s="491"/>
      <c r="T11" s="491"/>
      <c r="U11" s="491"/>
      <c r="V11" s="491"/>
      <c r="W11" s="491"/>
      <c r="X11" s="491"/>
      <c r="Y11" s="491"/>
      <c r="Z11" s="491"/>
      <c r="AA11" s="491"/>
      <c r="AB11" s="491"/>
      <c r="AC11" s="491"/>
      <c r="AD11" s="491"/>
      <c r="AE11" s="491"/>
      <c r="AF11" s="491"/>
      <c r="AG11" s="491"/>
      <c r="AH11" s="491"/>
      <c r="AI11" s="491"/>
      <c r="AJ11" s="491"/>
      <c r="AK11" s="491"/>
      <c r="AL11" s="491"/>
      <c r="AM11" s="491"/>
      <c r="AN11" s="491"/>
      <c r="AO11" s="491"/>
      <c r="AP11" s="491"/>
      <c r="AQ11" s="491"/>
      <c r="AR11" s="491"/>
      <c r="AS11" s="491"/>
      <c r="AT11" s="491"/>
      <c r="AU11" s="491"/>
      <c r="AV11" s="491"/>
      <c r="AW11" s="491"/>
      <c r="AX11" s="491"/>
      <c r="AY11" s="491"/>
    </row>
    <row r="12" spans="1:51" x14ac:dyDescent="0.2">
      <c r="A12" s="530" t="s">
        <v>336</v>
      </c>
      <c r="B12" s="528"/>
      <c r="C12" s="528"/>
      <c r="D12" s="528"/>
      <c r="E12" s="528"/>
      <c r="F12" s="528"/>
      <c r="G12" s="528"/>
      <c r="H12" s="528"/>
      <c r="I12" s="509"/>
      <c r="J12" s="529"/>
      <c r="K12" s="494"/>
      <c r="L12" s="494"/>
      <c r="M12" s="494"/>
      <c r="N12" s="494"/>
      <c r="O12" s="494"/>
      <c r="P12" s="506"/>
      <c r="Q12" s="491"/>
      <c r="R12" s="491"/>
      <c r="S12" s="491"/>
      <c r="T12" s="491"/>
      <c r="U12" s="491"/>
      <c r="V12" s="491"/>
      <c r="W12" s="491"/>
      <c r="X12" s="491"/>
      <c r="Y12" s="491"/>
      <c r="Z12" s="491"/>
      <c r="AA12" s="491"/>
      <c r="AB12" s="491"/>
      <c r="AC12" s="491"/>
      <c r="AD12" s="491"/>
      <c r="AE12" s="491"/>
      <c r="AF12" s="491"/>
      <c r="AG12" s="491"/>
      <c r="AH12" s="491"/>
      <c r="AI12" s="491"/>
      <c r="AJ12" s="491"/>
      <c r="AK12" s="491"/>
      <c r="AL12" s="491"/>
      <c r="AM12" s="491"/>
      <c r="AN12" s="491"/>
      <c r="AO12" s="491"/>
      <c r="AP12" s="491"/>
      <c r="AQ12" s="491"/>
      <c r="AR12" s="491"/>
      <c r="AS12" s="491"/>
      <c r="AT12" s="491"/>
      <c r="AU12" s="491"/>
      <c r="AV12" s="491"/>
      <c r="AW12" s="491"/>
      <c r="AX12" s="491"/>
      <c r="AY12" s="491"/>
    </row>
    <row r="13" spans="1:51" x14ac:dyDescent="0.2">
      <c r="A13" s="527"/>
      <c r="B13" s="528"/>
      <c r="C13" s="528"/>
      <c r="D13" s="528"/>
      <c r="E13" s="528"/>
      <c r="F13" s="528"/>
      <c r="G13" s="528"/>
      <c r="H13" s="528"/>
      <c r="I13" s="509"/>
      <c r="J13" s="529"/>
      <c r="K13" s="494"/>
      <c r="L13" s="494"/>
      <c r="M13" s="494"/>
      <c r="N13" s="494"/>
      <c r="O13" s="494"/>
      <c r="P13" s="506"/>
      <c r="Q13" s="491"/>
      <c r="R13" s="491"/>
      <c r="S13" s="491"/>
      <c r="T13" s="491"/>
      <c r="U13" s="491"/>
      <c r="V13" s="491"/>
      <c r="W13" s="491"/>
      <c r="X13" s="491"/>
      <c r="Y13" s="491"/>
      <c r="Z13" s="491"/>
      <c r="AA13" s="491"/>
      <c r="AB13" s="491"/>
      <c r="AC13" s="491"/>
      <c r="AD13" s="491"/>
      <c r="AE13" s="491"/>
      <c r="AF13" s="491"/>
      <c r="AG13" s="491"/>
      <c r="AH13" s="491"/>
      <c r="AI13" s="491"/>
      <c r="AJ13" s="491"/>
      <c r="AK13" s="491"/>
      <c r="AL13" s="491"/>
      <c r="AM13" s="491"/>
      <c r="AN13" s="491"/>
      <c r="AO13" s="491"/>
      <c r="AP13" s="491"/>
      <c r="AQ13" s="491"/>
      <c r="AR13" s="491"/>
      <c r="AS13" s="491"/>
      <c r="AT13" s="491"/>
      <c r="AU13" s="491"/>
      <c r="AV13" s="491"/>
      <c r="AW13" s="491"/>
      <c r="AX13" s="491"/>
      <c r="AY13" s="491"/>
    </row>
    <row r="14" spans="1:51" x14ac:dyDescent="0.2">
      <c r="A14" s="527" t="s">
        <v>335</v>
      </c>
      <c r="B14" s="528">
        <v>0</v>
      </c>
      <c r="C14" s="528">
        <v>0</v>
      </c>
      <c r="D14" s="529">
        <v>0</v>
      </c>
      <c r="E14" s="529">
        <f>18297838932-E10</f>
        <v>339002280</v>
      </c>
      <c r="F14" s="528">
        <v>0</v>
      </c>
      <c r="G14" s="528">
        <v>0</v>
      </c>
      <c r="H14" s="528">
        <v>0</v>
      </c>
      <c r="I14" s="509">
        <f t="shared" ref="I14:I16" si="0">SUM(B14:H14)</f>
        <v>339002280</v>
      </c>
      <c r="J14" s="529">
        <v>518524941</v>
      </c>
      <c r="K14" s="494"/>
      <c r="L14" s="494"/>
      <c r="M14" s="494"/>
      <c r="N14" s="494"/>
      <c r="O14" s="494"/>
      <c r="P14" s="506"/>
      <c r="Q14" s="491"/>
      <c r="R14" s="491"/>
      <c r="S14" s="491"/>
      <c r="T14" s="491"/>
      <c r="U14" s="491"/>
      <c r="V14" s="491"/>
      <c r="W14" s="491"/>
      <c r="X14" s="491"/>
      <c r="Y14" s="491"/>
      <c r="Z14" s="491"/>
      <c r="AA14" s="491"/>
      <c r="AB14" s="491"/>
      <c r="AC14" s="491"/>
      <c r="AD14" s="491"/>
      <c r="AE14" s="491"/>
      <c r="AF14" s="491"/>
      <c r="AG14" s="491"/>
      <c r="AH14" s="491"/>
      <c r="AI14" s="491"/>
      <c r="AJ14" s="491"/>
      <c r="AK14" s="491"/>
      <c r="AL14" s="491"/>
      <c r="AM14" s="491"/>
      <c r="AN14" s="491"/>
      <c r="AO14" s="491"/>
      <c r="AP14" s="491"/>
      <c r="AQ14" s="491"/>
      <c r="AR14" s="491"/>
      <c r="AS14" s="491"/>
      <c r="AT14" s="491"/>
      <c r="AU14" s="491"/>
      <c r="AV14" s="491"/>
      <c r="AW14" s="491"/>
      <c r="AX14" s="491"/>
      <c r="AY14" s="491"/>
    </row>
    <row r="15" spans="1:51" x14ac:dyDescent="0.2">
      <c r="A15" s="527" t="s">
        <v>413</v>
      </c>
      <c r="B15" s="528">
        <v>0</v>
      </c>
      <c r="C15" s="528">
        <v>0</v>
      </c>
      <c r="D15" s="529">
        <v>0</v>
      </c>
      <c r="E15" s="528">
        <v>0</v>
      </c>
      <c r="F15" s="528">
        <v>0</v>
      </c>
      <c r="G15" s="528">
        <v>13979106704</v>
      </c>
      <c r="H15" s="528">
        <f>-G15</f>
        <v>-13979106704</v>
      </c>
      <c r="I15" s="509">
        <f t="shared" si="0"/>
        <v>0</v>
      </c>
      <c r="J15" s="529">
        <v>0</v>
      </c>
      <c r="K15" s="494"/>
      <c r="L15" s="494"/>
      <c r="M15" s="494"/>
      <c r="N15" s="494"/>
      <c r="O15" s="494"/>
      <c r="P15" s="506"/>
      <c r="Q15" s="491"/>
      <c r="R15" s="491"/>
      <c r="S15" s="491"/>
      <c r="T15" s="491"/>
      <c r="U15" s="491"/>
      <c r="V15" s="491"/>
      <c r="W15" s="491"/>
      <c r="X15" s="491"/>
      <c r="Y15" s="491"/>
      <c r="Z15" s="491"/>
      <c r="AA15" s="491"/>
      <c r="AB15" s="491"/>
      <c r="AC15" s="491"/>
      <c r="AD15" s="491"/>
      <c r="AE15" s="491"/>
      <c r="AF15" s="491"/>
      <c r="AG15" s="491"/>
      <c r="AH15" s="491"/>
      <c r="AI15" s="491"/>
      <c r="AJ15" s="491"/>
      <c r="AK15" s="491"/>
      <c r="AL15" s="491"/>
      <c r="AM15" s="491"/>
      <c r="AN15" s="491"/>
      <c r="AO15" s="491"/>
      <c r="AP15" s="491"/>
      <c r="AQ15" s="491"/>
      <c r="AR15" s="491"/>
      <c r="AS15" s="491"/>
      <c r="AT15" s="491"/>
      <c r="AU15" s="491"/>
      <c r="AV15" s="491"/>
      <c r="AW15" s="491"/>
      <c r="AX15" s="491"/>
      <c r="AY15" s="491"/>
    </row>
    <row r="16" spans="1:51" x14ac:dyDescent="0.2">
      <c r="A16" s="527" t="s">
        <v>334</v>
      </c>
      <c r="B16" s="528">
        <v>0</v>
      </c>
      <c r="C16" s="528">
        <v>0</v>
      </c>
      <c r="D16" s="529">
        <v>0</v>
      </c>
      <c r="E16" s="528">
        <v>0</v>
      </c>
      <c r="F16" s="528">
        <v>0</v>
      </c>
      <c r="G16" s="529">
        <v>0</v>
      </c>
      <c r="H16" s="529">
        <v>1929695806</v>
      </c>
      <c r="I16" s="509">
        <f t="shared" si="0"/>
        <v>1929695806</v>
      </c>
      <c r="J16" s="529">
        <v>4526182909</v>
      </c>
      <c r="K16" s="494"/>
      <c r="L16" s="494"/>
      <c r="M16" s="494"/>
      <c r="N16" s="494"/>
      <c r="O16" s="494"/>
      <c r="P16" s="506"/>
      <c r="Q16" s="491"/>
      <c r="R16" s="491"/>
      <c r="S16" s="491"/>
      <c r="T16" s="491"/>
      <c r="U16" s="491"/>
      <c r="V16" s="491"/>
      <c r="W16" s="491"/>
      <c r="X16" s="491"/>
      <c r="Y16" s="491"/>
      <c r="Z16" s="491"/>
      <c r="AA16" s="491"/>
      <c r="AB16" s="491"/>
      <c r="AC16" s="491"/>
      <c r="AD16" s="491"/>
      <c r="AE16" s="491"/>
      <c r="AF16" s="491"/>
      <c r="AG16" s="491"/>
      <c r="AH16" s="491"/>
      <c r="AI16" s="491"/>
      <c r="AJ16" s="491"/>
      <c r="AK16" s="491"/>
      <c r="AL16" s="491"/>
      <c r="AM16" s="491"/>
      <c r="AN16" s="491"/>
      <c r="AO16" s="491"/>
      <c r="AP16" s="491"/>
      <c r="AQ16" s="491"/>
      <c r="AR16" s="491"/>
      <c r="AS16" s="491"/>
      <c r="AT16" s="491"/>
      <c r="AU16" s="491"/>
      <c r="AV16" s="491"/>
      <c r="AW16" s="491"/>
      <c r="AX16" s="491"/>
      <c r="AY16" s="491"/>
    </row>
    <row r="17" spans="1:51" s="499" customFormat="1" x14ac:dyDescent="0.2">
      <c r="A17" s="505" t="s">
        <v>343</v>
      </c>
      <c r="B17" s="504">
        <f t="shared" ref="B17:I17" si="1">SUM(B10:B16)</f>
        <v>75000000000</v>
      </c>
      <c r="C17" s="504">
        <f t="shared" si="1"/>
        <v>-1720000000</v>
      </c>
      <c r="D17" s="504">
        <f t="shared" si="1"/>
        <v>8149925222</v>
      </c>
      <c r="E17" s="504">
        <f t="shared" si="1"/>
        <v>18297838932</v>
      </c>
      <c r="F17" s="504">
        <f t="shared" si="1"/>
        <v>13524332554</v>
      </c>
      <c r="G17" s="504">
        <f t="shared" si="1"/>
        <v>13979106704</v>
      </c>
      <c r="H17" s="504">
        <f t="shared" si="1"/>
        <v>1929695806</v>
      </c>
      <c r="I17" s="504">
        <f t="shared" si="1"/>
        <v>129160899218</v>
      </c>
      <c r="J17" s="503">
        <v>0</v>
      </c>
      <c r="K17" s="502"/>
      <c r="L17" s="502"/>
      <c r="M17" s="502"/>
      <c r="N17" s="502"/>
      <c r="O17" s="502"/>
      <c r="P17" s="501"/>
      <c r="Q17" s="500"/>
      <c r="R17" s="500"/>
      <c r="S17" s="500"/>
      <c r="T17" s="500"/>
      <c r="U17" s="500"/>
      <c r="V17" s="500"/>
      <c r="W17" s="500"/>
      <c r="X17" s="500"/>
      <c r="Y17" s="500"/>
      <c r="Z17" s="500"/>
      <c r="AA17" s="500"/>
      <c r="AB17" s="500"/>
      <c r="AC17" s="500"/>
      <c r="AD17" s="500"/>
      <c r="AE17" s="500"/>
      <c r="AF17" s="500"/>
      <c r="AG17" s="500"/>
      <c r="AH17" s="500"/>
      <c r="AI17" s="500"/>
      <c r="AJ17" s="500"/>
      <c r="AK17" s="500"/>
      <c r="AL17" s="500"/>
      <c r="AM17" s="500"/>
      <c r="AN17" s="500"/>
      <c r="AO17" s="500"/>
      <c r="AP17" s="500"/>
      <c r="AQ17" s="500"/>
      <c r="AR17" s="500"/>
      <c r="AS17" s="500"/>
      <c r="AT17" s="500"/>
      <c r="AU17" s="500"/>
      <c r="AV17" s="500"/>
      <c r="AW17" s="500"/>
      <c r="AX17" s="500"/>
      <c r="AY17" s="500"/>
    </row>
    <row r="18" spans="1:51" ht="14.45" customHeight="1" x14ac:dyDescent="0.2">
      <c r="A18" s="505" t="s">
        <v>344</v>
      </c>
      <c r="B18" s="498">
        <f>+B17</f>
        <v>75000000000</v>
      </c>
      <c r="C18" s="498">
        <f>+C17</f>
        <v>-1720000000</v>
      </c>
      <c r="D18" s="498">
        <v>7438444197</v>
      </c>
      <c r="E18" s="498">
        <v>16951850499</v>
      </c>
      <c r="F18" s="498">
        <v>6193074</v>
      </c>
      <c r="G18" s="498">
        <v>14229620505</v>
      </c>
      <c r="H18" s="498">
        <v>4526182909</v>
      </c>
      <c r="I18" s="498">
        <v>0</v>
      </c>
      <c r="J18" s="497">
        <f>SUM(J10:J16)</f>
        <v>116432291184</v>
      </c>
      <c r="K18" s="492"/>
      <c r="L18" s="492"/>
      <c r="M18" s="492"/>
      <c r="N18" s="492"/>
      <c r="O18" s="492"/>
      <c r="P18" s="491"/>
      <c r="Q18" s="491"/>
      <c r="R18" s="491"/>
      <c r="S18" s="491"/>
      <c r="T18" s="491"/>
      <c r="U18" s="491"/>
      <c r="V18" s="491"/>
      <c r="W18" s="491"/>
      <c r="X18" s="491"/>
      <c r="Y18" s="491"/>
      <c r="Z18" s="491"/>
      <c r="AA18" s="491"/>
      <c r="AB18" s="491"/>
      <c r="AC18" s="491"/>
      <c r="AD18" s="491"/>
      <c r="AE18" s="491"/>
      <c r="AF18" s="491"/>
      <c r="AG18" s="491"/>
      <c r="AH18" s="491"/>
      <c r="AI18" s="491"/>
      <c r="AJ18" s="491"/>
      <c r="AK18" s="491"/>
      <c r="AL18" s="491"/>
      <c r="AM18" s="491"/>
      <c r="AN18" s="491"/>
      <c r="AO18" s="491"/>
      <c r="AP18" s="491"/>
      <c r="AQ18" s="491"/>
      <c r="AR18" s="491"/>
      <c r="AS18" s="491"/>
      <c r="AT18" s="491"/>
      <c r="AU18" s="491"/>
      <c r="AV18" s="491"/>
      <c r="AW18" s="491"/>
      <c r="AX18" s="491"/>
      <c r="AY18" s="491"/>
    </row>
    <row r="19" spans="1:51" ht="14.45" customHeight="1" x14ac:dyDescent="0.2">
      <c r="A19" s="492"/>
      <c r="B19" s="492"/>
      <c r="C19" s="492"/>
      <c r="D19" s="492"/>
      <c r="E19" s="492"/>
      <c r="F19" s="492"/>
      <c r="G19" s="492"/>
      <c r="H19" s="492"/>
      <c r="I19" s="494"/>
      <c r="J19" s="494"/>
      <c r="K19" s="492"/>
      <c r="L19" s="492"/>
      <c r="M19" s="492"/>
      <c r="N19" s="492"/>
      <c r="O19" s="492"/>
      <c r="P19" s="491"/>
      <c r="Q19" s="491"/>
      <c r="R19" s="491"/>
      <c r="S19" s="491"/>
      <c r="T19" s="491"/>
      <c r="U19" s="491"/>
      <c r="V19" s="491"/>
      <c r="W19" s="491"/>
      <c r="X19" s="491"/>
      <c r="Y19" s="491"/>
      <c r="Z19" s="491"/>
      <c r="AA19" s="491"/>
      <c r="AB19" s="491"/>
      <c r="AC19" s="491"/>
      <c r="AD19" s="491"/>
      <c r="AE19" s="491"/>
      <c r="AF19" s="491"/>
      <c r="AG19" s="491"/>
      <c r="AH19" s="491"/>
      <c r="AI19" s="491"/>
      <c r="AJ19" s="491"/>
      <c r="AK19" s="491"/>
      <c r="AL19" s="491"/>
      <c r="AM19" s="491"/>
      <c r="AN19" s="491"/>
      <c r="AO19" s="491"/>
      <c r="AP19" s="491"/>
      <c r="AQ19" s="491"/>
      <c r="AR19" s="491"/>
      <c r="AS19" s="491"/>
      <c r="AT19" s="491"/>
      <c r="AU19" s="491"/>
      <c r="AV19" s="491"/>
      <c r="AW19" s="491"/>
      <c r="AX19" s="491"/>
      <c r="AY19" s="491"/>
    </row>
    <row r="20" spans="1:51" ht="14.45" customHeight="1" x14ac:dyDescent="0.2">
      <c r="A20" s="492"/>
      <c r="B20" s="492"/>
      <c r="C20" s="492"/>
      <c r="D20" s="494"/>
      <c r="E20" s="494"/>
      <c r="F20" s="494"/>
      <c r="H20" s="496"/>
      <c r="I20" s="494"/>
      <c r="J20" s="494"/>
      <c r="K20" s="492"/>
      <c r="L20" s="492"/>
      <c r="M20" s="492"/>
      <c r="N20" s="492"/>
      <c r="O20" s="492"/>
      <c r="P20" s="491"/>
      <c r="Q20" s="491"/>
      <c r="R20" s="491"/>
      <c r="S20" s="491"/>
      <c r="T20" s="491"/>
      <c r="U20" s="491"/>
      <c r="V20" s="491"/>
      <c r="W20" s="491"/>
      <c r="X20" s="491"/>
      <c r="Y20" s="491"/>
      <c r="Z20" s="491"/>
      <c r="AA20" s="491"/>
      <c r="AB20" s="491"/>
      <c r="AC20" s="491"/>
      <c r="AD20" s="491"/>
      <c r="AE20" s="491"/>
      <c r="AF20" s="491"/>
      <c r="AG20" s="491"/>
      <c r="AH20" s="491"/>
      <c r="AI20" s="491"/>
      <c r="AJ20" s="491"/>
      <c r="AK20" s="491"/>
      <c r="AL20" s="491"/>
      <c r="AM20" s="491"/>
      <c r="AN20" s="491"/>
      <c r="AO20" s="491"/>
      <c r="AP20" s="491"/>
      <c r="AQ20" s="491"/>
      <c r="AR20" s="491"/>
      <c r="AS20" s="491"/>
      <c r="AT20" s="491"/>
      <c r="AU20" s="491"/>
      <c r="AV20" s="491"/>
      <c r="AW20" s="491"/>
      <c r="AX20" s="491"/>
      <c r="AY20" s="491"/>
    </row>
    <row r="21" spans="1:51" s="204" customFormat="1" ht="15" x14ac:dyDescent="0.2">
      <c r="A21" s="315" t="s">
        <v>333</v>
      </c>
      <c r="H21" s="495"/>
      <c r="I21" s="495"/>
    </row>
    <row r="22" spans="1:51" ht="14.45" customHeight="1" x14ac:dyDescent="0.2">
      <c r="A22" s="492"/>
      <c r="B22" s="492"/>
      <c r="C22" s="492"/>
      <c r="D22" s="492"/>
      <c r="E22" s="492"/>
      <c r="F22" s="494"/>
      <c r="G22" s="492"/>
      <c r="H22" s="494"/>
      <c r="I22" s="494"/>
      <c r="J22" s="492"/>
      <c r="K22" s="492"/>
      <c r="L22" s="492"/>
      <c r="M22" s="492"/>
      <c r="N22" s="492"/>
      <c r="O22" s="492"/>
      <c r="P22" s="491"/>
      <c r="Q22" s="491"/>
      <c r="R22" s="491"/>
      <c r="S22" s="491"/>
      <c r="T22" s="491"/>
      <c r="U22" s="491"/>
      <c r="V22" s="491"/>
      <c r="W22" s="491"/>
      <c r="X22" s="491"/>
      <c r="Y22" s="491"/>
      <c r="Z22" s="491"/>
      <c r="AA22" s="491"/>
      <c r="AB22" s="491"/>
      <c r="AC22" s="491"/>
      <c r="AD22" s="491"/>
      <c r="AE22" s="491"/>
      <c r="AF22" s="491"/>
      <c r="AG22" s="491"/>
      <c r="AH22" s="491"/>
      <c r="AI22" s="491"/>
      <c r="AJ22" s="491"/>
      <c r="AK22" s="491"/>
      <c r="AL22" s="491"/>
      <c r="AM22" s="491"/>
      <c r="AN22" s="491"/>
      <c r="AO22" s="491"/>
      <c r="AP22" s="491"/>
      <c r="AQ22" s="491"/>
      <c r="AR22" s="491"/>
      <c r="AS22" s="491"/>
      <c r="AT22" s="491"/>
      <c r="AU22" s="491"/>
      <c r="AV22" s="491"/>
      <c r="AW22" s="491"/>
      <c r="AX22" s="491"/>
      <c r="AY22" s="491"/>
    </row>
    <row r="25" spans="1:51" ht="12" customHeight="1" x14ac:dyDescent="0.2">
      <c r="A25" s="493"/>
      <c r="B25" s="492"/>
      <c r="C25" s="492"/>
      <c r="D25" s="492"/>
      <c r="E25" s="492"/>
      <c r="F25" s="492"/>
      <c r="G25" s="492"/>
      <c r="H25" s="492"/>
      <c r="I25" s="492"/>
      <c r="J25" s="492"/>
      <c r="K25" s="492"/>
      <c r="L25" s="492"/>
      <c r="M25" s="492"/>
      <c r="N25" s="492"/>
      <c r="O25" s="492"/>
      <c r="P25" s="491"/>
      <c r="Q25" s="491"/>
      <c r="R25" s="491"/>
      <c r="S25" s="491"/>
      <c r="T25" s="491"/>
      <c r="U25" s="491"/>
      <c r="V25" s="491"/>
      <c r="W25" s="491"/>
      <c r="X25" s="491"/>
      <c r="Y25" s="491"/>
      <c r="Z25" s="491"/>
      <c r="AA25" s="491"/>
      <c r="AB25" s="491"/>
      <c r="AC25" s="491"/>
      <c r="AD25" s="491"/>
      <c r="AE25" s="491"/>
      <c r="AF25" s="491"/>
      <c r="AG25" s="491"/>
      <c r="AH25" s="491"/>
      <c r="AI25" s="491"/>
      <c r="AJ25" s="491"/>
      <c r="AK25" s="491"/>
      <c r="AL25" s="491"/>
      <c r="AM25" s="491"/>
      <c r="AN25" s="491"/>
      <c r="AO25" s="491"/>
      <c r="AP25" s="491"/>
      <c r="AQ25" s="491"/>
      <c r="AR25" s="491"/>
      <c r="AS25" s="491"/>
      <c r="AT25" s="491"/>
      <c r="AU25" s="491"/>
      <c r="AV25" s="491"/>
      <c r="AW25" s="491"/>
      <c r="AX25" s="491"/>
      <c r="AY25" s="491"/>
    </row>
    <row r="26" spans="1:51" ht="12" customHeight="1" x14ac:dyDescent="0.2">
      <c r="A26" s="491"/>
      <c r="B26" s="491"/>
      <c r="C26" s="491"/>
      <c r="D26" s="491"/>
      <c r="E26" s="491"/>
      <c r="F26" s="491"/>
      <c r="G26" s="491"/>
      <c r="H26" s="491"/>
      <c r="I26" s="491"/>
      <c r="J26" s="491"/>
      <c r="K26" s="491"/>
      <c r="L26" s="491"/>
      <c r="M26" s="491"/>
      <c r="N26" s="491"/>
      <c r="O26" s="491"/>
      <c r="P26" s="491"/>
      <c r="Q26" s="491"/>
      <c r="R26" s="491"/>
      <c r="S26" s="491"/>
      <c r="T26" s="491"/>
      <c r="U26" s="491"/>
      <c r="V26" s="491"/>
      <c r="W26" s="491"/>
      <c r="X26" s="491"/>
      <c r="Y26" s="491"/>
      <c r="Z26" s="491"/>
      <c r="AA26" s="491"/>
      <c r="AB26" s="491"/>
      <c r="AC26" s="491"/>
      <c r="AD26" s="491"/>
      <c r="AE26" s="491"/>
      <c r="AF26" s="491"/>
      <c r="AG26" s="491"/>
      <c r="AH26" s="491"/>
      <c r="AI26" s="491"/>
      <c r="AJ26" s="491"/>
      <c r="AK26" s="491"/>
      <c r="AL26" s="491"/>
      <c r="AM26" s="491"/>
      <c r="AN26" s="491"/>
      <c r="AO26" s="491"/>
      <c r="AP26" s="491"/>
      <c r="AQ26" s="491"/>
      <c r="AR26" s="491"/>
      <c r="AS26" s="491"/>
      <c r="AT26" s="491"/>
      <c r="AU26" s="491"/>
      <c r="AV26" s="491"/>
      <c r="AW26" s="491"/>
      <c r="AX26" s="491"/>
      <c r="AY26" s="491"/>
    </row>
    <row r="27" spans="1:51" customFormat="1" ht="13.5" x14ac:dyDescent="0.25">
      <c r="A27" s="751" t="s">
        <v>321</v>
      </c>
      <c r="B27" s="751"/>
      <c r="C27" s="771" t="s">
        <v>322</v>
      </c>
      <c r="D27" s="771"/>
      <c r="E27" s="751" t="s">
        <v>323</v>
      </c>
      <c r="F27" s="751"/>
      <c r="G27" s="76"/>
      <c r="H27" s="2"/>
    </row>
    <row r="28" spans="1:51" s="67" customFormat="1" x14ac:dyDescent="0.2">
      <c r="A28" s="757" t="s">
        <v>141</v>
      </c>
      <c r="B28" s="757"/>
      <c r="C28" s="756" t="s">
        <v>376</v>
      </c>
      <c r="D28" s="756"/>
      <c r="E28" s="757" t="s">
        <v>127</v>
      </c>
      <c r="F28" s="757"/>
      <c r="G28" s="148"/>
    </row>
  </sheetData>
  <mergeCells count="12">
    <mergeCell ref="A27:B27"/>
    <mergeCell ref="C27:D27"/>
    <mergeCell ref="A28:B28"/>
    <mergeCell ref="C28:D28"/>
    <mergeCell ref="E27:F27"/>
    <mergeCell ref="E28:F28"/>
    <mergeCell ref="G7:H8"/>
    <mergeCell ref="A1:I1"/>
    <mergeCell ref="A2:I2"/>
    <mergeCell ref="A3:I3"/>
    <mergeCell ref="A4:I4"/>
    <mergeCell ref="D8:F8"/>
  </mergeCells>
  <printOptions gridLinesSet="0"/>
  <pageMargins left="0.25" right="0.25" top="0.75" bottom="0.75" header="0.3" footer="0.3"/>
  <pageSetup scale="70" orientation="landscape" horizontalDpi="300" verticalDpi="300" r:id="rId1"/>
  <headerFooter alignWithMargins="0">
    <oddFooter>&amp;C7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844D-F7E0-46A5-ABAF-2D17FA6E51B9}">
  <sheetPr>
    <tabColor rgb="FF92D050"/>
  </sheetPr>
  <dimension ref="A2:U66"/>
  <sheetViews>
    <sheetView topLeftCell="F6" zoomScaleNormal="100" workbookViewId="0">
      <selection activeCell="G11" sqref="G11:I11"/>
    </sheetView>
  </sheetViews>
  <sheetFormatPr baseColWidth="10" defaultColWidth="11.42578125" defaultRowHeight="12.75" x14ac:dyDescent="0.2"/>
  <cols>
    <col min="1" max="1" width="2.7109375" style="669" customWidth="1"/>
    <col min="2" max="2" width="1" style="669" customWidth="1"/>
    <col min="3" max="3" width="4.42578125" style="669" customWidth="1"/>
    <col min="4" max="4" width="37.85546875" style="669" customWidth="1"/>
    <col min="5" max="5" width="20" style="669" customWidth="1"/>
    <col min="6" max="6" width="11.85546875" style="669" customWidth="1"/>
    <col min="7" max="7" width="18.42578125" style="678" bestFit="1" customWidth="1"/>
    <col min="8" max="8" width="7" style="678" hidden="1" customWidth="1"/>
    <col min="9" max="9" width="14.28515625" style="678" bestFit="1" customWidth="1"/>
    <col min="10" max="10" width="9.85546875" style="669" hidden="1" customWidth="1"/>
    <col min="11" max="11" width="10.7109375" style="669" hidden="1" customWidth="1"/>
    <col min="12" max="12" width="9.28515625" style="671" hidden="1" customWidth="1"/>
    <col min="13" max="13" width="4.140625" style="669" customWidth="1"/>
    <col min="14" max="14" width="18.42578125" style="669" bestFit="1" customWidth="1"/>
    <col min="15" max="15" width="16.42578125" style="669" bestFit="1" customWidth="1"/>
    <col min="16" max="16" width="17.42578125" style="669" bestFit="1" customWidth="1"/>
    <col min="17" max="18" width="18.42578125" style="669" bestFit="1" customWidth="1"/>
    <col min="19" max="19" width="18.28515625" style="669" customWidth="1"/>
    <col min="20" max="20" width="17.42578125" style="669" customWidth="1"/>
    <col min="21" max="16384" width="11.42578125" style="669"/>
  </cols>
  <sheetData>
    <row r="2" spans="2:21" ht="18" x14ac:dyDescent="0.25">
      <c r="D2" s="774" t="s">
        <v>414</v>
      </c>
      <c r="E2" s="774"/>
      <c r="F2" s="774"/>
      <c r="G2" s="774"/>
      <c r="H2" s="774"/>
      <c r="I2" s="774"/>
      <c r="J2" s="774"/>
      <c r="K2" s="670"/>
    </row>
    <row r="3" spans="2:21" ht="5.25" customHeight="1" x14ac:dyDescent="0.25">
      <c r="D3" s="672"/>
      <c r="E3" s="672"/>
      <c r="F3" s="672"/>
      <c r="G3" s="672"/>
      <c r="H3" s="672"/>
      <c r="I3" s="672"/>
      <c r="J3" s="672"/>
      <c r="K3" s="670"/>
    </row>
    <row r="4" spans="2:21" ht="5.25" customHeight="1" x14ac:dyDescent="0.25">
      <c r="D4" s="673"/>
      <c r="E4" s="673"/>
      <c r="F4" s="673"/>
      <c r="G4" s="673"/>
      <c r="H4" s="673"/>
      <c r="I4" s="673"/>
      <c r="J4" s="674"/>
      <c r="K4" s="670"/>
    </row>
    <row r="5" spans="2:21" x14ac:dyDescent="0.2">
      <c r="D5" s="775" t="s">
        <v>415</v>
      </c>
      <c r="E5" s="775"/>
      <c r="F5" s="775"/>
      <c r="G5" s="775"/>
      <c r="H5" s="775"/>
      <c r="I5" s="775"/>
      <c r="J5" s="674"/>
      <c r="K5" s="670"/>
    </row>
    <row r="6" spans="2:21" x14ac:dyDescent="0.2">
      <c r="D6" s="776" t="s">
        <v>329</v>
      </c>
      <c r="E6" s="776"/>
      <c r="F6" s="776"/>
      <c r="G6" s="776"/>
      <c r="H6" s="776"/>
      <c r="I6" s="776"/>
      <c r="J6" s="674"/>
      <c r="K6" s="670"/>
    </row>
    <row r="7" spans="2:21" s="677" customFormat="1" x14ac:dyDescent="0.2">
      <c r="B7" s="669"/>
      <c r="C7" s="669"/>
      <c r="D7" s="776" t="s">
        <v>9</v>
      </c>
      <c r="E7" s="776"/>
      <c r="F7" s="776"/>
      <c r="G7" s="776"/>
      <c r="H7" s="776"/>
      <c r="I7" s="776"/>
      <c r="J7" s="674"/>
      <c r="K7" s="675"/>
      <c r="L7" s="676"/>
    </row>
    <row r="8" spans="2:21" ht="9.75" customHeight="1" x14ac:dyDescent="0.2">
      <c r="I8" s="679"/>
      <c r="J8" s="671"/>
      <c r="K8" s="671"/>
    </row>
    <row r="9" spans="2:21" ht="16.5" x14ac:dyDescent="0.3">
      <c r="B9" s="680"/>
      <c r="C9" s="681"/>
      <c r="D9" s="682"/>
      <c r="E9" s="682"/>
      <c r="F9" s="682"/>
      <c r="G9" s="683"/>
      <c r="H9" s="683"/>
      <c r="I9" s="683"/>
      <c r="J9" s="684"/>
      <c r="K9" s="684"/>
      <c r="L9" s="684"/>
      <c r="M9" s="685"/>
    </row>
    <row r="10" spans="2:21" ht="16.5" x14ac:dyDescent="0.3">
      <c r="B10" s="686"/>
      <c r="C10" s="687"/>
      <c r="G10" s="688"/>
      <c r="H10" s="688"/>
      <c r="I10" s="688"/>
      <c r="J10" s="689"/>
      <c r="K10" s="689"/>
      <c r="L10" s="689"/>
      <c r="M10" s="690"/>
    </row>
    <row r="11" spans="2:21" ht="16.5" x14ac:dyDescent="0.3">
      <c r="B11" s="686"/>
      <c r="C11" s="687" t="s">
        <v>416</v>
      </c>
      <c r="F11" s="691" t="s">
        <v>417</v>
      </c>
      <c r="G11" s="744">
        <v>43555</v>
      </c>
      <c r="H11" s="744"/>
      <c r="I11" s="744">
        <v>43190</v>
      </c>
      <c r="J11" s="689"/>
      <c r="K11" s="689"/>
      <c r="L11" s="689"/>
      <c r="M11" s="690"/>
    </row>
    <row r="12" spans="2:21" x14ac:dyDescent="0.2">
      <c r="B12" s="686"/>
      <c r="D12" s="692"/>
      <c r="E12" s="692"/>
      <c r="F12" s="692"/>
      <c r="G12" s="693"/>
      <c r="H12" s="693"/>
      <c r="I12" s="693"/>
      <c r="J12" s="694" t="s">
        <v>418</v>
      </c>
      <c r="K12" s="694" t="s">
        <v>419</v>
      </c>
      <c r="L12" s="695" t="s">
        <v>419</v>
      </c>
      <c r="M12" s="690"/>
    </row>
    <row r="13" spans="2:21" ht="13.15" customHeight="1" x14ac:dyDescent="0.2">
      <c r="B13" s="686"/>
      <c r="D13" s="669" t="s">
        <v>420</v>
      </c>
      <c r="E13" s="692"/>
      <c r="F13" s="692"/>
      <c r="G13" s="696">
        <v>50637362721</v>
      </c>
      <c r="H13" s="696"/>
      <c r="I13" s="696">
        <v>59440424268</v>
      </c>
      <c r="J13" s="689" t="e">
        <v>#REF!</v>
      </c>
      <c r="K13" s="689" t="e">
        <v>#REF!</v>
      </c>
      <c r="L13" s="689" t="e">
        <v>#REF!</v>
      </c>
      <c r="M13" s="697"/>
      <c r="N13" s="671"/>
      <c r="O13" s="671"/>
      <c r="P13" s="698"/>
      <c r="Q13" s="698"/>
      <c r="R13" s="699"/>
      <c r="S13" s="671"/>
      <c r="T13" s="700"/>
      <c r="U13" s="700"/>
    </row>
    <row r="14" spans="2:21" ht="13.15" customHeight="1" x14ac:dyDescent="0.2">
      <c r="B14" s="686"/>
      <c r="D14" s="669" t="s">
        <v>421</v>
      </c>
      <c r="E14" s="692"/>
      <c r="F14" s="692"/>
      <c r="G14" s="696">
        <v>-39415958623</v>
      </c>
      <c r="H14" s="696"/>
      <c r="I14" s="696">
        <v>0</v>
      </c>
      <c r="J14" s="689" t="e">
        <v>#REF!</v>
      </c>
      <c r="K14" s="689" t="e">
        <v>#REF!</v>
      </c>
      <c r="L14" s="689" t="e">
        <v>#REF!</v>
      </c>
      <c r="M14" s="697"/>
      <c r="N14" s="671"/>
      <c r="P14" s="698"/>
      <c r="Q14" s="698"/>
      <c r="R14" s="698"/>
      <c r="S14" s="700"/>
      <c r="T14" s="700"/>
      <c r="U14" s="700"/>
    </row>
    <row r="15" spans="2:21" ht="13.15" customHeight="1" x14ac:dyDescent="0.2">
      <c r="B15" s="686"/>
      <c r="D15" s="669" t="s">
        <v>422</v>
      </c>
      <c r="E15" s="692"/>
      <c r="F15" s="692"/>
      <c r="G15" s="696">
        <v>-4279780932</v>
      </c>
      <c r="H15" s="696"/>
      <c r="I15" s="696">
        <v>0</v>
      </c>
      <c r="J15" s="689"/>
      <c r="K15" s="689"/>
      <c r="L15" s="689"/>
      <c r="M15" s="697"/>
      <c r="N15" s="671"/>
      <c r="P15" s="698"/>
      <c r="Q15" s="698"/>
      <c r="R15" s="698"/>
      <c r="S15" s="700"/>
      <c r="T15" s="700"/>
      <c r="U15" s="700"/>
    </row>
    <row r="16" spans="2:21" ht="13.15" customHeight="1" x14ac:dyDescent="0.2">
      <c r="B16" s="686"/>
      <c r="D16" s="669" t="s">
        <v>439</v>
      </c>
      <c r="E16" s="692"/>
      <c r="F16" s="692"/>
      <c r="G16" s="696">
        <v>0</v>
      </c>
      <c r="H16" s="696"/>
      <c r="I16" s="696">
        <v>-61473547975</v>
      </c>
      <c r="J16" s="689"/>
      <c r="K16" s="689"/>
      <c r="L16" s="689"/>
      <c r="M16" s="697"/>
      <c r="N16" s="671"/>
      <c r="P16" s="698"/>
      <c r="Q16" s="698"/>
      <c r="R16" s="698"/>
      <c r="S16" s="700"/>
      <c r="T16" s="700"/>
      <c r="U16" s="700"/>
    </row>
    <row r="17" spans="2:21" ht="13.15" customHeight="1" x14ac:dyDescent="0.2">
      <c r="B17" s="686"/>
      <c r="D17" s="669" t="s">
        <v>440</v>
      </c>
      <c r="E17" s="692"/>
      <c r="F17" s="692"/>
      <c r="G17" s="696">
        <v>0</v>
      </c>
      <c r="H17" s="696"/>
      <c r="I17" s="696">
        <v>875330350</v>
      </c>
      <c r="J17" s="689"/>
      <c r="K17" s="689"/>
      <c r="L17" s="689"/>
      <c r="M17" s="697"/>
      <c r="N17" s="671"/>
      <c r="P17" s="698"/>
      <c r="Q17" s="698"/>
      <c r="R17" s="698"/>
      <c r="S17" s="700"/>
      <c r="T17" s="700"/>
      <c r="U17" s="700"/>
    </row>
    <row r="18" spans="2:21" ht="13.15" customHeight="1" x14ac:dyDescent="0.2">
      <c r="B18" s="686"/>
      <c r="D18" s="669" t="s">
        <v>256</v>
      </c>
      <c r="E18" s="692"/>
      <c r="F18" s="692"/>
      <c r="G18" s="696">
        <v>0</v>
      </c>
      <c r="H18" s="696"/>
      <c r="I18" s="696">
        <v>274737</v>
      </c>
      <c r="J18" s="689"/>
      <c r="K18" s="689"/>
      <c r="L18" s="689"/>
      <c r="M18" s="697"/>
      <c r="N18" s="671"/>
      <c r="P18" s="698"/>
      <c r="Q18" s="698"/>
      <c r="R18" s="698"/>
      <c r="S18" s="700"/>
      <c r="T18" s="700"/>
      <c r="U18" s="700"/>
    </row>
    <row r="19" spans="2:21" ht="13.15" customHeight="1" x14ac:dyDescent="0.2">
      <c r="B19" s="686"/>
      <c r="D19" s="669" t="s">
        <v>441</v>
      </c>
      <c r="E19" s="692"/>
      <c r="F19" s="692"/>
      <c r="G19" s="696">
        <v>0</v>
      </c>
      <c r="H19" s="696"/>
      <c r="I19" s="696">
        <v>-301974685</v>
      </c>
      <c r="J19" s="689"/>
      <c r="K19" s="689"/>
      <c r="L19" s="689"/>
      <c r="M19" s="697"/>
      <c r="N19" s="671"/>
      <c r="P19" s="698"/>
      <c r="Q19" s="698"/>
      <c r="R19" s="698"/>
      <c r="S19" s="700"/>
      <c r="T19" s="700"/>
      <c r="U19" s="700"/>
    </row>
    <row r="20" spans="2:21" ht="13.15" customHeight="1" x14ac:dyDescent="0.2">
      <c r="B20" s="686"/>
      <c r="D20" s="669" t="s">
        <v>423</v>
      </c>
      <c r="E20" s="692"/>
      <c r="F20" s="692"/>
      <c r="G20" s="696">
        <v>-4223868912</v>
      </c>
      <c r="H20" s="696"/>
      <c r="I20" s="696">
        <v>0</v>
      </c>
      <c r="J20" s="689"/>
      <c r="K20" s="689"/>
      <c r="L20" s="689"/>
      <c r="M20" s="697"/>
      <c r="N20" s="671"/>
      <c r="P20" s="698"/>
      <c r="Q20" s="698"/>
      <c r="R20" s="698"/>
      <c r="S20" s="700"/>
      <c r="T20" s="700"/>
      <c r="U20" s="700"/>
    </row>
    <row r="21" spans="2:21" ht="13.15" customHeight="1" x14ac:dyDescent="0.2">
      <c r="B21" s="686"/>
      <c r="C21" s="702" t="s">
        <v>424</v>
      </c>
      <c r="G21" s="703">
        <f>SUM(G13:G20)</f>
        <v>2717754254</v>
      </c>
      <c r="H21" s="704"/>
      <c r="I21" s="703">
        <f>SUM(I13:I20)</f>
        <v>-1459493305</v>
      </c>
      <c r="J21" s="705" t="e">
        <f>SUM(J13:J20)</f>
        <v>#REF!</v>
      </c>
      <c r="K21" s="705" t="e">
        <f>SUM(K13:K20)</f>
        <v>#REF!</v>
      </c>
      <c r="L21" s="706" t="e">
        <f>SUM(L13:L20)</f>
        <v>#REF!</v>
      </c>
      <c r="M21" s="707"/>
      <c r="N21" s="708"/>
      <c r="Q21" s="698"/>
      <c r="R21" s="698"/>
      <c r="S21" s="698"/>
      <c r="T21" s="671"/>
      <c r="U21" s="700"/>
    </row>
    <row r="22" spans="2:21" ht="6.75" customHeight="1" x14ac:dyDescent="0.2">
      <c r="B22" s="686"/>
      <c r="D22" s="692"/>
      <c r="E22" s="692"/>
      <c r="F22" s="692"/>
      <c r="G22" s="696"/>
      <c r="H22" s="696"/>
      <c r="I22" s="696"/>
      <c r="J22" s="689"/>
      <c r="K22" s="689"/>
      <c r="L22" s="689"/>
      <c r="M22" s="709"/>
      <c r="Q22" s="698"/>
      <c r="R22" s="698"/>
      <c r="S22" s="698"/>
      <c r="T22" s="671"/>
      <c r="U22" s="700"/>
    </row>
    <row r="23" spans="2:21" ht="16.5" x14ac:dyDescent="0.3">
      <c r="B23" s="686"/>
      <c r="C23" s="687" t="s">
        <v>425</v>
      </c>
      <c r="G23" s="696" t="s">
        <v>10</v>
      </c>
      <c r="H23" s="696"/>
      <c r="I23" s="696" t="s">
        <v>10</v>
      </c>
      <c r="J23" s="689"/>
      <c r="K23" s="689"/>
      <c r="L23" s="689"/>
      <c r="M23" s="709"/>
      <c r="N23" s="671"/>
      <c r="Q23" s="698"/>
      <c r="R23" s="698"/>
      <c r="S23" s="698"/>
      <c r="T23" s="671"/>
      <c r="U23" s="700"/>
    </row>
    <row r="24" spans="2:21" ht="4.7" customHeight="1" x14ac:dyDescent="0.2">
      <c r="B24" s="686"/>
      <c r="D24" s="692" t="s">
        <v>10</v>
      </c>
      <c r="E24" s="692"/>
      <c r="F24" s="692"/>
      <c r="G24" s="696" t="s">
        <v>10</v>
      </c>
      <c r="H24" s="696"/>
      <c r="I24" s="696" t="s">
        <v>10</v>
      </c>
      <c r="J24" s="689"/>
      <c r="K24" s="689"/>
      <c r="L24" s="689"/>
      <c r="M24" s="709"/>
      <c r="N24" s="671"/>
      <c r="Q24" s="698"/>
      <c r="R24" s="698"/>
      <c r="S24" s="698"/>
      <c r="T24" s="671"/>
      <c r="U24" s="700"/>
    </row>
    <row r="25" spans="2:21" x14ac:dyDescent="0.2">
      <c r="B25" s="686"/>
      <c r="D25" s="669" t="s">
        <v>426</v>
      </c>
      <c r="E25" s="692"/>
      <c r="F25" s="692"/>
      <c r="G25" s="696">
        <v>-566692930</v>
      </c>
      <c r="H25" s="696"/>
      <c r="I25" s="696">
        <v>234177127</v>
      </c>
      <c r="J25" s="689"/>
      <c r="K25" s="689"/>
      <c r="L25" s="689"/>
      <c r="M25" s="709"/>
      <c r="N25" s="671"/>
      <c r="O25" s="671"/>
      <c r="Q25" s="698"/>
      <c r="R25" s="698"/>
      <c r="S25" s="698"/>
      <c r="T25" s="671"/>
      <c r="U25" s="700"/>
    </row>
    <row r="26" spans="2:21" x14ac:dyDescent="0.2">
      <c r="B26" s="686"/>
      <c r="D26" s="669" t="s">
        <v>446</v>
      </c>
      <c r="E26" s="692"/>
      <c r="F26" s="692"/>
      <c r="G26" s="696">
        <v>-721819570</v>
      </c>
      <c r="H26" s="696"/>
      <c r="I26" s="696">
        <v>-9791905</v>
      </c>
      <c r="J26" s="689"/>
      <c r="K26" s="689"/>
      <c r="L26" s="689"/>
      <c r="M26" s="709"/>
      <c r="N26" s="671"/>
      <c r="O26" s="671"/>
      <c r="Q26" s="698"/>
      <c r="R26" s="698"/>
      <c r="S26" s="698"/>
      <c r="T26" s="671"/>
      <c r="U26" s="700"/>
    </row>
    <row r="27" spans="2:21" ht="7.5" customHeight="1" x14ac:dyDescent="0.2">
      <c r="B27" s="686"/>
      <c r="D27" s="692" t="s">
        <v>10</v>
      </c>
      <c r="E27" s="692"/>
      <c r="F27" s="692"/>
      <c r="G27" s="696" t="s">
        <v>10</v>
      </c>
      <c r="H27" s="696"/>
      <c r="I27" s="696" t="s">
        <v>10</v>
      </c>
      <c r="J27" s="689"/>
      <c r="K27" s="689"/>
      <c r="L27" s="689"/>
      <c r="M27" s="697"/>
      <c r="N27" s="671"/>
      <c r="Q27" s="698"/>
      <c r="R27" s="698"/>
      <c r="S27" s="698"/>
      <c r="T27" s="671"/>
      <c r="U27" s="700"/>
    </row>
    <row r="28" spans="2:21" x14ac:dyDescent="0.2">
      <c r="B28" s="686"/>
      <c r="C28" s="702" t="s">
        <v>427</v>
      </c>
      <c r="G28" s="703">
        <f>SUM(G25:G27)</f>
        <v>-1288512500</v>
      </c>
      <c r="H28" s="704"/>
      <c r="I28" s="703">
        <f>SUM(I25:I27)</f>
        <v>224385222</v>
      </c>
      <c r="J28" s="710">
        <v>0</v>
      </c>
      <c r="K28" s="710" t="e">
        <f>+#REF!</f>
        <v>#REF!</v>
      </c>
      <c r="L28" s="710" t="e">
        <f>+#REF!</f>
        <v>#REF!</v>
      </c>
      <c r="M28" s="707"/>
      <c r="N28" s="671"/>
      <c r="O28" s="698"/>
      <c r="P28" s="698"/>
      <c r="Q28" s="698"/>
      <c r="R28" s="698"/>
      <c r="S28" s="698"/>
      <c r="T28" s="671"/>
      <c r="U28" s="700"/>
    </row>
    <row r="29" spans="2:21" ht="7.5" customHeight="1" x14ac:dyDescent="0.2">
      <c r="B29" s="686"/>
      <c r="D29" s="692"/>
      <c r="E29" s="692"/>
      <c r="F29" s="692"/>
      <c r="G29" s="696"/>
      <c r="H29" s="696"/>
      <c r="I29" s="696"/>
      <c r="J29" s="689"/>
      <c r="K29" s="689"/>
      <c r="L29" s="710"/>
      <c r="M29" s="709"/>
      <c r="N29" s="671"/>
      <c r="O29" s="698"/>
      <c r="P29" s="698"/>
      <c r="Q29" s="698"/>
      <c r="R29" s="698"/>
      <c r="S29" s="698"/>
      <c r="T29" s="671"/>
      <c r="U29" s="700"/>
    </row>
    <row r="30" spans="2:21" ht="16.5" x14ac:dyDescent="0.3">
      <c r="B30" s="686"/>
      <c r="C30" s="687" t="s">
        <v>428</v>
      </c>
      <c r="G30" s="696"/>
      <c r="H30" s="696"/>
      <c r="I30" s="696"/>
      <c r="J30" s="689"/>
      <c r="K30" s="689"/>
      <c r="L30" s="689"/>
      <c r="M30" s="690"/>
      <c r="N30" s="698"/>
      <c r="O30" s="698"/>
      <c r="P30" s="698"/>
      <c r="Q30" s="698"/>
      <c r="R30" s="698"/>
      <c r="S30" s="698"/>
      <c r="T30" s="671"/>
      <c r="U30" s="700"/>
    </row>
    <row r="31" spans="2:21" ht="9.75" customHeight="1" x14ac:dyDescent="0.2">
      <c r="B31" s="686"/>
      <c r="D31" s="711" t="s">
        <v>10</v>
      </c>
      <c r="E31" s="711"/>
      <c r="F31" s="711"/>
      <c r="G31" s="696"/>
      <c r="H31" s="696"/>
      <c r="I31" s="696"/>
      <c r="J31" s="689">
        <f>+G31</f>
        <v>0</v>
      </c>
      <c r="K31" s="689"/>
      <c r="L31" s="712"/>
      <c r="M31" s="690"/>
      <c r="O31" s="698"/>
      <c r="P31" s="698"/>
      <c r="Q31" s="698"/>
      <c r="R31" s="698"/>
      <c r="S31" s="698"/>
      <c r="T31" s="671"/>
      <c r="U31" s="700"/>
    </row>
    <row r="32" spans="2:21" x14ac:dyDescent="0.2">
      <c r="B32" s="686"/>
      <c r="D32" s="669" t="s">
        <v>429</v>
      </c>
      <c r="E32" s="711"/>
      <c r="F32" s="711"/>
      <c r="G32" s="696">
        <v>-1878791814</v>
      </c>
      <c r="H32" s="696"/>
      <c r="I32" s="696">
        <v>0</v>
      </c>
      <c r="J32" s="689"/>
      <c r="K32" s="689"/>
      <c r="L32" s="712"/>
      <c r="M32" s="690"/>
      <c r="O32" s="698"/>
      <c r="P32" s="698"/>
      <c r="Q32" s="698"/>
      <c r="R32" s="698"/>
      <c r="S32" s="698"/>
      <c r="T32" s="671"/>
      <c r="U32" s="700"/>
    </row>
    <row r="33" spans="2:21" ht="13.15" customHeight="1" x14ac:dyDescent="0.2">
      <c r="B33" s="686"/>
      <c r="D33" s="669" t="s">
        <v>406</v>
      </c>
      <c r="E33" s="692"/>
      <c r="F33" s="692"/>
      <c r="G33" s="696">
        <v>-147945204</v>
      </c>
      <c r="H33" s="696"/>
      <c r="I33" s="696">
        <v>0</v>
      </c>
      <c r="J33" s="689"/>
      <c r="K33" s="689"/>
      <c r="L33" s="689"/>
      <c r="M33" s="697"/>
      <c r="N33" s="671"/>
      <c r="P33" s="698"/>
      <c r="Q33" s="698"/>
      <c r="R33" s="698"/>
      <c r="S33" s="700"/>
      <c r="T33" s="700"/>
      <c r="U33" s="700"/>
    </row>
    <row r="34" spans="2:21" ht="12.75" hidden="1" customHeight="1" x14ac:dyDescent="0.2">
      <c r="B34" s="686"/>
      <c r="D34" s="669" t="s">
        <v>430</v>
      </c>
      <c r="E34" s="692"/>
      <c r="F34" s="692"/>
      <c r="G34" s="701"/>
      <c r="H34" s="696"/>
      <c r="I34" s="701"/>
      <c r="J34" s="689"/>
      <c r="K34" s="689"/>
      <c r="L34" s="713"/>
      <c r="M34" s="697"/>
      <c r="O34" s="698"/>
      <c r="P34" s="698"/>
      <c r="Q34" s="698"/>
      <c r="R34" s="698"/>
      <c r="S34" s="698"/>
      <c r="T34" s="671"/>
      <c r="U34" s="700"/>
    </row>
    <row r="35" spans="2:21" ht="6.75" customHeight="1" x14ac:dyDescent="0.2">
      <c r="B35" s="686"/>
      <c r="D35" s="692"/>
      <c r="E35" s="692"/>
      <c r="F35" s="692"/>
      <c r="G35" s="696"/>
      <c r="H35" s="696"/>
      <c r="I35" s="696"/>
      <c r="J35" s="689"/>
      <c r="K35" s="689"/>
      <c r="L35" s="689"/>
      <c r="M35" s="697"/>
      <c r="O35" s="698"/>
      <c r="P35" s="698"/>
      <c r="Q35" s="698"/>
      <c r="R35" s="698"/>
      <c r="S35" s="714"/>
      <c r="T35" s="700"/>
      <c r="U35" s="700"/>
    </row>
    <row r="36" spans="2:21" x14ac:dyDescent="0.2">
      <c r="B36" s="686"/>
      <c r="C36" s="702" t="s">
        <v>431</v>
      </c>
      <c r="G36" s="703">
        <f>+SUM(G32:G33)</f>
        <v>-2026737018</v>
      </c>
      <c r="H36" s="704"/>
      <c r="I36" s="703">
        <f>+SUM(I32:I33)</f>
        <v>0</v>
      </c>
      <c r="J36" s="710">
        <f>SUM(J35:J35)</f>
        <v>0</v>
      </c>
      <c r="K36" s="710">
        <f>SUM(K35:K35)</f>
        <v>0</v>
      </c>
      <c r="L36" s="710" t="e">
        <f>+#REF!+#REF!</f>
        <v>#REF!</v>
      </c>
      <c r="M36" s="707"/>
      <c r="O36" s="698"/>
      <c r="P36" s="698"/>
      <c r="Q36" s="698"/>
      <c r="R36" s="698"/>
      <c r="S36" s="714"/>
      <c r="T36" s="700"/>
      <c r="U36" s="700"/>
    </row>
    <row r="37" spans="2:21" x14ac:dyDescent="0.2">
      <c r="B37" s="686"/>
      <c r="C37" s="677"/>
      <c r="G37" s="704"/>
      <c r="H37" s="704"/>
      <c r="I37" s="704"/>
      <c r="J37" s="715"/>
      <c r="K37" s="715"/>
      <c r="L37" s="716"/>
      <c r="M37" s="690"/>
      <c r="N37" s="717"/>
      <c r="O37" s="698"/>
      <c r="P37" s="698"/>
      <c r="Q37" s="698"/>
      <c r="R37" s="698"/>
      <c r="S37" s="714"/>
      <c r="T37" s="700"/>
      <c r="U37" s="700"/>
    </row>
    <row r="38" spans="2:21" x14ac:dyDescent="0.2">
      <c r="B38" s="686"/>
      <c r="C38" s="677" t="s">
        <v>432</v>
      </c>
      <c r="D38" s="692"/>
      <c r="E38" s="692"/>
      <c r="F38" s="692"/>
      <c r="G38" s="704">
        <v>-249275871</v>
      </c>
      <c r="H38" s="696"/>
      <c r="I38" s="704">
        <v>0</v>
      </c>
      <c r="J38" s="689" t="e">
        <v>#REF!</v>
      </c>
      <c r="K38" s="689"/>
      <c r="L38" s="689" t="e">
        <v>#REF!</v>
      </c>
      <c r="M38" s="690"/>
      <c r="O38" s="698"/>
      <c r="P38" s="698"/>
      <c r="Q38" s="698"/>
      <c r="R38" s="698"/>
      <c r="S38" s="714"/>
      <c r="T38" s="700"/>
      <c r="U38" s="700"/>
    </row>
    <row r="39" spans="2:21" ht="6.75" customHeight="1" x14ac:dyDescent="0.2">
      <c r="B39" s="686"/>
      <c r="D39" s="692"/>
      <c r="E39" s="692"/>
      <c r="F39" s="692"/>
      <c r="G39" s="696"/>
      <c r="H39" s="696"/>
      <c r="I39" s="696"/>
      <c r="J39" s="689" t="s">
        <v>10</v>
      </c>
      <c r="K39" s="689"/>
      <c r="L39" s="689"/>
      <c r="M39" s="690"/>
      <c r="O39" s="698"/>
      <c r="P39" s="698"/>
      <c r="Q39" s="698"/>
      <c r="R39" s="698"/>
      <c r="S39" s="714"/>
      <c r="T39" s="700"/>
      <c r="U39" s="700"/>
    </row>
    <row r="40" spans="2:21" x14ac:dyDescent="0.2">
      <c r="B40" s="686"/>
      <c r="C40" s="677" t="s">
        <v>433</v>
      </c>
      <c r="G40" s="704">
        <f>+G21+G28+G36+G38</f>
        <v>-846771135</v>
      </c>
      <c r="H40" s="704"/>
      <c r="I40" s="704">
        <v>-1235108083</v>
      </c>
      <c r="J40" s="715" t="e">
        <f>+J21+J28+J36</f>
        <v>#REF!</v>
      </c>
      <c r="K40" s="715" t="e">
        <f>+K21+K28+K36</f>
        <v>#REF!</v>
      </c>
      <c r="L40" s="716" t="e">
        <f>+L21+L28+L36</f>
        <v>#REF!</v>
      </c>
      <c r="M40" s="690"/>
      <c r="N40" s="717"/>
      <c r="O40" s="698"/>
      <c r="P40" s="698"/>
      <c r="Q40" s="698"/>
      <c r="R40" s="698"/>
      <c r="S40" s="714"/>
      <c r="T40" s="700"/>
      <c r="U40" s="700"/>
    </row>
    <row r="41" spans="2:21" ht="9" customHeight="1" x14ac:dyDescent="0.2">
      <c r="B41" s="686"/>
      <c r="C41" s="677"/>
      <c r="G41" s="704"/>
      <c r="H41" s="704"/>
      <c r="I41" s="704"/>
      <c r="J41" s="710"/>
      <c r="K41" s="710"/>
      <c r="L41" s="689"/>
      <c r="M41" s="690"/>
      <c r="O41" s="698"/>
      <c r="P41" s="698"/>
      <c r="Q41" s="698"/>
      <c r="R41" s="698"/>
      <c r="S41" s="714"/>
      <c r="T41" s="700"/>
      <c r="U41" s="700"/>
    </row>
    <row r="42" spans="2:21" x14ac:dyDescent="0.2">
      <c r="B42" s="686"/>
      <c r="C42" s="677" t="s">
        <v>434</v>
      </c>
      <c r="F42" s="674">
        <v>4</v>
      </c>
      <c r="G42" s="704">
        <v>2870824623</v>
      </c>
      <c r="H42" s="704"/>
      <c r="I42" s="704">
        <v>3403070926</v>
      </c>
      <c r="J42" s="710"/>
      <c r="K42" s="710"/>
      <c r="L42" s="689"/>
      <c r="M42" s="690"/>
      <c r="O42" s="698"/>
      <c r="P42" s="698"/>
      <c r="Q42" s="698"/>
      <c r="R42" s="698"/>
      <c r="S42" s="714"/>
      <c r="T42" s="700"/>
      <c r="U42" s="700"/>
    </row>
    <row r="43" spans="2:21" ht="8.25" customHeight="1" x14ac:dyDescent="0.2">
      <c r="B43" s="686"/>
      <c r="C43" s="677"/>
      <c r="G43" s="696" t="s">
        <v>10</v>
      </c>
      <c r="H43" s="696"/>
      <c r="I43" s="696" t="s">
        <v>10</v>
      </c>
      <c r="J43" s="689" t="s">
        <v>10</v>
      </c>
      <c r="K43" s="689" t="s">
        <v>10</v>
      </c>
      <c r="L43" s="689" t="s">
        <v>10</v>
      </c>
      <c r="M43" s="690"/>
      <c r="O43" s="698"/>
      <c r="P43" s="698"/>
      <c r="Q43" s="698"/>
      <c r="R43" s="698"/>
      <c r="S43" s="714"/>
      <c r="T43" s="700"/>
      <c r="U43" s="700"/>
    </row>
    <row r="44" spans="2:21" ht="13.5" thickBot="1" x14ac:dyDescent="0.25">
      <c r="B44" s="686"/>
      <c r="C44" s="677" t="s">
        <v>435</v>
      </c>
      <c r="F44" s="674">
        <v>4</v>
      </c>
      <c r="G44" s="718">
        <f>+G40+G42</f>
        <v>2024053488</v>
      </c>
      <c r="H44" s="704"/>
      <c r="I44" s="718">
        <f>+I40+I42</f>
        <v>2167962843</v>
      </c>
      <c r="J44" s="710" t="s">
        <v>10</v>
      </c>
      <c r="K44" s="710" t="e">
        <f>+K40+#REF!</f>
        <v>#REF!</v>
      </c>
      <c r="L44" s="689" t="s">
        <v>10</v>
      </c>
      <c r="M44" s="690"/>
      <c r="N44" s="678"/>
      <c r="O44" s="698"/>
      <c r="P44" s="698"/>
      <c r="Q44" s="698"/>
      <c r="R44" s="698"/>
      <c r="S44" s="714"/>
      <c r="T44" s="700"/>
      <c r="U44" s="700"/>
    </row>
    <row r="45" spans="2:21" ht="13.5" thickTop="1" x14ac:dyDescent="0.2">
      <c r="B45" s="719"/>
      <c r="C45" s="720"/>
      <c r="D45" s="720"/>
      <c r="E45" s="720"/>
      <c r="F45" s="720"/>
      <c r="G45" s="701"/>
      <c r="H45" s="701"/>
      <c r="I45" s="701"/>
      <c r="J45" s="720"/>
      <c r="K45" s="720"/>
      <c r="L45" s="721"/>
      <c r="M45" s="722"/>
      <c r="O45" s="699"/>
    </row>
    <row r="47" spans="2:21" x14ac:dyDescent="0.2">
      <c r="B47" s="671" t="s">
        <v>98</v>
      </c>
      <c r="G47" s="723"/>
      <c r="H47" s="724"/>
      <c r="K47" s="723"/>
      <c r="L47" s="723"/>
    </row>
    <row r="48" spans="2:21" x14ac:dyDescent="0.2">
      <c r="G48" s="723"/>
      <c r="H48" s="724"/>
      <c r="K48" s="723"/>
      <c r="L48" s="723"/>
    </row>
    <row r="49" spans="1:14" x14ac:dyDescent="0.2">
      <c r="G49" s="723"/>
      <c r="H49" s="724"/>
      <c r="I49" s="669"/>
      <c r="K49" s="723"/>
      <c r="L49" s="723"/>
    </row>
    <row r="50" spans="1:14" x14ac:dyDescent="0.2">
      <c r="G50" s="723"/>
      <c r="H50" s="724"/>
      <c r="I50" s="669"/>
      <c r="K50" s="723"/>
      <c r="L50" s="723"/>
    </row>
    <row r="51" spans="1:14" x14ac:dyDescent="0.2">
      <c r="C51" s="368" t="s">
        <v>321</v>
      </c>
      <c r="D51" s="368"/>
      <c r="E51" s="725" t="s">
        <v>322</v>
      </c>
      <c r="F51" s="725"/>
      <c r="G51" s="772" t="s">
        <v>436</v>
      </c>
      <c r="H51" s="772"/>
      <c r="I51" s="773"/>
      <c r="J51" s="773"/>
      <c r="K51" s="773"/>
      <c r="L51" s="773"/>
      <c r="M51" s="773"/>
    </row>
    <row r="52" spans="1:14" x14ac:dyDescent="0.2">
      <c r="C52" s="368" t="s">
        <v>141</v>
      </c>
      <c r="D52" s="368"/>
      <c r="E52" s="725" t="s">
        <v>437</v>
      </c>
      <c r="F52" s="725"/>
      <c r="G52" s="772" t="s">
        <v>144</v>
      </c>
      <c r="H52" s="772"/>
      <c r="I52" s="773"/>
      <c r="J52" s="773"/>
      <c r="K52" s="773"/>
      <c r="L52" s="773"/>
      <c r="M52" s="773"/>
    </row>
    <row r="53" spans="1:14" x14ac:dyDescent="0.2">
      <c r="N53" s="726"/>
    </row>
    <row r="54" spans="1:14" x14ac:dyDescent="0.2">
      <c r="A54" s="366"/>
      <c r="B54" s="727"/>
      <c r="C54" s="727"/>
      <c r="G54" s="669"/>
      <c r="H54" s="669"/>
      <c r="I54" s="669"/>
      <c r="L54" s="669"/>
    </row>
    <row r="55" spans="1:14" x14ac:dyDescent="0.2">
      <c r="B55" s="702"/>
      <c r="C55" s="726"/>
      <c r="D55" s="726"/>
      <c r="E55" s="728"/>
      <c r="F55" s="728"/>
      <c r="G55" s="728"/>
      <c r="H55" s="729"/>
      <c r="I55" s="726"/>
      <c r="K55" s="730" t="s">
        <v>127</v>
      </c>
      <c r="L55" s="723" t="s">
        <v>438</v>
      </c>
    </row>
    <row r="56" spans="1:14" x14ac:dyDescent="0.2">
      <c r="B56" s="702"/>
      <c r="C56" s="726"/>
      <c r="D56" s="726"/>
      <c r="E56" s="728"/>
      <c r="F56" s="728"/>
      <c r="G56" s="728"/>
      <c r="H56" s="728"/>
      <c r="I56" s="726"/>
      <c r="K56" s="730"/>
      <c r="L56" s="723"/>
    </row>
    <row r="57" spans="1:14" x14ac:dyDescent="0.2">
      <c r="B57" s="366"/>
      <c r="E57" s="731"/>
      <c r="F57" s="731"/>
      <c r="G57" s="731"/>
      <c r="H57" s="731"/>
      <c r="I57" s="669"/>
      <c r="K57" s="723"/>
      <c r="L57" s="723"/>
    </row>
    <row r="58" spans="1:14" ht="15" x14ac:dyDescent="0.2">
      <c r="B58" s="732"/>
      <c r="C58" s="733"/>
      <c r="D58" s="733"/>
      <c r="E58" s="733"/>
      <c r="F58" s="733"/>
      <c r="G58" s="733"/>
      <c r="H58" s="733"/>
      <c r="I58" s="733"/>
      <c r="J58" s="733"/>
      <c r="K58" s="734"/>
      <c r="L58" s="734"/>
      <c r="M58" s="733"/>
    </row>
    <row r="66" spans="1:13" x14ac:dyDescent="0.2">
      <c r="A66" s="726"/>
      <c r="B66" s="726"/>
      <c r="C66" s="726"/>
      <c r="D66" s="726"/>
      <c r="E66" s="726"/>
      <c r="F66" s="726"/>
      <c r="G66" s="726"/>
      <c r="H66" s="726"/>
      <c r="I66" s="726"/>
      <c r="J66" s="726"/>
      <c r="K66" s="726"/>
      <c r="L66" s="726"/>
      <c r="M66" s="726"/>
    </row>
  </sheetData>
  <mergeCells count="8">
    <mergeCell ref="G52:H52"/>
    <mergeCell ref="I52:M52"/>
    <mergeCell ref="D2:J2"/>
    <mergeCell ref="D5:I5"/>
    <mergeCell ref="D6:I6"/>
    <mergeCell ref="D7:I7"/>
    <mergeCell ref="G51:H51"/>
    <mergeCell ref="I51:M51"/>
  </mergeCells>
  <pageMargins left="1.1023622047244095" right="0.70866141732283472" top="1.9291338582677167" bottom="0.74803149606299213" header="0.31496062992125984" footer="0.31496062992125984"/>
  <pageSetup paperSize="9" scale="70" orientation="portrait" r:id="rId1"/>
  <headerFooter alignWithMargins="0">
    <oddFooter>&amp;C5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A0ED0-3307-43E3-8B5B-18457AA10CD1}">
  <dimension ref="A1:L41"/>
  <sheetViews>
    <sheetView showGridLines="0" workbookViewId="0">
      <selection sqref="A1:L1"/>
    </sheetView>
  </sheetViews>
  <sheetFormatPr baseColWidth="10" defaultColWidth="11.42578125" defaultRowHeight="12.75" x14ac:dyDescent="0.2"/>
  <cols>
    <col min="1" max="1" width="32.7109375" style="499" customWidth="1"/>
    <col min="2" max="2" width="13.85546875" style="499" bestFit="1" customWidth="1"/>
    <col min="3" max="3" width="16.42578125" style="499" bestFit="1" customWidth="1"/>
    <col min="4" max="4" width="11.28515625" style="499" bestFit="1" customWidth="1"/>
    <col min="5" max="5" width="14" style="499" bestFit="1" customWidth="1"/>
    <col min="6" max="6" width="14.85546875" style="499" bestFit="1" customWidth="1"/>
    <col min="7" max="7" width="13.7109375" style="499" customWidth="1"/>
    <col min="8" max="8" width="12.7109375" style="499" bestFit="1" customWidth="1"/>
    <col min="9" max="9" width="11.28515625" style="499" bestFit="1" customWidth="1"/>
    <col min="10" max="10" width="14" style="499" bestFit="1" customWidth="1"/>
    <col min="11" max="11" width="17.42578125" style="531" bestFit="1" customWidth="1"/>
    <col min="12" max="12" width="13.7109375" style="499" bestFit="1" customWidth="1"/>
    <col min="13" max="16384" width="11.42578125" style="499"/>
  </cols>
  <sheetData>
    <row r="1" spans="1:12" s="556" customFormat="1" ht="16.5" x14ac:dyDescent="0.25">
      <c r="A1" s="755" t="s">
        <v>324</v>
      </c>
      <c r="B1" s="755"/>
      <c r="C1" s="755"/>
      <c r="D1" s="755"/>
      <c r="E1" s="755"/>
      <c r="F1" s="755"/>
      <c r="G1" s="755"/>
      <c r="H1" s="755"/>
      <c r="I1" s="755"/>
      <c r="J1" s="755"/>
      <c r="K1" s="755"/>
      <c r="L1" s="755"/>
    </row>
    <row r="2" spans="1:12" s="556" customFormat="1" ht="16.5" x14ac:dyDescent="0.25">
      <c r="A2" s="755" t="s">
        <v>325</v>
      </c>
      <c r="B2" s="755"/>
      <c r="C2" s="755"/>
      <c r="D2" s="755"/>
      <c r="E2" s="755"/>
      <c r="F2" s="755"/>
      <c r="G2" s="755"/>
      <c r="H2" s="755"/>
      <c r="I2" s="755"/>
      <c r="J2" s="755"/>
      <c r="K2" s="755"/>
      <c r="L2" s="755"/>
    </row>
    <row r="3" spans="1:12" ht="16.5" x14ac:dyDescent="0.25">
      <c r="A3" s="755" t="s">
        <v>9</v>
      </c>
      <c r="B3" s="755"/>
      <c r="C3" s="755"/>
      <c r="D3" s="755"/>
      <c r="E3" s="755"/>
      <c r="F3" s="755"/>
      <c r="G3" s="755"/>
      <c r="H3" s="755"/>
      <c r="I3" s="755"/>
      <c r="J3" s="755"/>
      <c r="K3" s="755"/>
      <c r="L3" s="755"/>
    </row>
    <row r="4" spans="1:12" ht="16.5" x14ac:dyDescent="0.25">
      <c r="A4" s="483"/>
      <c r="B4" s="563"/>
      <c r="C4" s="563"/>
      <c r="D4" s="563"/>
      <c r="E4" s="563"/>
      <c r="F4" s="483"/>
      <c r="G4" s="562"/>
      <c r="H4" s="562"/>
      <c r="I4" s="562"/>
      <c r="J4" s="562"/>
      <c r="K4" s="561"/>
    </row>
    <row r="5" spans="1:12" s="556" customFormat="1" ht="16.5" x14ac:dyDescent="0.25">
      <c r="A5" s="559" t="s">
        <v>287</v>
      </c>
      <c r="B5" s="560"/>
      <c r="C5" s="560"/>
      <c r="D5" s="560"/>
      <c r="E5" s="560"/>
      <c r="F5" s="560"/>
      <c r="G5" s="560"/>
      <c r="H5" s="560"/>
      <c r="I5" s="560"/>
      <c r="J5" s="560"/>
      <c r="K5" s="559"/>
    </row>
    <row r="6" spans="1:12" s="556" customFormat="1" ht="16.5" x14ac:dyDescent="0.25">
      <c r="A6" s="559"/>
      <c r="B6" s="560"/>
      <c r="C6" s="560"/>
      <c r="D6" s="560"/>
      <c r="E6" s="560"/>
      <c r="F6" s="560"/>
      <c r="G6" s="560"/>
      <c r="H6" s="560"/>
      <c r="I6" s="560"/>
      <c r="J6" s="560"/>
      <c r="K6" s="559"/>
    </row>
    <row r="7" spans="1:12" s="556" customFormat="1" ht="16.5" x14ac:dyDescent="0.25">
      <c r="K7" s="531"/>
    </row>
    <row r="8" spans="1:12" s="556" customFormat="1" ht="16.5" x14ac:dyDescent="0.25">
      <c r="K8" s="558" t="s">
        <v>286</v>
      </c>
    </row>
    <row r="9" spans="1:12" s="556" customFormat="1" ht="16.5" x14ac:dyDescent="0.25">
      <c r="K9" s="557"/>
    </row>
    <row r="10" spans="1:12" x14ac:dyDescent="0.2">
      <c r="A10" s="500"/>
      <c r="B10" s="500"/>
      <c r="C10" s="500"/>
      <c r="D10" s="500"/>
      <c r="E10" s="500"/>
      <c r="F10" s="500"/>
      <c r="G10" s="500"/>
      <c r="H10" s="500"/>
      <c r="I10" s="500"/>
      <c r="J10" s="500"/>
      <c r="K10" s="555"/>
    </row>
    <row r="11" spans="1:12" s="531" customFormat="1" x14ac:dyDescent="0.2">
      <c r="A11" s="546"/>
      <c r="B11" s="554" t="s">
        <v>284</v>
      </c>
      <c r="C11" s="553"/>
      <c r="D11" s="553"/>
      <c r="E11" s="553"/>
      <c r="F11" s="553"/>
      <c r="G11" s="777" t="s">
        <v>283</v>
      </c>
      <c r="H11" s="777"/>
      <c r="I11" s="777"/>
      <c r="J11" s="777"/>
      <c r="K11" s="778"/>
      <c r="L11" s="552"/>
    </row>
    <row r="12" spans="1:12" s="531" customFormat="1" x14ac:dyDescent="0.2">
      <c r="A12" s="549"/>
      <c r="B12" s="551" t="s">
        <v>14</v>
      </c>
      <c r="C12" s="551" t="s">
        <v>356</v>
      </c>
      <c r="D12" s="551" t="s">
        <v>353</v>
      </c>
      <c r="E12" s="551" t="s">
        <v>352</v>
      </c>
      <c r="F12" s="551" t="s">
        <v>15</v>
      </c>
      <c r="G12" s="551"/>
      <c r="H12" s="551" t="s">
        <v>354</v>
      </c>
      <c r="I12" s="551" t="s">
        <v>353</v>
      </c>
      <c r="J12" s="551" t="s">
        <v>352</v>
      </c>
      <c r="K12" s="551" t="s">
        <v>351</v>
      </c>
      <c r="L12" s="550" t="s">
        <v>282</v>
      </c>
    </row>
    <row r="13" spans="1:12" s="531" customFormat="1" x14ac:dyDescent="0.2">
      <c r="A13" s="549" t="s">
        <v>16</v>
      </c>
      <c r="B13" s="548" t="s">
        <v>91</v>
      </c>
      <c r="C13" s="548" t="s">
        <v>17</v>
      </c>
      <c r="D13" s="548" t="s">
        <v>96</v>
      </c>
      <c r="E13" s="548" t="s">
        <v>96</v>
      </c>
      <c r="F13" s="548" t="s">
        <v>96</v>
      </c>
      <c r="G13" s="548" t="s">
        <v>280</v>
      </c>
      <c r="H13" s="548" t="s">
        <v>96</v>
      </c>
      <c r="I13" s="548" t="s">
        <v>96</v>
      </c>
      <c r="J13" s="548" t="s">
        <v>96</v>
      </c>
      <c r="K13" s="548" t="s">
        <v>17</v>
      </c>
      <c r="L13" s="547" t="s">
        <v>18</v>
      </c>
    </row>
    <row r="14" spans="1:12" x14ac:dyDescent="0.2">
      <c r="A14" s="545"/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4"/>
    </row>
    <row r="15" spans="1:12" x14ac:dyDescent="0.2">
      <c r="A15" s="662" t="s">
        <v>350</v>
      </c>
      <c r="B15" s="540">
        <f>455593513+2054633753</f>
        <v>2510227266</v>
      </c>
      <c r="C15" s="543">
        <v>35644484</v>
      </c>
      <c r="D15" s="540">
        <v>0</v>
      </c>
      <c r="E15" s="540">
        <v>84142597</v>
      </c>
      <c r="F15" s="540">
        <f>+B15+C15-D15+E15</f>
        <v>2630014347</v>
      </c>
      <c r="G15" s="540">
        <v>367662845</v>
      </c>
      <c r="H15" s="540">
        <v>85719571</v>
      </c>
      <c r="I15" s="540">
        <v>0</v>
      </c>
      <c r="J15" s="540">
        <v>0</v>
      </c>
      <c r="K15" s="540">
        <f>SUM(G15:J15)</f>
        <v>453382416</v>
      </c>
      <c r="L15" s="541">
        <f>+F15-K15</f>
        <v>2176631931</v>
      </c>
    </row>
    <row r="16" spans="1:12" x14ac:dyDescent="0.2">
      <c r="A16" s="662"/>
      <c r="B16" s="540"/>
      <c r="C16" s="540"/>
      <c r="D16" s="540"/>
      <c r="E16" s="540"/>
      <c r="F16" s="540"/>
      <c r="G16" s="540"/>
      <c r="H16" s="540"/>
      <c r="I16" s="540"/>
      <c r="J16" s="540"/>
      <c r="K16" s="540"/>
      <c r="L16" s="541"/>
    </row>
    <row r="17" spans="1:12" x14ac:dyDescent="0.2">
      <c r="A17" s="662" t="s">
        <v>349</v>
      </c>
      <c r="B17" s="540">
        <v>122381558</v>
      </c>
      <c r="C17" s="540">
        <v>0</v>
      </c>
      <c r="D17" s="540">
        <v>0</v>
      </c>
      <c r="E17" s="540">
        <v>2873924</v>
      </c>
      <c r="F17" s="540">
        <f>+B17+C17-D17+E17</f>
        <v>125255482</v>
      </c>
      <c r="G17" s="540">
        <v>83382673</v>
      </c>
      <c r="H17" s="540">
        <v>1102441</v>
      </c>
      <c r="I17" s="540">
        <v>0</v>
      </c>
      <c r="J17" s="540">
        <v>0</v>
      </c>
      <c r="K17" s="540">
        <f>SUM(G17:J17)</f>
        <v>84485114</v>
      </c>
      <c r="L17" s="541">
        <f>+F17-K17</f>
        <v>40770368</v>
      </c>
    </row>
    <row r="18" spans="1:12" x14ac:dyDescent="0.2">
      <c r="A18" s="662"/>
      <c r="B18" s="540"/>
      <c r="C18" s="540"/>
      <c r="D18" s="540"/>
      <c r="E18" s="540"/>
      <c r="F18" s="542"/>
      <c r="G18" s="540"/>
      <c r="H18" s="540"/>
      <c r="I18" s="540"/>
      <c r="J18" s="540"/>
      <c r="K18" s="540"/>
      <c r="L18" s="541"/>
    </row>
    <row r="19" spans="1:12" x14ac:dyDescent="0.2">
      <c r="A19" s="663" t="s">
        <v>347</v>
      </c>
      <c r="B19" s="540">
        <v>413142271</v>
      </c>
      <c r="C19" s="540">
        <v>105131615</v>
      </c>
      <c r="D19" s="540">
        <v>0</v>
      </c>
      <c r="E19" s="540">
        <v>7393125</v>
      </c>
      <c r="F19" s="540">
        <f>+B19+C19-D19+E19</f>
        <v>525667011</v>
      </c>
      <c r="G19" s="540">
        <v>59796089</v>
      </c>
      <c r="H19" s="540">
        <v>36551264</v>
      </c>
      <c r="I19" s="540">
        <v>0</v>
      </c>
      <c r="J19" s="540">
        <v>0</v>
      </c>
      <c r="K19" s="540">
        <f>SUM(G19:J19)</f>
        <v>96347353</v>
      </c>
      <c r="L19" s="541">
        <f>+F19-K19</f>
        <v>429319658</v>
      </c>
    </row>
    <row r="20" spans="1:12" x14ac:dyDescent="0.2">
      <c r="A20" s="662"/>
      <c r="B20" s="540"/>
      <c r="C20" s="540"/>
      <c r="D20" s="540"/>
      <c r="E20" s="540"/>
      <c r="F20" s="540"/>
      <c r="G20" s="540"/>
      <c r="H20" s="540"/>
      <c r="I20" s="540"/>
      <c r="J20" s="540"/>
      <c r="K20" s="540"/>
      <c r="L20" s="541"/>
    </row>
    <row r="21" spans="1:12" x14ac:dyDescent="0.2">
      <c r="A21" s="662" t="s">
        <v>348</v>
      </c>
      <c r="B21" s="540">
        <v>17</v>
      </c>
      <c r="C21" s="540">
        <v>4171182</v>
      </c>
      <c r="D21" s="540">
        <v>0</v>
      </c>
      <c r="E21" s="540">
        <v>3636</v>
      </c>
      <c r="F21" s="540">
        <f>+B21+C21-D21+E21</f>
        <v>4174835</v>
      </c>
      <c r="G21" s="540">
        <v>0</v>
      </c>
      <c r="H21" s="540">
        <v>60666</v>
      </c>
      <c r="I21" s="540">
        <v>0</v>
      </c>
      <c r="J21" s="540">
        <v>0</v>
      </c>
      <c r="K21" s="540">
        <f>SUM(G21:J21)</f>
        <v>60666</v>
      </c>
      <c r="L21" s="541">
        <f>+F21-K21</f>
        <v>4114169</v>
      </c>
    </row>
    <row r="22" spans="1:12" x14ac:dyDescent="0.2">
      <c r="A22" s="662"/>
      <c r="B22" s="540"/>
      <c r="C22" s="540"/>
      <c r="D22" s="540"/>
      <c r="E22" s="540"/>
      <c r="F22" s="540"/>
      <c r="G22" s="540"/>
      <c r="H22" s="540"/>
      <c r="I22" s="540"/>
      <c r="J22" s="540"/>
      <c r="K22" s="540"/>
      <c r="L22" s="541"/>
    </row>
    <row r="23" spans="1:12" x14ac:dyDescent="0.2">
      <c r="A23" s="663" t="s">
        <v>346</v>
      </c>
      <c r="B23" s="540">
        <v>423770502</v>
      </c>
      <c r="C23" s="540">
        <v>0</v>
      </c>
      <c r="D23" s="540">
        <v>0</v>
      </c>
      <c r="E23" s="540">
        <v>15291617</v>
      </c>
      <c r="F23" s="540">
        <f>+B23+C23-D23+E23</f>
        <v>439062119</v>
      </c>
      <c r="G23" s="540">
        <v>167625141</v>
      </c>
      <c r="H23" s="540">
        <v>59764999</v>
      </c>
      <c r="I23" s="540">
        <v>0</v>
      </c>
      <c r="J23" s="540">
        <v>0</v>
      </c>
      <c r="K23" s="540">
        <f>SUM(G23:J23)</f>
        <v>227390140</v>
      </c>
      <c r="L23" s="541">
        <f>+F23-K23</f>
        <v>211671979</v>
      </c>
    </row>
    <row r="24" spans="1:12" x14ac:dyDescent="0.2">
      <c r="A24" s="663"/>
      <c r="B24" s="540"/>
      <c r="C24" s="540"/>
      <c r="D24" s="540"/>
      <c r="E24" s="540"/>
      <c r="F24" s="540"/>
      <c r="G24" s="540"/>
      <c r="H24" s="540"/>
      <c r="I24" s="540"/>
      <c r="J24" s="540"/>
      <c r="K24" s="540"/>
      <c r="L24" s="541"/>
    </row>
    <row r="25" spans="1:12" x14ac:dyDescent="0.2">
      <c r="A25" s="664" t="s">
        <v>379</v>
      </c>
      <c r="B25" s="540">
        <v>44679715509</v>
      </c>
      <c r="C25" s="540">
        <v>0</v>
      </c>
      <c r="D25" s="540">
        <v>0</v>
      </c>
      <c r="E25" s="540">
        <v>1747302845</v>
      </c>
      <c r="F25" s="540">
        <f>+B25+C25-D25+E25</f>
        <v>46427018354</v>
      </c>
      <c r="G25" s="540">
        <v>618674274</v>
      </c>
      <c r="H25" s="540">
        <v>436083594</v>
      </c>
      <c r="I25" s="540">
        <v>0</v>
      </c>
      <c r="J25" s="540">
        <v>0</v>
      </c>
      <c r="K25" s="540">
        <f>SUM(G25:J25)</f>
        <v>1054757868</v>
      </c>
      <c r="L25" s="541">
        <f>+F25-K25</f>
        <v>45372260486</v>
      </c>
    </row>
    <row r="26" spans="1:12" x14ac:dyDescent="0.2">
      <c r="A26" s="664"/>
      <c r="B26" s="540"/>
      <c r="C26" s="540"/>
      <c r="D26" s="540"/>
      <c r="E26" s="540"/>
      <c r="F26" s="540"/>
      <c r="G26" s="540"/>
      <c r="H26" s="540"/>
      <c r="I26" s="540"/>
      <c r="J26" s="540"/>
      <c r="K26" s="540"/>
      <c r="L26" s="541"/>
    </row>
    <row r="27" spans="1:12" x14ac:dyDescent="0.2">
      <c r="A27" s="664" t="s">
        <v>357</v>
      </c>
      <c r="B27" s="540">
        <v>218232243</v>
      </c>
      <c r="C27" s="540">
        <v>0</v>
      </c>
      <c r="D27" s="540">
        <v>0</v>
      </c>
      <c r="E27" s="540">
        <v>7504703</v>
      </c>
      <c r="F27" s="540">
        <f>+B27+C27-D27+E27</f>
        <v>225736946</v>
      </c>
      <c r="G27" s="540">
        <v>62209708</v>
      </c>
      <c r="H27" s="540">
        <v>13722118</v>
      </c>
      <c r="I27" s="540">
        <v>0</v>
      </c>
      <c r="J27" s="540">
        <v>0</v>
      </c>
      <c r="K27" s="540">
        <f>SUM(G27:J27)</f>
        <v>75931826</v>
      </c>
      <c r="L27" s="541">
        <f>+F27-K27</f>
        <v>149805120</v>
      </c>
    </row>
    <row r="28" spans="1:12" x14ac:dyDescent="0.2">
      <c r="A28" s="664"/>
      <c r="B28" s="540"/>
      <c r="C28" s="540"/>
      <c r="D28" s="540"/>
      <c r="E28" s="540"/>
      <c r="F28" s="540"/>
      <c r="G28" s="540"/>
      <c r="H28" s="540"/>
      <c r="I28" s="540"/>
      <c r="J28" s="540"/>
      <c r="K28" s="540"/>
      <c r="L28" s="541"/>
    </row>
    <row r="29" spans="1:12" x14ac:dyDescent="0.2">
      <c r="A29" s="662" t="s">
        <v>358</v>
      </c>
      <c r="B29" s="540">
        <v>662353125</v>
      </c>
      <c r="C29" s="540">
        <v>421745873</v>
      </c>
      <c r="D29" s="540">
        <v>0</v>
      </c>
      <c r="E29" s="540">
        <v>0</v>
      </c>
      <c r="F29" s="665">
        <f>+B29+C29-D29+E29</f>
        <v>1084098998</v>
      </c>
      <c r="G29" s="540">
        <v>0</v>
      </c>
      <c r="H29" s="540">
        <v>0</v>
      </c>
      <c r="I29" s="540">
        <v>0</v>
      </c>
      <c r="J29" s="540">
        <v>0</v>
      </c>
      <c r="K29" s="540">
        <v>0</v>
      </c>
      <c r="L29" s="541">
        <f>F29-K29</f>
        <v>1084098998</v>
      </c>
    </row>
    <row r="30" spans="1:12" s="531" customFormat="1" x14ac:dyDescent="0.2">
      <c r="A30" s="661" t="s">
        <v>410</v>
      </c>
      <c r="B30" s="539">
        <f>SUM(B15:B29)</f>
        <v>49029822491</v>
      </c>
      <c r="C30" s="539">
        <f t="shared" ref="C30:F30" si="0">SUM(C15:C29)</f>
        <v>566693154</v>
      </c>
      <c r="D30" s="539">
        <f t="shared" si="0"/>
        <v>0</v>
      </c>
      <c r="E30" s="539">
        <f t="shared" si="0"/>
        <v>1864512447</v>
      </c>
      <c r="F30" s="539">
        <f t="shared" si="0"/>
        <v>51461028092</v>
      </c>
      <c r="G30" s="539">
        <f t="shared" ref="G30:J30" si="1">SUM(G15:G29)</f>
        <v>1359350730</v>
      </c>
      <c r="H30" s="539">
        <f t="shared" si="1"/>
        <v>633004653</v>
      </c>
      <c r="I30" s="539">
        <f t="shared" si="1"/>
        <v>0</v>
      </c>
      <c r="J30" s="539">
        <f t="shared" si="1"/>
        <v>0</v>
      </c>
      <c r="K30" s="539">
        <f t="shared" ref="K30:L30" si="2">SUM(K15:K29)</f>
        <v>1992355383</v>
      </c>
      <c r="L30" s="539">
        <f t="shared" si="2"/>
        <v>49468672709</v>
      </c>
    </row>
    <row r="31" spans="1:12" s="531" customFormat="1" x14ac:dyDescent="0.2">
      <c r="A31" s="661" t="s">
        <v>411</v>
      </c>
      <c r="B31" s="539">
        <v>61162143218</v>
      </c>
      <c r="C31" s="539">
        <v>844125618</v>
      </c>
      <c r="D31" s="539">
        <v>0</v>
      </c>
      <c r="E31" s="539">
        <v>1525511094</v>
      </c>
      <c r="F31" s="539">
        <f>SUM(B31:E31)</f>
        <v>63531779930</v>
      </c>
      <c r="G31" s="539">
        <v>12976446816</v>
      </c>
      <c r="H31" s="539">
        <v>1359350962</v>
      </c>
      <c r="I31" s="539">
        <v>0</v>
      </c>
      <c r="J31" s="539">
        <v>0</v>
      </c>
      <c r="K31" s="539">
        <v>14335797778</v>
      </c>
      <c r="L31" s="538">
        <f>F31-K31</f>
        <v>49195982152</v>
      </c>
    </row>
    <row r="32" spans="1:12" x14ac:dyDescent="0.2">
      <c r="F32" s="502"/>
      <c r="L32" s="502"/>
    </row>
    <row r="33" spans="1:12" x14ac:dyDescent="0.2">
      <c r="H33" s="502"/>
      <c r="K33" s="534"/>
      <c r="L33" s="502"/>
    </row>
    <row r="34" spans="1:12" x14ac:dyDescent="0.2">
      <c r="K34" s="534"/>
    </row>
    <row r="35" spans="1:12" s="535" customFormat="1" ht="18" x14ac:dyDescent="0.25">
      <c r="A35" s="660" t="s">
        <v>165</v>
      </c>
      <c r="H35" s="537"/>
      <c r="I35" s="537"/>
      <c r="K35" s="536"/>
    </row>
    <row r="36" spans="1:12" x14ac:dyDescent="0.2">
      <c r="K36" s="534"/>
    </row>
    <row r="37" spans="1:12" s="532" customFormat="1" ht="15.75" x14ac:dyDescent="0.25">
      <c r="K37" s="533"/>
    </row>
    <row r="40" spans="1:12" x14ac:dyDescent="0.2">
      <c r="A40" s="751" t="s">
        <v>321</v>
      </c>
      <c r="B40" s="751"/>
      <c r="C40" s="771" t="s">
        <v>322</v>
      </c>
      <c r="D40" s="771"/>
      <c r="E40" s="751" t="s">
        <v>323</v>
      </c>
      <c r="F40" s="751"/>
    </row>
    <row r="41" spans="1:12" x14ac:dyDescent="0.2">
      <c r="A41" s="757" t="s">
        <v>141</v>
      </c>
      <c r="B41" s="757"/>
      <c r="C41" s="756" t="s">
        <v>376</v>
      </c>
      <c r="D41" s="756"/>
      <c r="E41" s="757" t="s">
        <v>127</v>
      </c>
      <c r="F41" s="757"/>
    </row>
  </sheetData>
  <mergeCells count="10">
    <mergeCell ref="A41:B41"/>
    <mergeCell ref="C41:D41"/>
    <mergeCell ref="E41:F41"/>
    <mergeCell ref="A1:L1"/>
    <mergeCell ref="A2:L2"/>
    <mergeCell ref="A3:L3"/>
    <mergeCell ref="G11:K11"/>
    <mergeCell ref="A40:B40"/>
    <mergeCell ref="C40:D40"/>
    <mergeCell ref="E40:F40"/>
  </mergeCells>
  <printOptions gridLinesSet="0"/>
  <pageMargins left="0.25" right="0.25" top="0.75" bottom="0.75" header="0.3" footer="0.3"/>
  <pageSetup scale="60" orientation="landscape" horizontalDpi="300" verticalDpi="300" r:id="rId1"/>
  <headerFooter alignWithMargins="0">
    <oddFooter xml:space="preserve">&amp;C&amp;12 19&amp;10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6E347-4231-44B4-ACC0-C930B2B867E2}">
  <sheetPr>
    <tabColor rgb="FF92D050"/>
  </sheetPr>
  <dimension ref="A1:Q66"/>
  <sheetViews>
    <sheetView showGridLines="0" topLeftCell="A34" zoomScale="80" zoomScaleNormal="80" workbookViewId="0">
      <selection activeCell="A40" sqref="A40"/>
    </sheetView>
  </sheetViews>
  <sheetFormatPr baseColWidth="10" defaultColWidth="11.42578125" defaultRowHeight="14.25" x14ac:dyDescent="0.2"/>
  <cols>
    <col min="1" max="1" width="6.140625" style="56" customWidth="1"/>
    <col min="2" max="2" width="27.28515625" style="56" bestFit="1" customWidth="1"/>
    <col min="3" max="3" width="16.42578125" style="56" bestFit="1" customWidth="1"/>
    <col min="4" max="6" width="15" style="56" customWidth="1"/>
    <col min="7" max="7" width="15.5703125" style="56" customWidth="1"/>
    <col min="8" max="8" width="15" style="56" customWidth="1"/>
    <col min="9" max="9" width="14.5703125" style="56" customWidth="1"/>
    <col min="10" max="10" width="12.5703125" style="56" bestFit="1" customWidth="1"/>
    <col min="11" max="11" width="12" style="56" bestFit="1" customWidth="1"/>
    <col min="12" max="12" width="15.85546875" style="56" customWidth="1"/>
    <col min="13" max="13" width="16.28515625" style="406" customWidth="1"/>
    <col min="14" max="14" width="2.28515625" style="56" customWidth="1"/>
    <col min="15" max="15" width="17.5703125" style="442" customWidth="1"/>
    <col min="16" max="16" width="16.42578125" style="56" customWidth="1"/>
    <col min="17" max="16384" width="11.42578125" style="56"/>
  </cols>
  <sheetData>
    <row r="1" spans="1:17" s="434" customFormat="1" ht="16.5" x14ac:dyDescent="0.25">
      <c r="A1" s="781" t="s">
        <v>288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O1" s="442"/>
    </row>
    <row r="2" spans="1:17" s="434" customFormat="1" ht="16.5" x14ac:dyDescent="0.25">
      <c r="A2" s="781" t="s">
        <v>9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O2" s="442"/>
    </row>
    <row r="3" spans="1:17" x14ac:dyDescent="0.2">
      <c r="A3" s="439"/>
      <c r="B3" s="439"/>
      <c r="C3" s="439"/>
      <c r="D3" s="439"/>
      <c r="E3" s="439"/>
      <c r="F3" s="440"/>
      <c r="G3" s="440"/>
      <c r="H3" s="440"/>
      <c r="I3" s="440"/>
      <c r="J3" s="440"/>
      <c r="K3" s="440"/>
      <c r="L3" s="440"/>
      <c r="M3" s="439"/>
    </row>
    <row r="4" spans="1:17" s="434" customFormat="1" ht="16.5" x14ac:dyDescent="0.25">
      <c r="A4" s="781" t="s">
        <v>287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O4" s="442"/>
    </row>
    <row r="5" spans="1:17" s="434" customFormat="1" ht="16.5" x14ac:dyDescent="0.25">
      <c r="A5" s="437"/>
      <c r="B5" s="438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7"/>
      <c r="O5" s="442"/>
    </row>
    <row r="6" spans="1:17" s="434" customFormat="1" ht="16.5" x14ac:dyDescent="0.25">
      <c r="M6" s="436" t="s">
        <v>286</v>
      </c>
      <c r="O6" s="442"/>
    </row>
    <row r="7" spans="1:17" s="434" customFormat="1" ht="16.5" x14ac:dyDescent="0.25">
      <c r="M7" s="435"/>
      <c r="O7" s="442"/>
    </row>
    <row r="8" spans="1:17" x14ac:dyDescent="0.2">
      <c r="A8" s="779" t="s">
        <v>285</v>
      </c>
      <c r="B8" s="779" t="s">
        <v>16</v>
      </c>
      <c r="C8" s="433" t="s">
        <v>284</v>
      </c>
      <c r="D8" s="432"/>
      <c r="E8" s="432"/>
      <c r="F8" s="432"/>
      <c r="G8" s="432"/>
      <c r="H8" s="433" t="s">
        <v>283</v>
      </c>
      <c r="I8" s="432"/>
      <c r="J8" s="432"/>
      <c r="K8" s="432"/>
      <c r="L8" s="431"/>
      <c r="M8" s="430" t="s">
        <v>282</v>
      </c>
    </row>
    <row r="9" spans="1:17" x14ac:dyDescent="0.2">
      <c r="A9" s="780"/>
      <c r="B9" s="780"/>
      <c r="C9" s="429" t="s">
        <v>280</v>
      </c>
      <c r="D9" s="429" t="s">
        <v>279</v>
      </c>
      <c r="E9" s="429" t="s">
        <v>27</v>
      </c>
      <c r="F9" s="429" t="s">
        <v>99</v>
      </c>
      <c r="G9" s="427" t="s">
        <v>281</v>
      </c>
      <c r="H9" s="427" t="s">
        <v>280</v>
      </c>
      <c r="I9" s="427" t="s">
        <v>279</v>
      </c>
      <c r="J9" s="427" t="s">
        <v>27</v>
      </c>
      <c r="K9" s="427" t="s">
        <v>99</v>
      </c>
      <c r="L9" s="428" t="s">
        <v>278</v>
      </c>
      <c r="M9" s="427" t="s">
        <v>18</v>
      </c>
    </row>
    <row r="10" spans="1:17" ht="12.75" x14ac:dyDescent="0.2">
      <c r="A10" s="426"/>
      <c r="B10" s="426"/>
      <c r="C10" s="425"/>
      <c r="D10" s="425"/>
      <c r="E10" s="425"/>
      <c r="F10" s="425"/>
      <c r="G10" s="425"/>
      <c r="H10" s="425"/>
      <c r="I10" s="425"/>
      <c r="J10" s="425"/>
      <c r="K10" s="425"/>
      <c r="L10" s="425"/>
      <c r="M10" s="425"/>
      <c r="O10" s="441">
        <v>229413952</v>
      </c>
      <c r="P10" s="412">
        <f>+L14-O10</f>
        <v>0</v>
      </c>
    </row>
    <row r="11" spans="1:17" x14ac:dyDescent="0.2">
      <c r="A11" s="424"/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391"/>
    </row>
    <row r="12" spans="1:17" s="451" customFormat="1" x14ac:dyDescent="0.2">
      <c r="A12" s="447">
        <v>1</v>
      </c>
      <c r="B12" s="448" t="s">
        <v>277</v>
      </c>
      <c r="C12" s="449">
        <v>11956559787</v>
      </c>
      <c r="D12" s="449">
        <f>583000000+104675746</f>
        <v>687675746</v>
      </c>
      <c r="E12" s="449">
        <v>0</v>
      </c>
      <c r="F12" s="449">
        <f>43041333*12</f>
        <v>516495996</v>
      </c>
      <c r="G12" s="449">
        <f>+C12+D12-E12+F12</f>
        <v>13160731529</v>
      </c>
      <c r="H12" s="449">
        <v>0</v>
      </c>
      <c r="I12" s="449">
        <v>0</v>
      </c>
      <c r="J12" s="449">
        <v>0</v>
      </c>
      <c r="K12" s="449">
        <v>0</v>
      </c>
      <c r="L12" s="449">
        <f>SUM(H12+I12-J12+K12)</f>
        <v>0</v>
      </c>
      <c r="M12" s="450">
        <f>+G12-L12</f>
        <v>13160731529</v>
      </c>
      <c r="O12" s="452">
        <v>13160731529</v>
      </c>
      <c r="P12" s="453">
        <f>+O12-M12</f>
        <v>0</v>
      </c>
      <c r="Q12" s="451" t="s">
        <v>306</v>
      </c>
    </row>
    <row r="13" spans="1:17" x14ac:dyDescent="0.2">
      <c r="A13" s="423"/>
      <c r="B13" s="242"/>
      <c r="C13" s="242"/>
      <c r="D13" s="242"/>
      <c r="E13" s="242"/>
      <c r="F13" s="242"/>
      <c r="G13" s="418"/>
      <c r="H13" s="242"/>
      <c r="I13" s="242"/>
      <c r="J13" s="242"/>
      <c r="K13" s="242"/>
      <c r="L13" s="242"/>
      <c r="M13" s="418"/>
      <c r="P13" s="411">
        <f t="shared" ref="P13:P24" si="0">+O13-M13</f>
        <v>0</v>
      </c>
    </row>
    <row r="14" spans="1:17" x14ac:dyDescent="0.2">
      <c r="A14" s="423">
        <v>2</v>
      </c>
      <c r="B14" s="242" t="s">
        <v>276</v>
      </c>
      <c r="C14" s="418">
        <v>4339997855</v>
      </c>
      <c r="D14" s="418">
        <v>35002634</v>
      </c>
      <c r="E14" s="418">
        <v>0</v>
      </c>
      <c r="F14" s="418">
        <f>+
9068064*12</f>
        <v>108816768</v>
      </c>
      <c r="G14" s="418">
        <f>+C14+D14-E14+F14</f>
        <v>4483817257</v>
      </c>
      <c r="H14" s="418">
        <f>117201461+59295731</f>
        <v>176497192</v>
      </c>
      <c r="I14" s="418">
        <f>4409730*12</f>
        <v>52916760</v>
      </c>
      <c r="J14" s="418">
        <v>0</v>
      </c>
      <c r="K14" s="418">
        <v>0</v>
      </c>
      <c r="L14" s="418">
        <f>SUM(H14:K14)</f>
        <v>229413952</v>
      </c>
      <c r="M14" s="422">
        <f>+G14-L14</f>
        <v>4254403305</v>
      </c>
      <c r="N14" s="411"/>
      <c r="O14" s="443">
        <v>4475127341</v>
      </c>
      <c r="P14" s="411">
        <f t="shared" si="0"/>
        <v>220724036</v>
      </c>
    </row>
    <row r="15" spans="1:17" x14ac:dyDescent="0.2">
      <c r="A15" s="423"/>
      <c r="B15" s="242"/>
      <c r="C15" s="242"/>
      <c r="D15" s="242"/>
      <c r="E15" s="242"/>
      <c r="F15" s="242"/>
      <c r="G15" s="418"/>
      <c r="H15" s="242"/>
      <c r="I15" s="242"/>
      <c r="J15" s="242"/>
      <c r="K15" s="242"/>
      <c r="L15" s="242"/>
      <c r="M15" s="418"/>
      <c r="P15" s="411">
        <f t="shared" si="0"/>
        <v>0</v>
      </c>
    </row>
    <row r="16" spans="1:17" x14ac:dyDescent="0.2">
      <c r="A16" s="423">
        <v>8</v>
      </c>
      <c r="B16" s="242" t="s">
        <v>275</v>
      </c>
      <c r="C16" s="418">
        <f>19522842271</f>
        <v>19522842271</v>
      </c>
      <c r="D16" s="389">
        <v>27216600</v>
      </c>
      <c r="E16" s="389">
        <v>0</v>
      </c>
      <c r="F16" s="389">
        <f>+
64773546*12</f>
        <v>777282552</v>
      </c>
      <c r="G16" s="418">
        <f>+C16+D16-E16+F16+30</f>
        <v>20327341453</v>
      </c>
      <c r="H16" s="389">
        <v>2020918104</v>
      </c>
      <c r="I16" s="418">
        <f>40973450*12</f>
        <v>491681400</v>
      </c>
      <c r="J16" s="389">
        <v>0</v>
      </c>
      <c r="K16" s="418">
        <v>0</v>
      </c>
      <c r="L16" s="418">
        <f>SUM(H16:K16)</f>
        <v>2512599504</v>
      </c>
      <c r="M16" s="422">
        <f>+G16-L16</f>
        <v>17814741949</v>
      </c>
      <c r="N16" s="411"/>
      <c r="P16" s="411">
        <f t="shared" si="0"/>
        <v>-17814741949</v>
      </c>
    </row>
    <row r="17" spans="1:16" x14ac:dyDescent="0.2">
      <c r="A17" s="423"/>
      <c r="B17" s="242"/>
      <c r="C17" s="242"/>
      <c r="D17" s="242"/>
      <c r="E17" s="242"/>
      <c r="F17" s="242"/>
      <c r="G17" s="418"/>
      <c r="H17" s="242"/>
      <c r="I17" s="242"/>
      <c r="J17" s="242"/>
      <c r="K17" s="242"/>
      <c r="L17" s="242"/>
      <c r="M17" s="418"/>
      <c r="P17" s="411">
        <f t="shared" si="0"/>
        <v>0</v>
      </c>
    </row>
    <row r="18" spans="1:16" x14ac:dyDescent="0.2">
      <c r="A18" s="423">
        <v>10</v>
      </c>
      <c r="B18" s="242" t="s">
        <v>274</v>
      </c>
      <c r="C18" s="418">
        <v>379201825</v>
      </c>
      <c r="D18" s="389">
        <f>186915888+9464500+23181818+4826400</f>
        <v>224388606</v>
      </c>
      <c r="E18" s="389">
        <v>0</v>
      </c>
      <c r="F18" s="389">
        <f>+(998569*12)</f>
        <v>11982828</v>
      </c>
      <c r="G18" s="418">
        <f>+C18+D18-E18+F18</f>
        <v>615573259</v>
      </c>
      <c r="H18" s="389">
        <v>17253475</v>
      </c>
      <c r="I18" s="418">
        <f>587245*6+1</f>
        <v>3523471</v>
      </c>
      <c r="J18" s="389">
        <v>0</v>
      </c>
      <c r="K18" s="418">
        <v>0</v>
      </c>
      <c r="L18" s="418">
        <f>SUM(H18:K18)</f>
        <v>20776946</v>
      </c>
      <c r="M18" s="422">
        <f>+G18-L18</f>
        <v>594796313</v>
      </c>
      <c r="N18" s="411"/>
      <c r="P18" s="411">
        <f t="shared" si="0"/>
        <v>-594796313</v>
      </c>
    </row>
    <row r="19" spans="1:16" x14ac:dyDescent="0.2">
      <c r="A19" s="423"/>
      <c r="B19" s="242"/>
      <c r="C19" s="242"/>
      <c r="D19" s="242"/>
      <c r="E19" s="242"/>
      <c r="F19" s="242"/>
      <c r="G19" s="418"/>
      <c r="H19" s="242"/>
      <c r="I19" s="242"/>
      <c r="J19" s="242"/>
      <c r="K19" s="242"/>
      <c r="L19" s="242"/>
      <c r="M19" s="418"/>
      <c r="P19" s="411">
        <f t="shared" si="0"/>
        <v>0</v>
      </c>
    </row>
    <row r="20" spans="1:16" x14ac:dyDescent="0.2">
      <c r="A20" s="423">
        <v>3</v>
      </c>
      <c r="B20" s="242" t="s">
        <v>273</v>
      </c>
      <c r="C20" s="418">
        <v>4294059832</v>
      </c>
      <c r="D20" s="389">
        <f>5909091+23097</f>
        <v>5932188</v>
      </c>
      <c r="E20" s="389">
        <v>48444424</v>
      </c>
      <c r="F20" s="418">
        <f>10828685*12</f>
        <v>129944220</v>
      </c>
      <c r="G20" s="418">
        <f>+C20+D20-E20+F20+1</f>
        <v>4381491817</v>
      </c>
      <c r="H20" s="418">
        <f>1907051564-34948318-34948318-34948318+34948318+34948318+34948348</f>
        <v>1907051594</v>
      </c>
      <c r="I20" s="389">
        <f>34948318*12</f>
        <v>419379816</v>
      </c>
      <c r="J20" s="389">
        <v>35188597</v>
      </c>
      <c r="K20" s="418">
        <v>0</v>
      </c>
      <c r="L20" s="418">
        <f>+H20+I20-J20</f>
        <v>2291242813</v>
      </c>
      <c r="M20" s="422">
        <f>+G20-L20</f>
        <v>2090249004</v>
      </c>
      <c r="N20" s="411"/>
      <c r="O20" s="444"/>
      <c r="P20" s="411">
        <f t="shared" si="0"/>
        <v>-2090249004</v>
      </c>
    </row>
    <row r="21" spans="1:16" x14ac:dyDescent="0.2">
      <c r="A21" s="423"/>
      <c r="B21" s="242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P21" s="411">
        <f t="shared" si="0"/>
        <v>0</v>
      </c>
    </row>
    <row r="22" spans="1:16" x14ac:dyDescent="0.2">
      <c r="A22" s="423">
        <v>9</v>
      </c>
      <c r="B22" s="242" t="s">
        <v>272</v>
      </c>
      <c r="C22" s="418">
        <v>341133273</v>
      </c>
      <c r="D22" s="389">
        <v>0</v>
      </c>
      <c r="E22" s="389">
        <v>0</v>
      </c>
      <c r="F22" s="389">
        <v>0</v>
      </c>
      <c r="G22" s="418">
        <f>+C22+D22-E22+F22</f>
        <v>341133273</v>
      </c>
      <c r="H22" s="389">
        <v>0</v>
      </c>
      <c r="I22" s="418">
        <v>0</v>
      </c>
      <c r="J22" s="389">
        <v>0</v>
      </c>
      <c r="K22" s="418">
        <v>0</v>
      </c>
      <c r="L22" s="418">
        <f>SUM(H22+I22-J22+K22)</f>
        <v>0</v>
      </c>
      <c r="M22" s="422">
        <f>+G22-L22</f>
        <v>341133273</v>
      </c>
      <c r="N22" s="411"/>
      <c r="P22" s="411">
        <f t="shared" si="0"/>
        <v>-341133273</v>
      </c>
    </row>
    <row r="23" spans="1:16" x14ac:dyDescent="0.2">
      <c r="A23" s="423"/>
      <c r="B23" s="242"/>
      <c r="C23" s="418"/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P23" s="411">
        <f t="shared" si="0"/>
        <v>0</v>
      </c>
    </row>
    <row r="24" spans="1:16" x14ac:dyDescent="0.2">
      <c r="A24" s="423">
        <v>4</v>
      </c>
      <c r="B24" s="242" t="s">
        <v>271</v>
      </c>
      <c r="C24" s="418">
        <v>720699009</v>
      </c>
      <c r="D24" s="418">
        <v>0</v>
      </c>
      <c r="E24" s="418">
        <v>0</v>
      </c>
      <c r="F24" s="418">
        <f>666414*12</f>
        <v>7996968</v>
      </c>
      <c r="G24" s="418">
        <f>+C24+D24-E24+F24</f>
        <v>728695977</v>
      </c>
      <c r="H24" s="418">
        <v>540956472</v>
      </c>
      <c r="I24" s="418">
        <f>9360162*12</f>
        <v>112321944</v>
      </c>
      <c r="J24" s="418">
        <v>0</v>
      </c>
      <c r="K24" s="418">
        <v>0</v>
      </c>
      <c r="L24" s="418">
        <f>SUM(H24:K24)</f>
        <v>653278416</v>
      </c>
      <c r="M24" s="422">
        <f>+G24-L24</f>
        <v>75417561</v>
      </c>
      <c r="N24" s="411"/>
      <c r="P24" s="411">
        <f t="shared" si="0"/>
        <v>-75417561</v>
      </c>
    </row>
    <row r="25" spans="1:16" x14ac:dyDescent="0.2">
      <c r="A25" s="423"/>
      <c r="B25" s="242"/>
      <c r="C25" s="418"/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O25" s="445"/>
    </row>
    <row r="26" spans="1:16" x14ac:dyDescent="0.2">
      <c r="A26" s="423">
        <v>5</v>
      </c>
      <c r="B26" s="242" t="s">
        <v>270</v>
      </c>
      <c r="C26" s="418">
        <v>1190168157</v>
      </c>
      <c r="D26" s="418">
        <f>594545+751009+10461818</f>
        <v>11807372</v>
      </c>
      <c r="E26" s="389">
        <v>0</v>
      </c>
      <c r="F26" s="418">
        <f>2362056*12</f>
        <v>28344672</v>
      </c>
      <c r="G26" s="418">
        <f>+C26+D26-E26+F26</f>
        <v>1230320201</v>
      </c>
      <c r="H26" s="418">
        <v>649037986</v>
      </c>
      <c r="I26" s="418">
        <f>9806445*12</f>
        <v>117677340</v>
      </c>
      <c r="J26" s="389">
        <v>0</v>
      </c>
      <c r="K26" s="418">
        <v>0</v>
      </c>
      <c r="L26" s="418">
        <f>SUM(H26:K26)</f>
        <v>766715326</v>
      </c>
      <c r="M26" s="422">
        <f>+G26-L26</f>
        <v>463604875</v>
      </c>
      <c r="N26" s="411"/>
      <c r="O26" s="445"/>
    </row>
    <row r="27" spans="1:16" x14ac:dyDescent="0.2">
      <c r="A27" s="423"/>
      <c r="B27" s="242"/>
      <c r="C27" s="418"/>
      <c r="D27" s="418"/>
      <c r="E27" s="418"/>
      <c r="F27" s="418"/>
      <c r="G27" s="418"/>
      <c r="H27" s="418"/>
      <c r="I27" s="242"/>
      <c r="J27" s="418"/>
      <c r="K27" s="242"/>
      <c r="L27" s="418"/>
      <c r="M27" s="418"/>
    </row>
    <row r="28" spans="1:16" x14ac:dyDescent="0.2">
      <c r="A28" s="423">
        <v>6</v>
      </c>
      <c r="B28" s="242" t="s">
        <v>269</v>
      </c>
      <c r="C28" s="418">
        <v>1366300006</v>
      </c>
      <c r="D28" s="389">
        <f>50887415+5757640+2863465</f>
        <v>59508520</v>
      </c>
      <c r="E28" s="418">
        <v>0</v>
      </c>
      <c r="F28" s="418">
        <f>746015*12</f>
        <v>8952180</v>
      </c>
      <c r="G28" s="418">
        <f>+C28+D28-E28+F28</f>
        <v>1434760706</v>
      </c>
      <c r="H28" s="418">
        <v>1245527595</v>
      </c>
      <c r="I28" s="418">
        <f>8721272*12</f>
        <v>104655264</v>
      </c>
      <c r="J28" s="418">
        <v>0</v>
      </c>
      <c r="K28" s="418">
        <v>0</v>
      </c>
      <c r="L28" s="418">
        <f>SUM(H28:K28)</f>
        <v>1350182859</v>
      </c>
      <c r="M28" s="422">
        <f>+G28-L28</f>
        <v>84577847</v>
      </c>
      <c r="N28" s="411"/>
    </row>
    <row r="29" spans="1:16" x14ac:dyDescent="0.2">
      <c r="A29" s="423"/>
      <c r="B29" s="242"/>
      <c r="C29" s="418"/>
      <c r="D29" s="418"/>
      <c r="E29" s="418"/>
      <c r="F29" s="418"/>
      <c r="G29" s="418"/>
      <c r="H29" s="418"/>
      <c r="I29" s="242"/>
      <c r="J29" s="418"/>
      <c r="K29" s="242"/>
      <c r="L29" s="418"/>
      <c r="M29" s="418"/>
    </row>
    <row r="30" spans="1:16" x14ac:dyDescent="0.2">
      <c r="A30" s="423">
        <v>7</v>
      </c>
      <c r="B30" s="242" t="s">
        <v>268</v>
      </c>
      <c r="C30" s="418">
        <v>2337841961</v>
      </c>
      <c r="D30" s="389">
        <v>0</v>
      </c>
      <c r="E30" s="389">
        <f>15712806+181947232+14902742+58542483</f>
        <v>271105263</v>
      </c>
      <c r="F30" s="389">
        <f>3234366*12</f>
        <v>38812392</v>
      </c>
      <c r="G30" s="418">
        <f>+C30+D30-E30+F30</f>
        <v>2105549090</v>
      </c>
      <c r="H30" s="389">
        <v>1563698748</v>
      </c>
      <c r="I30" s="389">
        <f>23254959*12</f>
        <v>279059508</v>
      </c>
      <c r="J30" s="389">
        <f>14902742+58542483</f>
        <v>73445225</v>
      </c>
      <c r="K30" s="418">
        <v>0</v>
      </c>
      <c r="L30" s="418">
        <f>+H30+I30-J30</f>
        <v>1769313031</v>
      </c>
      <c r="M30" s="422">
        <f>+G30-L30</f>
        <v>336236059</v>
      </c>
      <c r="N30" s="411"/>
    </row>
    <row r="31" spans="1:16" x14ac:dyDescent="0.2">
      <c r="A31" s="423"/>
      <c r="B31" s="242"/>
      <c r="C31" s="418"/>
      <c r="D31" s="389"/>
      <c r="E31" s="389"/>
      <c r="F31" s="389"/>
      <c r="G31" s="418"/>
      <c r="H31" s="389"/>
      <c r="I31" s="418"/>
      <c r="J31" s="389"/>
      <c r="K31" s="418"/>
      <c r="L31" s="389"/>
      <c r="M31" s="418"/>
    </row>
    <row r="32" spans="1:16" x14ac:dyDescent="0.2">
      <c r="A32" s="423">
        <v>9</v>
      </c>
      <c r="B32" s="242" t="s">
        <v>267</v>
      </c>
      <c r="C32" s="418">
        <v>1348024685</v>
      </c>
      <c r="D32" s="389">
        <v>0</v>
      </c>
      <c r="E32" s="389">
        <v>0</v>
      </c>
      <c r="F32" s="389">
        <f>1069420*12</f>
        <v>12833040</v>
      </c>
      <c r="G32" s="418">
        <f>+C32+D32-E32+F32</f>
        <v>1360857725</v>
      </c>
      <c r="H32" s="389">
        <v>1127324912</v>
      </c>
      <c r="I32" s="418">
        <f>6924534*12</f>
        <v>83094408</v>
      </c>
      <c r="J32" s="389">
        <v>0</v>
      </c>
      <c r="K32" s="418">
        <v>0</v>
      </c>
      <c r="L32" s="418">
        <f>SUM(H32:K32)</f>
        <v>1210419320</v>
      </c>
      <c r="M32" s="422">
        <f>+G32-L32</f>
        <v>150438405</v>
      </c>
      <c r="N32" s="411"/>
    </row>
    <row r="33" spans="1:15" x14ac:dyDescent="0.2">
      <c r="A33" s="423"/>
      <c r="B33" s="242"/>
      <c r="C33" s="418"/>
      <c r="D33" s="389"/>
      <c r="E33" s="389"/>
      <c r="F33" s="389"/>
      <c r="G33" s="418"/>
      <c r="H33" s="389"/>
      <c r="I33" s="242"/>
      <c r="J33" s="389"/>
      <c r="K33" s="242"/>
      <c r="L33" s="418"/>
      <c r="M33" s="418"/>
    </row>
    <row r="34" spans="1:15" x14ac:dyDescent="0.2">
      <c r="A34" s="423">
        <v>11</v>
      </c>
      <c r="B34" s="242" t="s">
        <v>266</v>
      </c>
      <c r="C34" s="418">
        <v>414071429</v>
      </c>
      <c r="D34" s="389">
        <v>0</v>
      </c>
      <c r="E34" s="389">
        <v>0</v>
      </c>
      <c r="F34" s="389">
        <v>0</v>
      </c>
      <c r="G34" s="418">
        <f>+C34+D34-E34+F34</f>
        <v>414071429</v>
      </c>
      <c r="H34" s="389">
        <v>0</v>
      </c>
      <c r="I34" s="389">
        <v>0</v>
      </c>
      <c r="J34" s="389">
        <v>0</v>
      </c>
      <c r="K34" s="418">
        <v>0</v>
      </c>
      <c r="L34" s="418">
        <f>SUM(H34+I34-J34+K34)</f>
        <v>0</v>
      </c>
      <c r="M34" s="422">
        <f>+G34-L34</f>
        <v>414071429</v>
      </c>
      <c r="N34" s="411"/>
    </row>
    <row r="35" spans="1:15" x14ac:dyDescent="0.2">
      <c r="A35" s="423"/>
      <c r="B35" s="242"/>
      <c r="C35" s="418"/>
      <c r="D35" s="389"/>
      <c r="E35" s="389"/>
      <c r="F35" s="389"/>
      <c r="G35" s="418"/>
      <c r="H35" s="389"/>
      <c r="I35" s="242"/>
      <c r="J35" s="389"/>
      <c r="K35" s="242"/>
      <c r="L35" s="418"/>
      <c r="M35" s="418"/>
    </row>
    <row r="36" spans="1:15" x14ac:dyDescent="0.2">
      <c r="A36" s="423">
        <v>12</v>
      </c>
      <c r="B36" s="242" t="s">
        <v>265</v>
      </c>
      <c r="C36" s="418">
        <v>31818182</v>
      </c>
      <c r="D36" s="389">
        <v>0</v>
      </c>
      <c r="E36" s="389">
        <v>0</v>
      </c>
      <c r="F36" s="389">
        <v>0</v>
      </c>
      <c r="G36" s="418">
        <f>+C36+D36-E36+F36</f>
        <v>31818182</v>
      </c>
      <c r="H36" s="389">
        <v>0</v>
      </c>
      <c r="I36" s="389">
        <v>0</v>
      </c>
      <c r="J36" s="389">
        <v>0</v>
      </c>
      <c r="K36" s="418">
        <v>0</v>
      </c>
      <c r="L36" s="418">
        <f>SUM(H36+I36-J36+K36)</f>
        <v>0</v>
      </c>
      <c r="M36" s="422">
        <f>+G36-L36</f>
        <v>31818182</v>
      </c>
      <c r="N36" s="411"/>
    </row>
    <row r="37" spans="1:15" x14ac:dyDescent="0.2">
      <c r="A37" s="423"/>
      <c r="B37" s="242"/>
      <c r="C37" s="418"/>
      <c r="D37" s="389"/>
      <c r="E37" s="389"/>
      <c r="F37" s="389"/>
      <c r="G37" s="418"/>
      <c r="H37" s="389"/>
      <c r="I37" s="418"/>
      <c r="J37" s="389"/>
      <c r="K37" s="418"/>
      <c r="L37" s="418"/>
      <c r="M37" s="422"/>
    </row>
    <row r="38" spans="1:15" x14ac:dyDescent="0.2">
      <c r="A38" s="423">
        <v>13</v>
      </c>
      <c r="B38" s="242" t="s">
        <v>305</v>
      </c>
      <c r="C38" s="418">
        <v>220000000</v>
      </c>
      <c r="D38" s="389">
        <v>0</v>
      </c>
      <c r="E38" s="389">
        <v>0</v>
      </c>
      <c r="F38" s="389">
        <v>0</v>
      </c>
      <c r="G38" s="418">
        <f>+C38+D38-E38+F38</f>
        <v>220000000</v>
      </c>
      <c r="H38" s="389">
        <v>0</v>
      </c>
      <c r="I38" s="389">
        <v>0</v>
      </c>
      <c r="J38" s="389">
        <v>0</v>
      </c>
      <c r="K38" s="418">
        <v>0</v>
      </c>
      <c r="L38" s="418">
        <f>SUM(H38+I38-J38+K38)</f>
        <v>0</v>
      </c>
      <c r="M38" s="422">
        <f>+G38-L38</f>
        <v>220000000</v>
      </c>
      <c r="N38" s="411"/>
    </row>
    <row r="39" spans="1:15" x14ac:dyDescent="0.2">
      <c r="A39" s="421"/>
      <c r="B39" s="420"/>
      <c r="C39" s="419"/>
      <c r="D39" s="389"/>
      <c r="E39" s="389"/>
      <c r="F39" s="389"/>
      <c r="G39" s="418"/>
      <c r="H39" s="419"/>
      <c r="I39" s="389"/>
      <c r="J39" s="389"/>
      <c r="K39" s="389"/>
      <c r="L39" s="418"/>
      <c r="M39" s="418"/>
    </row>
    <row r="40" spans="1:15" x14ac:dyDescent="0.2">
      <c r="A40" s="417" t="s">
        <v>304</v>
      </c>
      <c r="B40" s="416"/>
      <c r="C40" s="415">
        <f t="shared" ref="C40:M40" si="1">SUM(C12:C38)</f>
        <v>48462718272</v>
      </c>
      <c r="D40" s="415">
        <f t="shared" si="1"/>
        <v>1051531666</v>
      </c>
      <c r="E40" s="415">
        <f t="shared" si="1"/>
        <v>319549687</v>
      </c>
      <c r="F40" s="415">
        <f t="shared" si="1"/>
        <v>1641461616</v>
      </c>
      <c r="G40" s="415">
        <f t="shared" si="1"/>
        <v>50836161898</v>
      </c>
      <c r="H40" s="415">
        <f t="shared" si="1"/>
        <v>9248266078</v>
      </c>
      <c r="I40" s="415">
        <f t="shared" si="1"/>
        <v>1664309911</v>
      </c>
      <c r="J40" s="415">
        <f t="shared" si="1"/>
        <v>108633822</v>
      </c>
      <c r="K40" s="415">
        <f t="shared" si="1"/>
        <v>0</v>
      </c>
      <c r="L40" s="415">
        <f t="shared" si="1"/>
        <v>10803942167</v>
      </c>
      <c r="M40" s="415">
        <f t="shared" si="1"/>
        <v>40032219731</v>
      </c>
      <c r="N40" s="391"/>
      <c r="O40" s="446"/>
    </row>
    <row r="41" spans="1:15" x14ac:dyDescent="0.2">
      <c r="A41" s="417" t="s">
        <v>264</v>
      </c>
      <c r="B41" s="416"/>
      <c r="C41" s="415">
        <v>42694265574</v>
      </c>
      <c r="D41" s="415">
        <v>9067363188</v>
      </c>
      <c r="E41" s="415">
        <v>5278925034</v>
      </c>
      <c r="F41" s="415">
        <v>1638881270</v>
      </c>
      <c r="G41" s="415">
        <f>+C41+D41-E41+F41</f>
        <v>48121584998</v>
      </c>
      <c r="H41" s="415">
        <v>7930475112</v>
      </c>
      <c r="I41" s="415">
        <v>1716892524</v>
      </c>
      <c r="J41" s="415">
        <v>458397318</v>
      </c>
      <c r="K41" s="195">
        <v>0</v>
      </c>
      <c r="L41" s="415">
        <f>+H41+I41-J41</f>
        <v>9188970318</v>
      </c>
      <c r="M41" s="415">
        <f>+G41-L41</f>
        <v>38932614680</v>
      </c>
      <c r="N41" s="411"/>
      <c r="O41" s="446"/>
    </row>
    <row r="42" spans="1:15" x14ac:dyDescent="0.2">
      <c r="M42" s="414"/>
    </row>
    <row r="43" spans="1:15" x14ac:dyDescent="0.2">
      <c r="A43" s="56" t="s">
        <v>98</v>
      </c>
      <c r="D43" s="411"/>
      <c r="F43" s="393"/>
      <c r="G43" s="411"/>
      <c r="M43" s="413"/>
    </row>
    <row r="44" spans="1:15" x14ac:dyDescent="0.2">
      <c r="F44" s="413"/>
      <c r="M44" s="413"/>
    </row>
    <row r="45" spans="1:15" x14ac:dyDescent="0.2">
      <c r="G45" s="411"/>
    </row>
    <row r="46" spans="1:15" x14ac:dyDescent="0.2">
      <c r="G46" s="412"/>
    </row>
    <row r="47" spans="1:15" customFormat="1" x14ac:dyDescent="0.2">
      <c r="A47" s="368" t="s">
        <v>140</v>
      </c>
      <c r="B47" s="368"/>
      <c r="C47" s="5"/>
      <c r="D47" s="368"/>
      <c r="E47" s="368" t="s">
        <v>263</v>
      </c>
      <c r="F47" s="56"/>
      <c r="G47" s="411"/>
      <c r="H47" s="5"/>
      <c r="I47" s="772" t="s">
        <v>143</v>
      </c>
      <c r="J47" s="772"/>
      <c r="K47" s="56"/>
      <c r="L47" s="410"/>
      <c r="M47" s="409"/>
      <c r="N47" s="409"/>
      <c r="O47" s="11"/>
    </row>
    <row r="48" spans="1:15" customFormat="1" x14ac:dyDescent="0.2">
      <c r="A48" s="369" t="s">
        <v>141</v>
      </c>
      <c r="B48" s="369"/>
      <c r="C48" s="5"/>
      <c r="D48" s="368"/>
      <c r="E48" s="369" t="s">
        <v>130</v>
      </c>
      <c r="F48" s="56"/>
      <c r="G48" s="56"/>
      <c r="H48" s="5"/>
      <c r="I48" s="772" t="s">
        <v>144</v>
      </c>
      <c r="J48" s="772"/>
      <c r="K48" s="56"/>
      <c r="L48" s="410"/>
      <c r="M48" s="409"/>
      <c r="N48" s="409"/>
      <c r="O48" s="11"/>
    </row>
    <row r="49" spans="1:15" customFormat="1" x14ac:dyDescent="0.2">
      <c r="A49" s="369"/>
      <c r="B49" s="369"/>
      <c r="C49" s="5"/>
      <c r="D49" s="368"/>
      <c r="E49" s="369"/>
      <c r="F49" s="56"/>
      <c r="G49" s="56"/>
      <c r="H49" s="5"/>
      <c r="I49" s="369"/>
      <c r="J49" s="369"/>
      <c r="K49" s="56"/>
      <c r="L49" s="408"/>
      <c r="O49" s="11"/>
    </row>
    <row r="50" spans="1:15" s="5" customFormat="1" x14ac:dyDescent="0.2">
      <c r="A50" s="387"/>
      <c r="B50" s="387"/>
      <c r="C50" s="387"/>
      <c r="D50" s="387"/>
      <c r="E50" s="387"/>
      <c r="F50" s="387"/>
      <c r="L50" s="387"/>
      <c r="O50" s="11"/>
    </row>
    <row r="51" spans="1:15" customFormat="1" x14ac:dyDescent="0.2">
      <c r="A51" s="407"/>
      <c r="O51" s="11"/>
    </row>
    <row r="55" spans="1:15" x14ac:dyDescent="0.2">
      <c r="D55" s="392"/>
    </row>
    <row r="56" spans="1:15" x14ac:dyDescent="0.2">
      <c r="D56" s="392"/>
    </row>
    <row r="57" spans="1:15" x14ac:dyDescent="0.2">
      <c r="D57" s="392"/>
    </row>
    <row r="59" spans="1:15" x14ac:dyDescent="0.2">
      <c r="D59" s="391"/>
    </row>
    <row r="60" spans="1:15" x14ac:dyDescent="0.2">
      <c r="D60" s="391"/>
    </row>
    <row r="61" spans="1:15" x14ac:dyDescent="0.2">
      <c r="D61" s="391"/>
    </row>
    <row r="66" spans="4:4" x14ac:dyDescent="0.2">
      <c r="D66" s="391"/>
    </row>
  </sheetData>
  <mergeCells count="7">
    <mergeCell ref="A8:A9"/>
    <mergeCell ref="B8:B9"/>
    <mergeCell ref="I47:J47"/>
    <mergeCell ref="I48:J48"/>
    <mergeCell ref="A1:M1"/>
    <mergeCell ref="A2:M2"/>
    <mergeCell ref="A4:M4"/>
  </mergeCells>
  <printOptions gridLinesSet="0"/>
  <pageMargins left="1.299212598425197" right="1.4566929133858268" top="1.3779527559055118" bottom="1.1811023622047245" header="0.51181102362204722" footer="1.1023622047244095"/>
  <pageSetup paperSize="9" scale="59" orientation="landscape" r:id="rId1"/>
  <headerFooter alignWithMargins="0">
    <oddFooter>&amp;C 15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0E088-75B8-42B4-8FF5-B146CEF45353}">
  <dimension ref="A1:M35"/>
  <sheetViews>
    <sheetView showGridLines="0" workbookViewId="0">
      <selection activeCell="E25" sqref="E25"/>
    </sheetView>
  </sheetViews>
  <sheetFormatPr baseColWidth="10" defaultColWidth="11.42578125" defaultRowHeight="12.75" x14ac:dyDescent="0.2"/>
  <cols>
    <col min="1" max="1" width="22.28515625" style="196" customWidth="1"/>
    <col min="2" max="2" width="15.5703125" style="196" customWidth="1"/>
    <col min="3" max="3" width="13.7109375" style="196" customWidth="1"/>
    <col min="4" max="4" width="11.140625" style="196" customWidth="1"/>
    <col min="5" max="5" width="15.140625" style="196" customWidth="1"/>
    <col min="6" max="6" width="18" style="196" customWidth="1"/>
    <col min="7" max="7" width="10.7109375" style="196" customWidth="1"/>
    <col min="8" max="8" width="10" style="196" customWidth="1"/>
    <col min="9" max="10" width="13.5703125" style="196" customWidth="1"/>
    <col min="11" max="16384" width="11.42578125" style="196"/>
  </cols>
  <sheetData>
    <row r="1" spans="1:13" ht="16.5" x14ac:dyDescent="0.25">
      <c r="A1" s="755" t="s">
        <v>324</v>
      </c>
      <c r="B1" s="755"/>
      <c r="C1" s="755"/>
      <c r="D1" s="755"/>
      <c r="E1" s="755"/>
      <c r="F1" s="755"/>
      <c r="G1" s="755"/>
      <c r="H1" s="755"/>
      <c r="I1" s="755"/>
      <c r="J1" s="755"/>
    </row>
    <row r="2" spans="1:13" ht="16.5" x14ac:dyDescent="0.25">
      <c r="A2" s="755" t="s">
        <v>325</v>
      </c>
      <c r="B2" s="755"/>
      <c r="C2" s="755"/>
      <c r="D2" s="755"/>
      <c r="E2" s="755"/>
      <c r="F2" s="755"/>
      <c r="G2" s="755"/>
      <c r="H2" s="755"/>
      <c r="I2" s="755"/>
      <c r="J2" s="755"/>
    </row>
    <row r="3" spans="1:13" ht="16.5" x14ac:dyDescent="0.25">
      <c r="A3" s="755" t="s">
        <v>9</v>
      </c>
      <c r="B3" s="755"/>
      <c r="C3" s="755"/>
      <c r="D3" s="755"/>
      <c r="E3" s="755"/>
      <c r="F3" s="755"/>
      <c r="G3" s="755"/>
      <c r="H3" s="755"/>
      <c r="I3" s="755"/>
      <c r="J3" s="755"/>
    </row>
    <row r="4" spans="1:13" s="588" customFormat="1" ht="16.5" x14ac:dyDescent="0.25">
      <c r="A4" s="589"/>
      <c r="B4" s="589"/>
      <c r="C4" s="589"/>
      <c r="D4" s="589"/>
      <c r="E4" s="589"/>
      <c r="F4" s="589"/>
      <c r="G4" s="589"/>
      <c r="H4" s="589"/>
      <c r="I4" s="589"/>
      <c r="J4" s="589"/>
    </row>
    <row r="5" spans="1:13" s="588" customFormat="1" ht="16.5" x14ac:dyDescent="0.25">
      <c r="A5" s="589" t="s">
        <v>19</v>
      </c>
      <c r="B5" s="589"/>
      <c r="C5" s="589"/>
      <c r="D5" s="589"/>
      <c r="E5" s="589"/>
      <c r="F5" s="589"/>
      <c r="G5" s="589"/>
      <c r="H5" s="589"/>
      <c r="I5" s="589"/>
      <c r="J5" s="589"/>
    </row>
    <row r="6" spans="1:13" s="588" customFormat="1" ht="16.5" x14ac:dyDescent="0.25">
      <c r="A6" s="589"/>
      <c r="B6" s="589"/>
      <c r="C6" s="589"/>
      <c r="D6" s="589"/>
      <c r="E6" s="589"/>
      <c r="F6" s="589"/>
      <c r="G6" s="589"/>
      <c r="H6" s="589"/>
      <c r="I6" s="589"/>
      <c r="J6" s="589"/>
    </row>
    <row r="7" spans="1:13" s="584" customFormat="1" ht="16.5" x14ac:dyDescent="0.25">
      <c r="A7" s="587"/>
      <c r="B7" s="587"/>
      <c r="C7" s="587"/>
      <c r="D7" s="587"/>
      <c r="E7" s="587"/>
      <c r="F7" s="587"/>
      <c r="G7" s="587"/>
      <c r="H7" s="587"/>
      <c r="I7" s="587"/>
      <c r="J7" s="586"/>
      <c r="K7" s="585"/>
      <c r="L7" s="585"/>
      <c r="M7" s="585"/>
    </row>
    <row r="8" spans="1:13" x14ac:dyDescent="0.2">
      <c r="A8" s="583"/>
      <c r="J8" s="582" t="s">
        <v>20</v>
      </c>
    </row>
    <row r="9" spans="1:13" x14ac:dyDescent="0.2">
      <c r="A9" s="348"/>
    </row>
    <row r="10" spans="1:13" x14ac:dyDescent="0.2">
      <c r="A10" s="385"/>
      <c r="B10" s="581" t="s">
        <v>21</v>
      </c>
      <c r="C10" s="579"/>
      <c r="D10" s="579"/>
      <c r="E10" s="578"/>
      <c r="F10" s="579"/>
      <c r="G10" s="580" t="s">
        <v>22</v>
      </c>
      <c r="H10" s="579"/>
      <c r="I10" s="578"/>
      <c r="J10" s="577"/>
    </row>
    <row r="11" spans="1:13" x14ac:dyDescent="0.2">
      <c r="A11" s="576"/>
      <c r="B11" s="575" t="s">
        <v>14</v>
      </c>
      <c r="C11" s="575" t="s">
        <v>23</v>
      </c>
      <c r="D11" s="575" t="s">
        <v>24</v>
      </c>
      <c r="E11" s="575" t="s">
        <v>15</v>
      </c>
      <c r="F11" s="575" t="s">
        <v>25</v>
      </c>
      <c r="G11" s="575" t="s">
        <v>26</v>
      </c>
      <c r="H11" s="575" t="s">
        <v>27</v>
      </c>
      <c r="I11" s="575" t="s">
        <v>28</v>
      </c>
      <c r="J11" s="574" t="s">
        <v>29</v>
      </c>
    </row>
    <row r="12" spans="1:13" x14ac:dyDescent="0.2">
      <c r="A12" s="573" t="s">
        <v>16</v>
      </c>
      <c r="B12" s="572" t="s">
        <v>96</v>
      </c>
      <c r="C12" s="571"/>
      <c r="D12" s="571"/>
      <c r="E12" s="572" t="s">
        <v>96</v>
      </c>
      <c r="F12" s="571" t="s">
        <v>108</v>
      </c>
      <c r="G12" s="572" t="s">
        <v>96</v>
      </c>
      <c r="H12" s="571"/>
      <c r="I12" s="571" t="s">
        <v>17</v>
      </c>
      <c r="J12" s="571" t="s">
        <v>18</v>
      </c>
    </row>
    <row r="13" spans="1:13" x14ac:dyDescent="0.2">
      <c r="A13" s="385"/>
      <c r="B13" s="385"/>
      <c r="C13" s="385"/>
      <c r="D13" s="385"/>
      <c r="E13" s="385"/>
      <c r="F13" s="385"/>
      <c r="G13" s="385"/>
      <c r="H13" s="385"/>
      <c r="I13" s="385"/>
      <c r="J13" s="385"/>
    </row>
    <row r="14" spans="1:13" hidden="1" x14ac:dyDescent="0.2">
      <c r="A14" s="570"/>
      <c r="B14" s="569"/>
      <c r="C14" s="569"/>
      <c r="D14" s="569"/>
      <c r="E14" s="569"/>
      <c r="F14" s="569"/>
      <c r="G14" s="569"/>
      <c r="H14" s="569"/>
      <c r="I14" s="569"/>
      <c r="J14" s="569"/>
    </row>
    <row r="15" spans="1:13" hidden="1" x14ac:dyDescent="0.2">
      <c r="A15" s="380"/>
      <c r="B15" s="568"/>
      <c r="C15" s="568"/>
      <c r="D15" s="568"/>
      <c r="E15" s="568"/>
      <c r="F15" s="568"/>
      <c r="G15" s="568"/>
      <c r="H15" s="568"/>
      <c r="I15" s="568"/>
      <c r="J15" s="568"/>
    </row>
    <row r="16" spans="1:13" hidden="1" x14ac:dyDescent="0.2">
      <c r="A16" s="380"/>
      <c r="B16" s="568"/>
      <c r="C16" s="568"/>
      <c r="D16" s="568"/>
      <c r="E16" s="568"/>
      <c r="F16" s="568"/>
      <c r="G16" s="568"/>
      <c r="H16" s="568"/>
      <c r="I16" s="568"/>
      <c r="J16" s="568"/>
    </row>
    <row r="17" spans="1:10" hidden="1" x14ac:dyDescent="0.2">
      <c r="A17" s="380"/>
      <c r="B17" s="568"/>
      <c r="C17" s="568"/>
      <c r="D17" s="568"/>
      <c r="E17" s="568"/>
      <c r="F17" s="568"/>
      <c r="G17" s="568"/>
      <c r="H17" s="568"/>
      <c r="I17" s="568"/>
      <c r="J17" s="568"/>
    </row>
    <row r="18" spans="1:10" s="348" customFormat="1" x14ac:dyDescent="0.2">
      <c r="A18" s="735" t="s">
        <v>442</v>
      </c>
      <c r="B18" s="736">
        <v>764606840</v>
      </c>
      <c r="C18" s="737">
        <v>718319530</v>
      </c>
      <c r="D18" s="736">
        <v>0</v>
      </c>
      <c r="E18" s="737">
        <f>+C18+B18</f>
        <v>1482926370</v>
      </c>
      <c r="F18" s="737">
        <v>33890931</v>
      </c>
      <c r="G18" s="737">
        <v>0</v>
      </c>
      <c r="H18" s="737">
        <v>0</v>
      </c>
      <c r="I18" s="737">
        <f>+SUM(F18:H18)</f>
        <v>33890931</v>
      </c>
      <c r="J18" s="737">
        <f>+E18-I18</f>
        <v>1449035439</v>
      </c>
    </row>
    <row r="19" spans="1:10" hidden="1" x14ac:dyDescent="0.2">
      <c r="A19" s="380"/>
      <c r="B19" s="738"/>
      <c r="C19" s="738"/>
      <c r="D19" s="738"/>
      <c r="E19" s="738"/>
      <c r="F19" s="738"/>
      <c r="G19" s="738"/>
      <c r="H19" s="738"/>
      <c r="I19" s="738"/>
      <c r="J19" s="738"/>
    </row>
    <row r="20" spans="1:10" hidden="1" x14ac:dyDescent="0.2">
      <c r="A20" s="380"/>
      <c r="B20" s="738"/>
      <c r="C20" s="738"/>
      <c r="D20" s="738"/>
      <c r="E20" s="738"/>
      <c r="F20" s="738"/>
      <c r="G20" s="738"/>
      <c r="H20" s="738"/>
      <c r="I20" s="738"/>
      <c r="J20" s="738"/>
    </row>
    <row r="21" spans="1:10" hidden="1" x14ac:dyDescent="0.2">
      <c r="A21" s="380"/>
      <c r="B21" s="738"/>
      <c r="C21" s="738"/>
      <c r="D21" s="738"/>
      <c r="E21" s="738"/>
      <c r="F21" s="738"/>
      <c r="G21" s="738"/>
      <c r="H21" s="738"/>
      <c r="I21" s="738"/>
      <c r="J21" s="738"/>
    </row>
    <row r="22" spans="1:10" hidden="1" x14ac:dyDescent="0.2">
      <c r="A22" s="380"/>
      <c r="B22" s="738"/>
      <c r="C22" s="738"/>
      <c r="D22" s="738"/>
      <c r="E22" s="738"/>
      <c r="F22" s="738"/>
      <c r="G22" s="738"/>
      <c r="H22" s="738"/>
      <c r="I22" s="738"/>
      <c r="J22" s="738"/>
    </row>
    <row r="23" spans="1:10" x14ac:dyDescent="0.2">
      <c r="A23" s="380" t="s">
        <v>443</v>
      </c>
      <c r="B23" s="736">
        <v>63047600</v>
      </c>
      <c r="C23" s="738">
        <v>3500040</v>
      </c>
      <c r="D23" s="738">
        <v>0</v>
      </c>
      <c r="E23" s="737">
        <f>+C23+B23</f>
        <v>66547640</v>
      </c>
      <c r="F23" s="738">
        <v>0</v>
      </c>
      <c r="G23" s="738">
        <v>0</v>
      </c>
      <c r="H23" s="738">
        <v>0</v>
      </c>
      <c r="I23" s="738">
        <v>0</v>
      </c>
      <c r="J23" s="738">
        <f>+E23</f>
        <v>66547640</v>
      </c>
    </row>
    <row r="24" spans="1:10" x14ac:dyDescent="0.2">
      <c r="A24" s="567" t="s">
        <v>359</v>
      </c>
      <c r="B24" s="739">
        <f>SUM(B18:B23)</f>
        <v>827654440</v>
      </c>
      <c r="C24" s="739">
        <f t="shared" ref="C24:J24" si="0">SUM(C18:C23)</f>
        <v>721819570</v>
      </c>
      <c r="D24" s="739">
        <f t="shared" si="0"/>
        <v>0</v>
      </c>
      <c r="E24" s="739">
        <f>SUM(E18:E23)</f>
        <v>1549474010</v>
      </c>
      <c r="F24" s="739">
        <f t="shared" si="0"/>
        <v>33890931</v>
      </c>
      <c r="G24" s="739">
        <f t="shared" si="0"/>
        <v>0</v>
      </c>
      <c r="H24" s="739">
        <f t="shared" si="0"/>
        <v>0</v>
      </c>
      <c r="I24" s="739">
        <f t="shared" si="0"/>
        <v>33890931</v>
      </c>
      <c r="J24" s="739">
        <f t="shared" si="0"/>
        <v>1515583079</v>
      </c>
    </row>
    <row r="25" spans="1:10" x14ac:dyDescent="0.2">
      <c r="A25" s="566" t="s">
        <v>312</v>
      </c>
      <c r="B25" s="739">
        <v>144616816</v>
      </c>
      <c r="C25" s="739">
        <v>683037624</v>
      </c>
      <c r="D25" s="739" t="s">
        <v>360</v>
      </c>
      <c r="E25" s="739">
        <f>+C25+B25</f>
        <v>827654440</v>
      </c>
      <c r="F25" s="739">
        <v>33890931</v>
      </c>
      <c r="G25" s="739" t="s">
        <v>360</v>
      </c>
      <c r="H25" s="739" t="s">
        <v>360</v>
      </c>
      <c r="I25" s="739">
        <f>+F25</f>
        <v>33890931</v>
      </c>
      <c r="J25" s="739">
        <f>+E25-I25</f>
        <v>793763509</v>
      </c>
    </row>
    <row r="26" spans="1:10" x14ac:dyDescent="0.2">
      <c r="B26" s="196" t="s">
        <v>10</v>
      </c>
    </row>
    <row r="31" spans="1:10" s="564" customFormat="1" ht="18" x14ac:dyDescent="0.25">
      <c r="A31" s="564" t="s">
        <v>165</v>
      </c>
      <c r="J31" s="565"/>
    </row>
    <row r="34" spans="1:9" ht="13.5" x14ac:dyDescent="0.25">
      <c r="A34" s="751" t="s">
        <v>321</v>
      </c>
      <c r="B34" s="751"/>
      <c r="E34" s="771" t="s">
        <v>322</v>
      </c>
      <c r="F34" s="771"/>
      <c r="G34" s="76"/>
      <c r="H34" s="751" t="s">
        <v>323</v>
      </c>
      <c r="I34" s="751"/>
    </row>
    <row r="35" spans="1:9" x14ac:dyDescent="0.2">
      <c r="A35" s="757" t="s">
        <v>141</v>
      </c>
      <c r="B35" s="757"/>
      <c r="E35" s="756" t="s">
        <v>376</v>
      </c>
      <c r="F35" s="756"/>
      <c r="G35" s="148"/>
      <c r="H35" s="757" t="s">
        <v>127</v>
      </c>
      <c r="I35" s="757"/>
    </row>
  </sheetData>
  <mergeCells count="9">
    <mergeCell ref="A1:J1"/>
    <mergeCell ref="A2:J2"/>
    <mergeCell ref="A3:J3"/>
    <mergeCell ref="A35:B35"/>
    <mergeCell ref="E35:F35"/>
    <mergeCell ref="H35:I35"/>
    <mergeCell ref="A34:B34"/>
    <mergeCell ref="E34:F34"/>
    <mergeCell ref="H34:I34"/>
  </mergeCells>
  <printOptions gridLinesSet="0"/>
  <pageMargins left="0.9055118110236221" right="1.4566929133858268" top="1.5748031496062993" bottom="1.1811023622047245" header="0.51181102362204722" footer="1.1023622047244095"/>
  <pageSetup scale="80" orientation="landscape" horizontalDpi="300" verticalDpi="300" r:id="rId1"/>
  <headerFooter alignWithMargins="0">
    <oddFooter>&amp;C&amp;12 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B8A33-503A-4CA0-B96C-2A8C39EECB30}">
  <dimension ref="A1:M40"/>
  <sheetViews>
    <sheetView showGridLines="0" zoomScale="70" zoomScaleNormal="70" workbookViewId="0">
      <selection activeCell="A3" sqref="A3:M3"/>
    </sheetView>
  </sheetViews>
  <sheetFormatPr baseColWidth="10" defaultColWidth="11.42578125" defaultRowHeight="12.75" x14ac:dyDescent="0.2"/>
  <cols>
    <col min="1" max="1" width="34.28515625" style="196" customWidth="1"/>
    <col min="2" max="2" width="10" style="196" customWidth="1"/>
    <col min="3" max="3" width="11.28515625" style="196" customWidth="1"/>
    <col min="4" max="4" width="12.5703125" style="196" customWidth="1"/>
    <col min="5" max="5" width="12.140625" style="196" customWidth="1"/>
    <col min="6" max="6" width="16.5703125" style="196" customWidth="1"/>
    <col min="7" max="7" width="11.5703125" style="196" customWidth="1"/>
    <col min="8" max="8" width="14.85546875" style="196" customWidth="1"/>
    <col min="9" max="9" width="15.5703125" style="196" customWidth="1"/>
    <col min="10" max="10" width="13" style="196" customWidth="1"/>
    <col min="11" max="11" width="13.140625" style="196" customWidth="1"/>
    <col min="12" max="12" width="13.5703125" style="196" customWidth="1"/>
    <col min="13" max="13" width="23.28515625" style="196" bestFit="1" customWidth="1"/>
    <col min="14" max="16384" width="11.42578125" style="196"/>
  </cols>
  <sheetData>
    <row r="1" spans="1:13" ht="16.5" x14ac:dyDescent="0.25">
      <c r="A1" s="755" t="s">
        <v>324</v>
      </c>
      <c r="B1" s="755"/>
      <c r="C1" s="755"/>
      <c r="D1" s="755"/>
      <c r="E1" s="755"/>
      <c r="F1" s="755"/>
      <c r="G1" s="755"/>
      <c r="H1" s="755"/>
      <c r="I1" s="755"/>
      <c r="J1" s="755"/>
      <c r="K1" s="755"/>
      <c r="L1" s="755"/>
      <c r="M1" s="755"/>
    </row>
    <row r="2" spans="1:13" ht="16.5" x14ac:dyDescent="0.25">
      <c r="A2" s="755" t="s">
        <v>325</v>
      </c>
      <c r="B2" s="755"/>
      <c r="C2" s="755"/>
      <c r="D2" s="755"/>
      <c r="E2" s="755"/>
      <c r="F2" s="755"/>
      <c r="G2" s="755"/>
      <c r="H2" s="755"/>
      <c r="I2" s="755"/>
      <c r="J2" s="755"/>
      <c r="K2" s="755"/>
      <c r="L2" s="755"/>
      <c r="M2" s="755"/>
    </row>
    <row r="3" spans="1:13" ht="16.5" x14ac:dyDescent="0.25">
      <c r="A3" s="755" t="s">
        <v>9</v>
      </c>
      <c r="B3" s="755"/>
      <c r="C3" s="755"/>
      <c r="D3" s="755"/>
      <c r="E3" s="755"/>
      <c r="F3" s="755"/>
      <c r="G3" s="755"/>
      <c r="H3" s="755"/>
      <c r="I3" s="755"/>
      <c r="J3" s="755"/>
      <c r="K3" s="755"/>
      <c r="L3" s="755"/>
      <c r="M3" s="755"/>
    </row>
    <row r="4" spans="1:13" s="615" customFormat="1" ht="18" x14ac:dyDescent="0.25">
      <c r="A4" s="616"/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</row>
    <row r="5" spans="1:13" s="615" customFormat="1" ht="18" x14ac:dyDescent="0.25">
      <c r="A5" s="616" t="s">
        <v>30</v>
      </c>
      <c r="B5" s="616"/>
      <c r="C5" s="616"/>
      <c r="D5" s="616"/>
      <c r="E5" s="616"/>
      <c r="F5" s="616"/>
      <c r="G5" s="616"/>
      <c r="H5" s="616"/>
      <c r="I5" s="616"/>
      <c r="J5" s="616"/>
      <c r="K5" s="616"/>
      <c r="L5" s="616"/>
      <c r="M5" s="616"/>
    </row>
    <row r="6" spans="1:13" s="615" customFormat="1" ht="18" x14ac:dyDescent="0.25">
      <c r="A6" s="616" t="s">
        <v>31</v>
      </c>
      <c r="B6" s="616"/>
      <c r="C6" s="616"/>
      <c r="D6" s="616"/>
      <c r="E6" s="616"/>
      <c r="F6" s="616"/>
      <c r="G6" s="616"/>
      <c r="H6" s="616"/>
      <c r="I6" s="616"/>
      <c r="J6" s="616"/>
      <c r="K6" s="616"/>
      <c r="L6" s="616"/>
      <c r="M6" s="616"/>
    </row>
    <row r="7" spans="1:13" s="615" customFormat="1" ht="18" x14ac:dyDescent="0.25">
      <c r="A7" s="616"/>
      <c r="B7" s="616"/>
      <c r="C7" s="616"/>
      <c r="D7" s="616"/>
      <c r="E7" s="616"/>
      <c r="F7" s="616"/>
      <c r="G7" s="616"/>
      <c r="H7" s="616"/>
      <c r="I7" s="616"/>
      <c r="J7" s="616"/>
      <c r="K7" s="616"/>
      <c r="L7" s="616"/>
      <c r="M7" s="616"/>
    </row>
    <row r="8" spans="1:13" s="615" customFormat="1" ht="18" x14ac:dyDescent="0.25">
      <c r="A8" s="616"/>
      <c r="B8" s="616"/>
      <c r="C8" s="616"/>
      <c r="D8" s="616"/>
      <c r="E8" s="616"/>
      <c r="F8" s="616"/>
      <c r="G8" s="616"/>
      <c r="H8" s="616"/>
      <c r="I8" s="616"/>
      <c r="J8" s="616"/>
      <c r="K8" s="616"/>
      <c r="L8" s="616"/>
      <c r="M8" s="616"/>
    </row>
    <row r="9" spans="1:13" ht="18" x14ac:dyDescent="0.25">
      <c r="A9" s="492"/>
      <c r="B9" s="492"/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614" t="s">
        <v>32</v>
      </c>
    </row>
    <row r="10" spans="1:13" x14ac:dyDescent="0.2">
      <c r="A10" s="492"/>
      <c r="B10" s="492"/>
      <c r="C10" s="492"/>
      <c r="D10" s="492"/>
      <c r="E10" s="492"/>
      <c r="F10" s="492"/>
      <c r="G10" s="492"/>
      <c r="H10" s="492"/>
      <c r="I10" s="492"/>
      <c r="J10" s="492"/>
      <c r="K10" s="492"/>
      <c r="L10" s="492"/>
      <c r="M10" s="492"/>
    </row>
    <row r="11" spans="1:13" ht="15.75" x14ac:dyDescent="0.25">
      <c r="A11" s="607"/>
      <c r="B11" s="613"/>
      <c r="C11" s="607"/>
      <c r="D11" s="613"/>
      <c r="E11" s="607"/>
      <c r="F11" s="613"/>
      <c r="G11" s="607"/>
      <c r="H11" s="607"/>
      <c r="I11" s="611" t="s">
        <v>33</v>
      </c>
      <c r="J11" s="612"/>
      <c r="K11" s="612"/>
      <c r="L11" s="612"/>
      <c r="M11" s="610"/>
    </row>
    <row r="12" spans="1:13" ht="15.75" x14ac:dyDescent="0.25">
      <c r="A12" s="609" t="s">
        <v>374</v>
      </c>
      <c r="B12" s="608" t="s">
        <v>34</v>
      </c>
      <c r="C12" s="609" t="s">
        <v>35</v>
      </c>
      <c r="D12" s="608" t="s">
        <v>36</v>
      </c>
      <c r="E12" s="609" t="s">
        <v>35</v>
      </c>
      <c r="F12" s="608" t="s">
        <v>35</v>
      </c>
      <c r="G12" s="609" t="s">
        <v>35</v>
      </c>
      <c r="H12" s="609" t="s">
        <v>35</v>
      </c>
      <c r="I12" s="608" t="s">
        <v>355</v>
      </c>
      <c r="J12" s="607" t="s">
        <v>373</v>
      </c>
      <c r="K12" s="608" t="s">
        <v>163</v>
      </c>
      <c r="L12" s="611" t="s">
        <v>372</v>
      </c>
      <c r="M12" s="610"/>
    </row>
    <row r="13" spans="1:13" ht="15.75" x14ac:dyDescent="0.25">
      <c r="A13" s="609" t="s">
        <v>371</v>
      </c>
      <c r="B13" s="608"/>
      <c r="C13" s="609" t="s">
        <v>37</v>
      </c>
      <c r="D13" s="608"/>
      <c r="E13" s="609" t="s">
        <v>37</v>
      </c>
      <c r="F13" s="608" t="s">
        <v>370</v>
      </c>
      <c r="G13" s="609" t="s">
        <v>369</v>
      </c>
      <c r="H13" s="609" t="s">
        <v>369</v>
      </c>
      <c r="I13" s="608" t="s">
        <v>369</v>
      </c>
      <c r="J13" s="609" t="s">
        <v>368</v>
      </c>
      <c r="K13" s="608"/>
      <c r="L13" s="607"/>
      <c r="M13" s="606"/>
    </row>
    <row r="14" spans="1:13" ht="15.75" x14ac:dyDescent="0.25">
      <c r="A14" s="603" t="s">
        <v>367</v>
      </c>
      <c r="B14" s="605"/>
      <c r="C14" s="603" t="s">
        <v>38</v>
      </c>
      <c r="D14" s="604"/>
      <c r="E14" s="603" t="s">
        <v>39</v>
      </c>
      <c r="F14" s="604" t="s">
        <v>366</v>
      </c>
      <c r="G14" s="603" t="s">
        <v>365</v>
      </c>
      <c r="H14" s="603" t="s">
        <v>40</v>
      </c>
      <c r="I14" s="604" t="s">
        <v>364</v>
      </c>
      <c r="J14" s="603"/>
      <c r="K14" s="604"/>
      <c r="L14" s="603" t="s">
        <v>41</v>
      </c>
      <c r="M14" s="602" t="s">
        <v>363</v>
      </c>
    </row>
    <row r="15" spans="1:13" ht="15.75" x14ac:dyDescent="0.25">
      <c r="A15" s="601"/>
      <c r="B15" s="600"/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600"/>
    </row>
    <row r="16" spans="1:13" ht="15.75" x14ac:dyDescent="0.25">
      <c r="A16" s="597"/>
      <c r="B16" s="594"/>
      <c r="C16" s="594"/>
      <c r="D16" s="594"/>
      <c r="E16" s="594"/>
      <c r="F16" s="594"/>
      <c r="G16" s="594"/>
      <c r="H16" s="594"/>
      <c r="I16" s="594"/>
      <c r="J16" s="594"/>
      <c r="K16" s="594"/>
      <c r="L16" s="594"/>
      <c r="M16" s="594"/>
    </row>
    <row r="17" spans="1:13" ht="15.75" x14ac:dyDescent="0.25">
      <c r="A17" s="597" t="s">
        <v>362</v>
      </c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</row>
    <row r="18" spans="1:13" ht="15.75" x14ac:dyDescent="0.25">
      <c r="A18" s="597" t="s">
        <v>361</v>
      </c>
      <c r="B18" s="594"/>
      <c r="C18" s="594"/>
      <c r="D18" s="594"/>
      <c r="E18" s="599" t="s">
        <v>42</v>
      </c>
      <c r="F18" s="598"/>
      <c r="G18" s="594"/>
      <c r="H18" s="594"/>
      <c r="I18" s="594"/>
      <c r="J18" s="594"/>
      <c r="K18" s="594"/>
      <c r="L18" s="594"/>
      <c r="M18" s="594"/>
    </row>
    <row r="19" spans="1:13" ht="15.75" x14ac:dyDescent="0.25">
      <c r="A19" s="597" t="s">
        <v>43</v>
      </c>
      <c r="B19" s="594"/>
      <c r="C19" s="594"/>
      <c r="D19" s="594"/>
      <c r="E19" s="594"/>
      <c r="F19" s="594"/>
      <c r="G19" s="594"/>
      <c r="H19" s="594"/>
      <c r="I19" s="594"/>
      <c r="J19" s="594"/>
      <c r="K19" s="594"/>
      <c r="L19" s="594"/>
      <c r="M19" s="594"/>
    </row>
    <row r="20" spans="1:13" ht="15.75" x14ac:dyDescent="0.25">
      <c r="A20" s="597"/>
      <c r="B20" s="594"/>
      <c r="C20" s="594"/>
      <c r="D20" s="594"/>
      <c r="E20" s="594"/>
      <c r="F20" s="594"/>
      <c r="G20" s="594"/>
      <c r="H20" s="594"/>
      <c r="I20" s="594"/>
      <c r="J20" s="594"/>
      <c r="K20" s="594"/>
      <c r="L20" s="594"/>
      <c r="M20" s="594"/>
    </row>
    <row r="21" spans="1:13" ht="15.75" x14ac:dyDescent="0.25">
      <c r="A21" s="597"/>
      <c r="B21" s="594"/>
      <c r="C21" s="594"/>
      <c r="D21" s="594"/>
      <c r="E21" s="594"/>
      <c r="F21" s="594"/>
      <c r="G21" s="594"/>
      <c r="H21" s="594"/>
      <c r="I21" s="594"/>
      <c r="J21" s="594"/>
      <c r="K21" s="594"/>
      <c r="L21" s="594"/>
      <c r="M21" s="594"/>
    </row>
    <row r="22" spans="1:13" ht="15.75" x14ac:dyDescent="0.25">
      <c r="A22" s="595"/>
      <c r="B22" s="596"/>
      <c r="C22" s="596"/>
      <c r="D22" s="596"/>
      <c r="E22" s="596"/>
      <c r="F22" s="596"/>
      <c r="G22" s="596"/>
      <c r="H22" s="596"/>
      <c r="I22" s="596"/>
      <c r="J22" s="596"/>
      <c r="K22" s="596"/>
      <c r="L22" s="596"/>
      <c r="M22" s="596"/>
    </row>
    <row r="23" spans="1:13" ht="15.75" x14ac:dyDescent="0.25">
      <c r="A23" s="618" t="s">
        <v>359</v>
      </c>
      <c r="B23" s="204"/>
      <c r="C23" s="594"/>
      <c r="D23" s="594"/>
      <c r="E23" s="594"/>
      <c r="F23" s="594"/>
      <c r="G23" s="592"/>
      <c r="H23" s="594"/>
      <c r="I23" s="594"/>
      <c r="J23" s="594"/>
      <c r="K23" s="594"/>
      <c r="L23" s="594"/>
      <c r="M23" s="594"/>
    </row>
    <row r="24" spans="1:13" ht="15.75" x14ac:dyDescent="0.25">
      <c r="A24" s="619" t="s">
        <v>312</v>
      </c>
      <c r="B24" s="593"/>
      <c r="C24" s="592"/>
      <c r="D24" s="592"/>
      <c r="E24" s="592"/>
      <c r="F24" s="592"/>
      <c r="G24" s="592"/>
      <c r="H24" s="592"/>
      <c r="I24" s="592"/>
      <c r="J24" s="592"/>
      <c r="K24" s="592"/>
      <c r="L24" s="592"/>
      <c r="M24" s="592"/>
    </row>
    <row r="30" spans="1:13" s="590" customFormat="1" ht="20.25" x14ac:dyDescent="0.3">
      <c r="A30" s="564" t="s">
        <v>165</v>
      </c>
      <c r="J30" s="591"/>
      <c r="K30" s="591"/>
    </row>
    <row r="39" spans="1:9" ht="13.5" x14ac:dyDescent="0.25">
      <c r="A39" s="751" t="s">
        <v>321</v>
      </c>
      <c r="B39" s="751"/>
      <c r="E39" s="771" t="s">
        <v>322</v>
      </c>
      <c r="F39" s="771"/>
      <c r="G39" s="76"/>
      <c r="H39" s="751" t="s">
        <v>323</v>
      </c>
      <c r="I39" s="751"/>
    </row>
    <row r="40" spans="1:9" x14ac:dyDescent="0.2">
      <c r="A40" s="757" t="s">
        <v>141</v>
      </c>
      <c r="B40" s="757"/>
      <c r="E40" s="756" t="s">
        <v>376</v>
      </c>
      <c r="F40" s="756"/>
      <c r="G40" s="148"/>
      <c r="H40" s="757" t="s">
        <v>127</v>
      </c>
      <c r="I40" s="757"/>
    </row>
  </sheetData>
  <mergeCells count="9">
    <mergeCell ref="A1:M1"/>
    <mergeCell ref="A2:M2"/>
    <mergeCell ref="A3:M3"/>
    <mergeCell ref="A40:B40"/>
    <mergeCell ref="E40:F40"/>
    <mergeCell ref="H40:I40"/>
    <mergeCell ref="A39:B39"/>
    <mergeCell ref="E39:F39"/>
    <mergeCell ref="H39:I39"/>
  </mergeCells>
  <printOptions gridLinesSet="0"/>
  <pageMargins left="0.9055118110236221" right="1.4566929133858268" top="1.5748031496062993" bottom="1.1811023622047245" header="0.51181102362204722" footer="1.4960629921259843"/>
  <pageSetup scale="55" orientation="landscape" horizontalDpi="300" verticalDpi="300" r:id="rId1"/>
  <headerFooter alignWithMargins="0">
    <oddFooter>&amp;C21</oddFooter>
  </headerFooter>
</worksheet>
</file>

<file path=_xmlsignatures/_rels/origin.sigs.rels><?xml version="1.0" encoding="UTF-8" standalone="yes"?>
<Relationships xmlns="http://schemas.openxmlformats.org/package/2006/relationships"><Relationship Id="rId3" Type="http://schemas.openxmlformats.org/package/2006/relationships/digital-signature/signature" Target="sig3.xml"/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L7VG1Wx8lmSgvT1/GmMgCsy+BbSvW0IexLTznriGodE=</DigestValue>
    </Reference>
    <Reference Type="http://www.w3.org/2000/09/xmldsig#Object" URI="#idOfficeObject">
      <DigestMethod Algorithm="http://www.w3.org/2001/04/xmlenc#sha256"/>
      <DigestValue>Yhjl4bI9QhZix6U4/qlAQIoLZrNptqVSHBUFjAks7ik=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7kCbY+wBCTp7PSamnj6EsUnPxEEOxKA2weVe5x/uZMc=</DigestValue>
    </Reference>
    <Reference Type="http://www.w3.org/2000/09/xmldsig#Object" URI="#idValidSigLnImg">
      <DigestMethod Algorithm="http://www.w3.org/2001/04/xmlenc#sha256"/>
      <DigestValue>VTfaIIBi7UybO/mh3k9Eszf2IDIUL2SclNrmiPZ68aQ=</DigestValue>
    </Reference>
    <Reference Type="http://www.w3.org/2000/09/xmldsig#Object" URI="#idInvalidSigLnImg">
      <DigestMethod Algorithm="http://www.w3.org/2001/04/xmlenc#sha256"/>
      <DigestValue>ZZZBqqe04XBRhoye76UhYzqTLnfQ1H7wM/SNpKqi8DQ=</DigestValue>
    </Reference>
  </SignedInfo>
  <SignatureValue>tczGzXipaCgiEsDDw3j40A5STONoC42rhVzsrCX9Jhyj3D70aqlYcAVsPKlYLhvGFmi9uvF9RcWk
f4Lx0ybBHQ4KYYL2t/SsFVqHsUP9HFbk2sidE4QtMa58VOzXq1021dYFClUPA6HpqAmujs7wDr6b
TOd4vzHJXlb4oW08cp6bj3VYgZFbyO2ejRnEvzRS8bX5qYdTCrqlGFLd7kdJtCnZrcVSw94GSwWF
9Qqj96Q0zg3xzwpqcJ1+FWdykuYAoRzSobRgBKrxfL+Ij5yg96w7MxEFtabGBSKXqdPYSb9ymSP7
Z0DcvV1+UTzlh2RZjsB3vVST+fxqsqyRVJW6hA==</SignatureValue>
  <KeyInfo>
    <X509Data>
      <X509Certificate>MIIIATCCBemgAwIBAgITXAAABR21XZ6t/WfhNwAAAAAFHTANBgkqhkiG9w0BAQsFADBXMRcwFQYDVQQFEw5SVUMgODAwODA2MTAtNzEVMBMGA1UEChMMQ09ERTEwMCBTLkEuMQswCQYDVQQGEwJQWTEYMBYGA1UEAxMPQ0EtQ09ERTEwMCBTLkEuMB4XDTE3MTIyOTEzMDkwOVoXDTE5MTIyOTEzMTkwOVowgaYxJjAkBgNVBAMTHU5PUkRBSEwgT1NXQUxETyBTSUVNRU5TIEVXRVJUMRcwFQYDVQQKEw5QRVJTT05BIEZJU0lDQTELMAkGA1UEBhMCUFkxGDAWBgNVBCoTD05PUkRBSEwgT1NXQUxETzEWMBQGA1UEBBMNU0lFTUVOUyBFV0VSVDERMA8GA1UEBRMIQ0k2NTk1MDkxETAPBgNVBAsTCEZJUk1BIEYyMIIBIjANBgkqhkiG9w0BAQEFAAOCAQ8AMIIBCgKCAQEAto+mGf2uzR0kGCgI1PMKP9cxBAfb9ctShgRkgD1F0sr8/vM4Ezeb5Oat9s+bZd/gfTEDkYP7Lj849rSr1WMW+8POTZW7aVZb4wYfpdxg1kLnXuKCbnGuRejloxcgMBPkE0G8vL5w5M+2F6yHogFTuglJhkJfvWQ1MJa4ZNtd2eeVBBiTEU6yDdULFq8mmqNn7aqMtPXcqKfJERhOs8Rpd6NoAQo+8gZpEfXxB4KbZU+EpjXziGvMWLpuc1h1wJDE2IOJ2EJpcImjm3ZD6AEwC/e5m/oNtHK6pQWxh+AyNgMjGyToDVLiEabbfNakSId5krecVlA68B7OFML9+L9qhQIDAQABo4IDdDCCA3AwDgYDVR0PAQH/BAQDAgXgMAwGA1UdEwEB/wQCMAAwEwYDVR0lBAwwCgYIKwYBBQUHAwQwHQYDVR0OBBYEFHwD/tPQROIcVWFqVKNuslO1bWTnMB8GA1UdIwQYMBaAFCf22jsLf5P4WRLQFapCz7KWlj1FMIGIBgNVHR8EgYAwfjB8oHqgeIY6aHR0cDovL2NhMS5jb2RlMTAwLmNvbS5weS9maXJtYS1kaWdpdGFsL2NybC9DQS1DT0RFMTAwLmNybIY6aHR0cDovL2NhMi5jb2RlMTAwLmNvbS5weS9maXJtYS1kaWdpdGFsL2NybC9DQS1DT0RFMTAwLmNybDCB+AYIKwYBBQUHAQEEgeswgegwRgYIKwYBBQUHMAKGOmh0dHA6Ly9jYTEuY29kZTEwMC5jb20ucHkvZmlybWEtZGlnaXRhbC9jZXIvQ0EtQ09ERTEwMC5jZXIwRgYIKwYBBQUHMAKGOmh0dHA6Ly9jYTIuY29kZTEwMC5jb20ucHkvZmlybWEtZGlnaXRhbC9jZXIvQ0EtQ09ERTEwMC5jZXIwKgYIKwYBBQUHMAGGHmh0dHA6Ly9jYTEuY29kZTEwMC5jb20ucHkvb2NzcDAqBggrBgEFBQcwAYYeaHR0cDovL2NhMi5jb2RlMTAwLmNvbS5weS9vY3NwMIIBTwYDVR0gBIIBRjCCAUIwggE+BgwrBgEEAYLZSgEBAQYwggEsMGwGCCsGAQUFBwIBFmBodHRwOi8vd3d3LmNvZGUxMDAuY29tLnB5L2Zpcm1hLWRpZ2l0YWwvQ09ERTEwMCUyMFBvbGl0aWNhJTIwZGUlMjBDZXJ0aWZpY2FjaW9uJTIwRjIlMjB2Mi4wLnBkZgAwZgYIKwYBBQUHAgIwWh5YAFAAbwBsAGkAdABpAGMAYQAgAGQAZQAgAGMAZQByAHQAaQBmAGkAYwBhAGMAaQBvAG4AIABGADIAIABkAGUAIABDAG8AZABlADEAMAAwACAAUwAuAEEALjBUBggrBgEFBQcCAjBIHkYAQwBvAGQAZQAgADEAMAAwACAAUwAuAEEALgAgAEMAZQByAHQAaQBmAGkAYwBhAHQAZQAgAFAAbwBsAGkAYwB5ACAARgAyMCIGA1UdEQQbMBmBF2phY29zdGFAYXRsYW50aWMuY29tLnB5MA0GCSqGSIb3DQEBCwUAA4ICAQBjE+Xk9kQQkPN6IJTBT+1tugutwhPuwvosPzlUlcXuwagWnzR0EKazt4s1rBWm5L4uxAP52Ex0zMoo1YV0cEad89Qu1ysEqslzMDs+O9BIAISIMatu6PHGHFOWrJ3UzugXPC2RMMooZYbjs5xSkRGNLQWTsICw175QLoWwHd1YgfUJ2KPo0ZDoV7if4loiK3MgBFbsHzQL6CSm2wW42y21WSxHPWmvifPu8Y4Mr99qpqpsO2Ka7MaYf0Y+LKngOr7kfiiP3m1WbCGVoRnNOP6eT/OxofbCGBcKPFWw8KmGUZk7uo2Hl1H1y8F8351D7HcwKSLgIDy6YOtFBkdtJZuC0h4hihfgsO6kPKHWJ7gcrjXwnfJ0ZwRnXVb7Dep+AgJuZyXkIfY1yUWbJ6Q/w6c29JkxsKzRdmYqLdiQMtXRg7RmL92DOHH8tUOTIaluLTpCjyCGBVGN2AuNftwBs81zMMV4To4/jiAiJo1m8kivZjtGpIqjvRg/+WpN4pMBjiwFYoaQKZS8TkhmdURvbdZPxTCuyoTFyNh2GLeRRtmf+di0AWkSs3DtcEq0iNY5dPQgWfO9Y4+VCIMhH00mbUYBiXvLWlBvP31s/seyzE1mEtfh87pvCxFXj7OsbZ2qvIgPJl9FabAc6OTJUD2VG4R/hjJAyaq9R8DiWOVZrgFzJ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</Transform>
          <Transform Algorithm="http://www.w3.org/TR/2001/REC-xml-c14n-20010315"/>
        </Transforms>
        <DigestMethod Algorithm="http://www.w3.org/2001/04/xmlenc#sha256"/>
        <DigestValue>wSI3zEpV7yIVEA0ki9RxGMIf6M5fEUm6iyRk/pfTaR8=</DigestValue>
      </Reference>
      <Reference URI="/xl/calcChain.xml?ContentType=application/vnd.openxmlformats-officedocument.spreadsheetml.calcChain+xml">
        <DigestMethod Algorithm="http://www.w3.org/2001/04/xmlenc#sha256"/>
        <DigestValue>IcL+xNN0dm+/wnirCvAhnIAXotEegtSQ9YtjUd3085w=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YHVu9mfH7V1ojJZZGe0raSx5xHTqsPuldcEKZklKsN8=</DigestValue>
      </Reference>
      <Reference URI="/xl/drawings/drawing1.xml?ContentType=application/vnd.openxmlformats-officedocument.drawing+xml">
        <DigestMethod Algorithm="http://www.w3.org/2001/04/xmlenc#sha256"/>
        <DigestValue>7sRuOdnO1WGPdzTLpgPZvQWpgYAKw4gF6xK1JwoGMs0=</DigestValue>
      </Reference>
      <Reference URI="/xl/drawings/drawing2.xml?ContentType=application/vnd.openxmlformats-officedocument.drawing+xml">
        <DigestMethod Algorithm="http://www.w3.org/2001/04/xmlenc#sha256"/>
        <DigestValue>AK4mvgFtnNsz65V6zrLzQo41W/dpL18KNUsgHrf0WpA=</DigestValue>
      </Reference>
      <Reference URI="/xl/drawings/drawing3.xml?ContentType=application/vnd.openxmlformats-officedocument.drawing+xml">
        <DigestMethod Algorithm="http://www.w3.org/2001/04/xmlenc#sha256"/>
        <DigestValue>eudCPqkdeZLfsjz6Sc5VOshwAW7szeMCkK47Ew5+Nto=</DigestValue>
      </Reference>
      <Reference URI="/xl/drawings/drawing4.xml?ContentType=application/vnd.openxmlformats-officedocument.drawing+xml">
        <DigestMethod Algorithm="http://www.w3.org/2001/04/xmlenc#sha256"/>
        <DigestValue>B1IauihWRvMFSm25Lzczu/QqWHjtyi040G0SGMvsaaw=</DigestValue>
      </Reference>
      <Reference URI="/xl/drawings/vmlDrawing1.vml?ContentType=application/vnd.openxmlformats-officedocument.vmlDrawing">
        <DigestMethod Algorithm="http://www.w3.org/2001/04/xmlenc#sha256"/>
        <DigestValue>3ZDx8XFQUZWHRhLflekwvMmXcTCPnmd87w+CF/jaXeU=</DigestValue>
      </Reference>
      <Reference URI="/xl/media/image1.emf?ContentType=image/x-emf">
        <DigestMethod Algorithm="http://www.w3.org/2001/04/xmlenc#sha256"/>
        <DigestValue>Hg2NPVRJLm+vtdXoieI4Fy0Y2BmZubJMdH/qp3WTkvU=</DigestValue>
      </Reference>
      <Reference URI="/xl/media/image2.emf?ContentType=image/x-emf">
        <DigestMethod Algorithm="http://www.w3.org/2001/04/xmlenc#sha256"/>
        <DigestValue>be+o1oa2MmUOToa11nnpgqEQC4RY2cWQoqu9f0zWITQ=</DigestValue>
      </Reference>
      <Reference URI="/xl/media/image3.emf?ContentType=image/x-emf">
        <DigestMethod Algorithm="http://www.w3.org/2001/04/xmlenc#sha256"/>
        <DigestValue>xMWihlhfsBs6CKC2cPYcw7e0DCAFecIX4MRNISDlChA=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BcOKdJjQFTLcZoDA2ywIaz5X318xjprn8X7GiIbkvGg=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X38JB50a85/5nQfyv3KVxfwoGGcCao4f1u0WEJAZcgc=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X38JB50a85/5nQfyv3KVxfwoGGcCao4f1u0WEJAZcgc=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tpgp+JTDhs7rEUH4kdeM1wg+sZnZqvqeLKblVnQyUMs=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BcOKdJjQFTLcZoDA2ywIaz5X318xjprn8X7GiIbkvGg=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X38JB50a85/5nQfyv3KVxfwoGGcCao4f1u0WEJAZcgc=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UOGwlsdJmqa5vEDgMKFCJitpNFxyudtlzQKWMEsaTKY=</DigestValue>
      </Reference>
      <Reference URI="/xl/printerSettings/printerSettings16.bin?ContentType=application/vnd.openxmlformats-officedocument.spreadsheetml.printerSettings">
        <DigestMethod Algorithm="http://www.w3.org/2001/04/xmlenc#sha256"/>
        <DigestValue>BcOKdJjQFTLcZoDA2ywIaz5X318xjprn8X7GiIbkvGg=</DigestValue>
      </Reference>
      <Reference URI="/xl/printerSettings/printerSettings17.bin?ContentType=application/vnd.openxmlformats-officedocument.spreadsheetml.printerSettings">
        <DigestMethod Algorithm="http://www.w3.org/2001/04/xmlenc#sha256"/>
        <DigestValue>nB6CUlVamfiedg1llGQojU2ihy3txY4KUL6Xc/7BiI4=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wMWdxoIl1KhZYguEUIV9iR7byuphXnQjQjaOTHcC1pc=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BcOKdJjQFTLcZoDA2ywIaz5X318xjprn8X7GiIbkvGg=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X38JB50a85/5nQfyv3KVxfwoGGcCao4f1u0WEJAZcgc=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OSslcZbE6GsJMUSN4TnS7t89zWvmqUu25dsTkfrCYNo=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X38JB50a85/5nQfyv3KVxfwoGGcCao4f1u0WEJAZcgc=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xmL/yE5+p1zqn4DVmBRkN/y9BbAEHy6NSmqHYmhgNHg=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ipjyjIQYht/bImvL1tOD3BBTPcZAreKfAyWYqQYWkuk=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X38JB50a85/5nQfyv3KVxfwoGGcCao4f1u0WEJAZcgc=</DigestValue>
      </Reference>
      <Reference URI="/xl/sharedStrings.xml?ContentType=application/vnd.openxmlformats-officedocument.spreadsheetml.sharedStrings+xml">
        <DigestMethod Algorithm="http://www.w3.org/2001/04/xmlenc#sha256"/>
        <DigestValue>MPq3DkRy1ueqxFGIShWVuprZEq0yrAWaalyUs9B/Vcc=</DigestValue>
      </Reference>
      <Reference URI="/xl/styles.xml?ContentType=application/vnd.openxmlformats-officedocument.spreadsheetml.styles+xml">
        <DigestMethod Algorithm="http://www.w3.org/2001/04/xmlenc#sha256"/>
        <DigestValue>UmXrnAqxw9gbE4ds/vB3DqLpfxbBhVLRhhg7+zc83UM=</DigestValue>
      </Reference>
      <Reference URI="/xl/theme/theme1.xml?ContentType=application/vnd.openxmlformats-officedocument.theme+xml">
        <DigestMethod Algorithm="http://www.w3.org/2001/04/xmlenc#sha256"/>
        <DigestValue>IDbQ9NtjkpyEON80xiE6fnM770hSPmy9tt5N50j5+wQ=</DigestValue>
      </Reference>
      <Reference URI="/xl/workbook.xml?ContentType=application/vnd.openxmlformats-officedocument.spreadsheetml.sheet.main+xml">
        <DigestMethod Algorithm="http://www.w3.org/2001/04/xmlenc#sha256"/>
        <DigestValue>yObS5CrMEDsAsn6BvMLPHg+/zN66BLnQy+k1tJ7PNY4=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/24puvaW5bXuS+cktdpJpE35olfWZ1+6Lpxzh0chEvI=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Bmt1cHOQ7BGUQw4kVSHfuPeV+RDKlR9ppoKRcS8sORs=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a44YNjtiym0S9exNLLrYg/u0IjW9EHsUCQlLPMlbO/o=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Hpl/8vZnWESRHNUpQCHBpenrZ9hBbbx2QPfqFg6SZ8Y=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y+WpNtGIt12R9jLFTmLLn89fEeCDfd6tGhw18EoAHwU=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ch/7Fy21MMu+BePE7V2u7g75sbQp0A/Jxw0Bq56y7z8=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+xv39IL7tPpsXHT+vo405BfLsmjmbjvDNJ7rppqDbsg=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JZbKCRNAfpwQdinVAV3pEHpgAt9gI/5jZd7JqepBTcA=</DigestValue>
      </Reference>
      <Reference URI="/xl/worksheets/sheet10.xml?ContentType=application/vnd.openxmlformats-officedocument.spreadsheetml.worksheet+xml">
        <DigestMethod Algorithm="http://www.w3.org/2001/04/xmlenc#sha256"/>
        <DigestValue>wGnjruhfzoZanVSRyknVRhsjZrn5i0W171pgc1lsvcM=</DigestValue>
      </Reference>
      <Reference URI="/xl/worksheets/sheet11.xml?ContentType=application/vnd.openxmlformats-officedocument.spreadsheetml.worksheet+xml">
        <DigestMethod Algorithm="http://www.w3.org/2001/04/xmlenc#sha256"/>
        <DigestValue>1G7FNFF0zHIx7xjHKp737UssT8AUAZYljlQ9XuCd2QU=</DigestValue>
      </Reference>
      <Reference URI="/xl/worksheets/sheet12.xml?ContentType=application/vnd.openxmlformats-officedocument.spreadsheetml.worksheet+xml">
        <DigestMethod Algorithm="http://www.w3.org/2001/04/xmlenc#sha256"/>
        <DigestValue>XGwFNqDIH3X3KAyMi0BmTiT6s4FatxLUhiPw+pqGf2M=</DigestValue>
      </Reference>
      <Reference URI="/xl/worksheets/sheet13.xml?ContentType=application/vnd.openxmlformats-officedocument.spreadsheetml.worksheet+xml">
        <DigestMethod Algorithm="http://www.w3.org/2001/04/xmlenc#sha256"/>
        <DigestValue>p5URKNdNoRkPXcwrHb5XrMtYPdE+2cwTWeRAz6YD/v0=</DigestValue>
      </Reference>
      <Reference URI="/xl/worksheets/sheet14.xml?ContentType=application/vnd.openxmlformats-officedocument.spreadsheetml.worksheet+xml">
        <DigestMethod Algorithm="http://www.w3.org/2001/04/xmlenc#sha256"/>
        <DigestValue>sZ13RV/KjhQ87V8FEy4f/1PKaaYdlFTPWiUgoGZdLOc=</DigestValue>
      </Reference>
      <Reference URI="/xl/worksheets/sheet15.xml?ContentType=application/vnd.openxmlformats-officedocument.spreadsheetml.worksheet+xml">
        <DigestMethod Algorithm="http://www.w3.org/2001/04/xmlenc#sha256"/>
        <DigestValue>dnzQkX+5cILSrIMfCBQGBk8WTdSJ/R3kgUNJ5WnIt3A=</DigestValue>
      </Reference>
      <Reference URI="/xl/worksheets/sheet16.xml?ContentType=application/vnd.openxmlformats-officedocument.spreadsheetml.worksheet+xml">
        <DigestMethod Algorithm="http://www.w3.org/2001/04/xmlenc#sha256"/>
        <DigestValue>QEkV7tqHUOh2ie6IxtR1qqYiK/8ZiQ1T/mcdUywnRo4=</DigestValue>
      </Reference>
      <Reference URI="/xl/worksheets/sheet17.xml?ContentType=application/vnd.openxmlformats-officedocument.spreadsheetml.worksheet+xml">
        <DigestMethod Algorithm="http://www.w3.org/2001/04/xmlenc#sha256"/>
        <DigestValue>TxJoeZqpjYP7Ginl447FfjLhupKZEupE5q+oSaFdQMs=</DigestValue>
      </Reference>
      <Reference URI="/xl/worksheets/sheet18.xml?ContentType=application/vnd.openxmlformats-officedocument.spreadsheetml.worksheet+xml">
        <DigestMethod Algorithm="http://www.w3.org/2001/04/xmlenc#sha256"/>
        <DigestValue>feHw9c8s7CSIVlan29p7lcgZVKjRHhbIh+70vNre+6M=</DigestValue>
      </Reference>
      <Reference URI="/xl/worksheets/sheet19.xml?ContentType=application/vnd.openxmlformats-officedocument.spreadsheetml.worksheet+xml">
        <DigestMethod Algorithm="http://www.w3.org/2001/04/xmlenc#sha256"/>
        <DigestValue>RjKOj0xAR68DCbbgiE6DBf2kww8ZXjGMIDzonOPbAwo=</DigestValue>
      </Reference>
      <Reference URI="/xl/worksheets/sheet2.xml?ContentType=application/vnd.openxmlformats-officedocument.spreadsheetml.worksheet+xml">
        <DigestMethod Algorithm="http://www.w3.org/2001/04/xmlenc#sha256"/>
        <DigestValue>Kuh9wbs2kIrnEpuC2NlKTs/wsymR4ZZiRA7nttSWn/U=</DigestValue>
      </Reference>
      <Reference URI="/xl/worksheets/sheet20.xml?ContentType=application/vnd.openxmlformats-officedocument.spreadsheetml.worksheet+xml">
        <DigestMethod Algorithm="http://www.w3.org/2001/04/xmlenc#sha256"/>
        <DigestValue>VpQCBmMnx0ycx4up+Wbbg9KKprEWFeSjORUpTbyZpfg=</DigestValue>
      </Reference>
      <Reference URI="/xl/worksheets/sheet21.xml?ContentType=application/vnd.openxmlformats-officedocument.spreadsheetml.worksheet+xml">
        <DigestMethod Algorithm="http://www.w3.org/2001/04/xmlenc#sha256"/>
        <DigestValue>ewda4V35SUzUdD0yKqQQcuDJy8MM+DfcpsccpKtleXw=</DigestValue>
      </Reference>
      <Reference URI="/xl/worksheets/sheet22.xml?ContentType=application/vnd.openxmlformats-officedocument.spreadsheetml.worksheet+xml">
        <DigestMethod Algorithm="http://www.w3.org/2001/04/xmlenc#sha256"/>
        <DigestValue>gAzdBD0eCWWGcaE84NiGMqipBB1gJ+R5koJYUucBn0s=</DigestValue>
      </Reference>
      <Reference URI="/xl/worksheets/sheet23.xml?ContentType=application/vnd.openxmlformats-officedocument.spreadsheetml.worksheet+xml">
        <DigestMethod Algorithm="http://www.w3.org/2001/04/xmlenc#sha256"/>
        <DigestValue>Hm9S1YubuXiNmDC+XRlZlQ5OSp1rToaJsFlkv6+YUFk=</DigestValue>
      </Reference>
      <Reference URI="/xl/worksheets/sheet3.xml?ContentType=application/vnd.openxmlformats-officedocument.spreadsheetml.worksheet+xml">
        <DigestMethod Algorithm="http://www.w3.org/2001/04/xmlenc#sha256"/>
        <DigestValue>o2QGHJlMiQroUWSqpKeLDX4VlRHn3aX0a/BiLKnZ4g4=</DigestValue>
      </Reference>
      <Reference URI="/xl/worksheets/sheet4.xml?ContentType=application/vnd.openxmlformats-officedocument.spreadsheetml.worksheet+xml">
        <DigestMethod Algorithm="http://www.w3.org/2001/04/xmlenc#sha256"/>
        <DigestValue>+BEcvVRAWfKk6dpn0P7yu1gwbHg9+fPKOdOQ7DKr+ks=</DigestValue>
      </Reference>
      <Reference URI="/xl/worksheets/sheet5.xml?ContentType=application/vnd.openxmlformats-officedocument.spreadsheetml.worksheet+xml">
        <DigestMethod Algorithm="http://www.w3.org/2001/04/xmlenc#sha256"/>
        <DigestValue>ZV9oGbpRy952QnhUZltOgNkElghsTtgaPvmkIxGL+9c=</DigestValue>
      </Reference>
      <Reference URI="/xl/worksheets/sheet6.xml?ContentType=application/vnd.openxmlformats-officedocument.spreadsheetml.worksheet+xml">
        <DigestMethod Algorithm="http://www.w3.org/2001/04/xmlenc#sha256"/>
        <DigestValue>0j7cft+bigzKuVBr86qd7xuQvR6uuPM9p7nwd8r9Mgw=</DigestValue>
      </Reference>
      <Reference URI="/xl/worksheets/sheet7.xml?ContentType=application/vnd.openxmlformats-officedocument.spreadsheetml.worksheet+xml">
        <DigestMethod Algorithm="http://www.w3.org/2001/04/xmlenc#sha256"/>
        <DigestValue>x7cKREyxLHfGpvsmY/oGr3s7oA1PIeKh7BqY3+ccYrI=</DigestValue>
      </Reference>
      <Reference URI="/xl/worksheets/sheet8.xml?ContentType=application/vnd.openxmlformats-officedocument.spreadsheetml.worksheet+xml">
        <DigestMethod Algorithm="http://www.w3.org/2001/04/xmlenc#sha256"/>
        <DigestValue>qy5JuNpssFTHkOAElZ3MYxyi0NythY1RWmhM8GqHG5M=</DigestValue>
      </Reference>
      <Reference URI="/xl/worksheets/sheet9.xml?ContentType=application/vnd.openxmlformats-officedocument.spreadsheetml.worksheet+xml">
        <DigestMethod Algorithm="http://www.w3.org/2001/04/xmlenc#sha256"/>
        <DigestValue>5WWMil5xrCfNNYZXuHMot4MNKh7qQXGlj2XlJLERBFk=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2019-06-24T22:39:41Z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{EFC0422D-D782-4034-A8E3-67FD6A650D6D}</SetupID>
          <SignatureText> </SignatureText>
          <SignatureImage/>
          <SignatureComments/>
          <WindowsVersion>10.0</WindowsVersion>
          <OfficeVersion>16.0.11629/17</OfficeVersion>
          <ApplicationVersion>16.0.11629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2019-06-24T22:39:41Z</xd:SigningTime>
          <xd:SigningCertificate>
            <xd:Cert>
              <xd:CertDigest>
                <DigestMethod Algorithm="http://www.w3.org/2001/04/xmlenc#sha256"/>
                <DigestValue>JLTjbLH0j5k0Yrj3H3i7PelLzPwG5Fj/Xg1YZl3pRG0=</DigestValue>
              </xd:CertDigest>
              <xd:IssuerSerial>
                <X509IssuerName>CN=CA-CODE100 S.A., C=PY, O=CODE100 S.A., SERIALNUMBER=RUC 80080610-7</X509IssuerName>
                <X509SerialNumber>2051668565065212450309722619289296705884783901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  <Object Id="idValidSigLnImg">AQAAAGwAAAAAAAAAAAAAABwBAAB/AAAAAAAAAAAAAAAKHAAAkQwAACBFTUYAAAEAXBsAAKoAAAAGAAAAAAAAAAAAAAAAAAAAVgUAAAADAABYAQAAwQAAAAAAAAAAAAAAAAAAAMA/BQDo8QIACgAAABAAAAAAAAAAAAAAAEsAAAAQAAAAAAAAAAUAAAAeAAAAGAAAAAAAAAAAAAAAHQEAAIAAAAAnAAAAGAAAAAEAAAAAAAAAAAAAAAAAAAAlAAAADAAAAAEAAABMAAAAZAAAAAAAAAAAAAAAHAEAAH8AAAAAAAAAAAAAAB0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cAQAAfwAAAAAAAAAAAAAAHQEAAIAAAAAhAPAAAAAAAAAAAAAAAIA/AAAAAAAAAAAAAIA/AAAAAAAAAAAAAAAAAAAAAAAAAAAAAAAAAAAAAAAAAAAlAAAADAAAAAAAAIAoAAAADAAAAAEAAAAnAAAAGAAAAAEAAAAAAAAA8PDwAAAAAAAlAAAADAAAAAEAAABMAAAAZAAAAAAAAAAAAAAAHAEAAH8AAAAAAAAAAAAAAB0BAACAAAAAIQDwAAAAAAAAAAAAAACAPwAAAAAAAAAAAACAPwAAAAAAAAAAAAAAAAAAAAAAAAAAAAAAAAAAAAAAAAAAJQAAAAwAAAAAAACAKAAAAAwAAAABAAAAJwAAABgAAAABAAAAAAAAAPDw8AAAAAAAJQAAAAwAAAABAAAATAAAAGQAAAAAAAAAAAAAABwBAAB/AAAAAAAAAAAAAAAdAQAAgAAAACEA8AAAAAAAAAAAAAAAgD8AAAAAAAAAAAAAgD8AAAAAAAAAAAAAAAAAAAAAAAAAAAAAAAAAAAAAAAAAACUAAAAMAAAAAAAAgCgAAAAMAAAAAQAAACcAAAAYAAAAAQAAAAAAAADw8PAAAAAAACUAAAAMAAAAAQAAAEwAAABkAAAAAAAAAAAAAAAcAQAAfwAAAAAAAAAAAAAAHQEAAIAAAAAhAPAAAAAAAAAAAAAAAIA/AAAAAAAAAAAAAIA/AAAAAAAAAAAAAAAAAAAAAAAAAAAAAAAAAAAAAAAAAAAlAAAADAAAAAAAAIAoAAAADAAAAAEAAAAnAAAAGAAAAAEAAAAAAAAA////AAAAAAAlAAAADAAAAAEAAABMAAAAZAAAAAAAAAAAAAAAHAEAAH8AAAAAAAAAAAAAAB0BAACAAAAAIQDwAAAAAAAAAAAAAACAPwAAAAAAAAAAAACAPwAAAAAAAAAAAAAAAAAAAAAAAAAAAAAAAAAAAAAAAAAAJQAAAAwAAAAAAACAKAAAAAwAAAABAAAAJwAAABgAAAABAAAAAAAAAP///wAAAAAAJQAAAAwAAAABAAAATAAAAGQAAAAAAAAAAAAAABwBAAB/AAAAAAAAAAAAAAAd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FNeCQAAAHRptF4C/JhacENgdyDk5wP/AQAA1MqRAyUAAAAzAAAAYAAAADMAAAAiAAAAbNkSBlr9mFr/////EMyRA5zbVF6IDe4F3v///wEAAAA+XaR3AgAAAAEAAAAAAAAAAgIAAFEAAACXact5DQEAAJzMkQOJgXN17MqRAwAAAACVgXN1ZwA7KfX///8AAAAAAAAAAAAAAACQAQAAAAAAAQAAAABzAGUAZwBvACWRAcBIy5EDwYdrdgAAYHcAAJEDAAAAAETLkQMAAAAALcpTXgAAYHcAAAAAEwAUAHRptF5wQ2B3XMuRAwRPB3cAAGB3dGm0XvbKU14xWpDDZHYACAAAAAAlAAAADAAAAAEAAAAYAAAADAAAAAAAAAASAAAADAAAAAEAAAAeAAAAGAAAAMMAAAAEAAAA9wAAABEAAAAlAAAADAAAAAEAAABUAAAAhAAAAMQAAAAEAAAA9QAAABAAAAABAAAA0XbJQasKyUHEAAAABAAAAAkAAABMAAAAAAAAAAAAAAAAAAAA//////////9gAAAAMgA0AC8ANgAvADIAMAAxADkAAAAGAAAABgAAAAQAAAAGAAAABAAAAAYAAAAGAAAABgAAAAYAAABLAAAAQAAAADAAAAAFAAAAIAAAAAEAAAABAAAAEAAAAAAAAAAAAAAAHQEAAIAAAAAAAAAAAAAAAB0BAACAAAAAUgAAAHABAAACAAAAEAAAAAcAAAAAAAAAAAAAALwCAAAAAAAAAQICIlMAeQBzAHQAZQBtAAAAAAAAAAAAAAAAAAAAAAAAAAAAAAAAAAAAAAAAAAAAAAAAAAAAAAAAAAAAAAAAAAAAAAAAAKd3iFeQA5fhp3cAAGB3IOTnA8bhp3fYV5ADIOTnA0pptF4AAAAASmm0XgAAzQAg5OcDAAAAAAAAAAAAAAAAAAAAACDt5wMAAAAAAAAAAAAAAAAAAAAAAAAAAAAAAAAAAAAAAAAAAAAAAAAAAAAAAAAAAAAAAAAAAAAAAAAAAAAAAAD8AQAAJQ0AwHxYkAPC06N3AAAAAAEAAADYV5AD//8AAAAAAACM1qN3jNajdzgW8QOsWJADsFiQAwcAAAAAAAAAuFlqdgkAAABUBmr/BwAAAOhYkANs6V926FiQAwAAAAAAAgAAAAAAAAAAAAAAAAAAAAAAAPwB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kANwWZADvYBzdQAAAAAoV5ADAAAAAJoftF2O3JcEiNgDXkyBsBJ0W5ADGHMVERSeql2I2ANeVtGXBBhzFRGuCqRdAAAAAHrRlwQQV5ADoMi7XVhe6gVYXuoFwPTlEsD05RIAAAAATtGXBFP0ynkWCaRd2FiQA4mBc3UoV5ADAAAAAJWBc3UAAAAA4P///wAAAAAAAAAAAAAAAJABAAAAAAABAAAAAGEAcgBpAGEAbAAAAAAAAAAAAAAABgAAAAAAAAC4WWp2AAAAAFQGav8GAAAAiFiQA2zpX3aIWJADAAAAAAACAAAAAAAAAAAAAAAAAAAAAAAAAAAAAJCY4RJkdgAIAAAAACUAAAAMAAAAAwAAABgAAAAMAAAAAAAAABIAAAAMAAAAAQAAABYAAAAMAAAACAAAAFQAAABUAAAACgAAACcAAAAeAAAASgAAAAEAAADRdslBqwrJ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C4AAABHAAAAKQAAADMAAAAGAAAAFQAAACEA8AAAAAAAAAAAAAAAgD8AAAAAAAAAAAAAgD8AAAAAAAAAAAAAAAAAAAAAAAAAAAAAAAAAAAAAAAAAACUAAAAMAAAAAAAAgCgAAAAMAAAABAAAAFIAAABwAQAABAAAAPD///8AAAAAAAAAAAAAAACQAQAAAAAAAQAAAABzAGUAZwBvAGUAIAB1AGkAAAAAAAAAAAAAAAAAAAAAAAAAAAAAAAAAAAAAAAAAAAAAAAAAAAAAAAAAAAAAAAAAAACQA1hZkAO9gHN1AAAAABBXkAMAAAAALc46KQAAAADMVpAD7E3lXAEAAAB8V5ADIA0AhAAAAABK0ZcE4DXmEgIAAACw+H4SStGXBOA15hICAAAAkFiQA5xoxF3/////nFiQA9hFrF0y35cEu/XKeaxdkAPAWJADiYFzdRBXkAMAAAAAlYFzdfxYkAPw////AAAAAAAAAAAAAAAAkAEAAAAAAAEAAAAAcwBlAGcAbwBlACAAdQBpAAAAAAAJAAAAAAAAALhZanYAAAAAVAZq/wkAAABwWJADbOlfdnBYkAMAAAAAAAIAAAAAAAAAAAAAAAAAAAAAAAAAAAAAAAAAAGR2AAgAAAAAJQAAAAwAAAAEAAAAGAAAAAwAAAAAAAAAEgAAAAwAAAABAAAAHgAAABgAAAApAAAAMwAAAC8AAABIAAAAJQAAAAwAAAAEAAAAVAAAAFQAAAAqAAAAMwAAAC0AAABHAAAAAQAAANF2yUGrCslBKgAAADMAAAABAAAATAAAAAAAAAAAAAAAAAAAAP//////////UAAAACAAAAAEAAAASwAAAEAAAAAwAAAABQAAACAAAAABAAAAAQAAABAAAAAAAAAAAAAAAB0BAACAAAAAAAAAAAAAAAAdAQAAgAAAACUAAAAMAAAAAgAAACcAAAAYAAAABQAAAAAAAAD///8AAAAAACUAAAAMAAAABQAAAEwAAABkAAAAAAAAAFAAAAAcAQAAfAAAAAAAAABQAAAAHQEAAC0AAAAhAPAAAAAAAAAAAAAAAIA/AAAAAAAAAAAAAIA/AAAAAAAAAAAAAAAAAAAAAAAAAAAAAAAAAAAAAAAAAAAlAAAADAAAAAAAAIAoAAAADAAAAAUAAAAnAAAAGAAAAAUAAAAAAAAA////AAAAAAAlAAAADAAAAAUAAABMAAAAZAAAAAkAAABQAAAA/wAAAFwAAAAJAAAAUAAAAPcAAAANAAAAIQDwAAAAAAAAAAAAAACAPwAAAAAAAAAAAACAPwAAAAAAAAAAAAAAAAAAAAAAAAAAAAAAAAAAAAAAAAAAJQAAAAwAAAAAAACAKAAAAAwAAAAFAAAAJQAAAAwAAAABAAAAGAAAAAwAAAAAAAAAEgAAAAwAAAABAAAAHgAAABgAAAAJAAAAUAAAAAABAABdAAAAJQAAAAwAAAABAAAAVAAAAKgAAAAKAAAAUAAAAGAAAABcAAAAAQAAANF2yUGrCslBCgAAAFAAAAAPAAAATAAAAAAAAAAAAAAAAAAAAP//////////bAAAAE4AbwByAGQAYQBoAGwAIABTAGkAZQBtAGUAbgBzAAAACAAAAAcAAAAEAAAABwAAAAYAAAAHAAAAAwAAAAMAAAAGAAAAAwAAAAYAAAAJAAAABgAAAAcAAAAFAAAASwAAAEAAAAAwAAAABQAAACAAAAABAAAAAQAAABAAAAAAAAAAAAAAAB0BAACAAAAAAAAAAAAAAAAdAQAAgAAAACUAAAAMAAAAAgAAACcAAAAYAAAABQAAAAAAAAD///8AAAAAACUAAAAMAAAABQAAAEwAAABkAAAACQAAAGAAAAD/AAAAbAAAAAkAAABgAAAA9wAAAA0AAAAhAPAAAAAAAAAAAAAAAIA/AAAAAAAAAAAAAIA/AAAAAAAAAAAAAAAAAAAAAAAAAAAAAAAAAAAAAAAAAAAlAAAADAAAAAAAAIAoAAAADAAAAAUAAAAlAAAADAAAAAEAAAAYAAAADAAAAAAAAAASAAAADAAAAAEAAAAeAAAAGAAAAAkAAABgAAAAAAEAAG0AAAAlAAAADAAAAAEAAABUAAAAiAAAAAoAAABgAAAAPwAAAGwAAAABAAAA0XbJQasKyUEKAAAAYAAAAAoAAABMAAAAAAAAAAAAAAAAAAAA//////////9gAAAAUAByAGUAcwBpAGQAZQBuAHQAZQAGAAAABAAAAAYAAAAFAAAAAwAAAAcAAAAGAAAABwAAAAQAAAAGAAAASwAAAEAAAAAwAAAABQAAACAAAAABAAAAAQAAABAAAAAAAAAAAAAAAB0BAACAAAAAAAAAAAAAAAAdAQAAgAAAACUAAAAMAAAAAgAAACcAAAAYAAAABQAAAAAAAAD///8AAAAAACUAAAAMAAAABQAAAEwAAABkAAAACQAAAHAAAAATAQAAfAAAAAkAAABwAAAACwEAAA0AAAAhAPAAAAAAAAAAAAAAAIA/AAAAAAAAAAAAAIA/AAAAAAAAAAAAAAAAAAAAAAAAAAAAAAAAAAAAAAAAAAAlAAAADAAAAAAAAIAoAAAADAAAAAUAAAAlAAAADAAAAAEAAAAYAAAADAAAAAAAAAASAAAADAAAAAEAAAAWAAAADAAAAAAAAABUAAAASAEAAAoAAABwAAAAEgEAAHwAAAABAAAA0XbJQasKyUEKAAAAcAAAACoAAABMAAAABAAAAAkAAABwAAAAFAEAAH0AAACgAAAARgBpAHIAbQBhAGQAbwAgAHAAbwByADoAIABOAE8AUgBEAEEASABMACAATwBTAFcAQQBMAEQATwAgAFMASQBFAE0ARQBOAFMAIABFAFcARQBSAFQABgAAAAMAAAAEAAAACQAAAAYAAAAHAAAABwAAAAMAAAAHAAAABwAAAAQAAAADAAAAAwAAAAgAAAAJAAAABwAAAAgAAAAHAAAACAAAAAUAAAADAAAACQAAAAYAAAALAAAABwAAAAUAAAAIAAAACQAAAAMAAAAGAAAAAwAAAAYAAAAKAAAABgAAAAgAAAAGAAAAAwAAAAYAAAALAAAABgAAAAcAAAAFAAAAFgAAAAwAAAAAAAAAJQAAAAwAAAACAAAADgAAABQAAAAAAAAAEAAAABQAAAA=</Object>
  <Object Id="idInvalidSigLnImg">AQAAAGwAAAAAAAAAAAAAABwBAAB/AAAAAAAAAAAAAAAKHAAAkQwAACBFTUYAAAEA/B4AALAAAAAGAAAAAAAAAAAAAAAAAAAAVgUAAAADAABYAQAAwQAAAAAAAAAAAAAAAAAAAMA/BQDo8QIACgAAABAAAAAAAAAAAAAAAEsAAAAQAAAAAAAAAAUAAAAeAAAAGAAAAAAAAAAAAAAAHQEAAIAAAAAnAAAAGAAAAAEAAAAAAAAAAAAAAAAAAAAlAAAADAAAAAEAAABMAAAAZAAAAAAAAAAAAAAAHAEAAH8AAAAAAAAAAAAAAB0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cAQAAfwAAAAAAAAAAAAAAHQEAAIAAAAAhAPAAAAAAAAAAAAAAAIA/AAAAAAAAAAAAAIA/AAAAAAAAAAAAAAAAAAAAAAAAAAAAAAAAAAAAAAAAAAAlAAAADAAAAAAAAIAoAAAADAAAAAEAAAAnAAAAGAAAAAEAAAAAAAAA8PDwAAAAAAAlAAAADAAAAAEAAABMAAAAZAAAAAAAAAAAAAAAHAEAAH8AAAAAAAAAAAAAAB0BAACAAAAAIQDwAAAAAAAAAAAAAACAPwAAAAAAAAAAAACAPwAAAAAAAAAAAAAAAAAAAAAAAAAAAAAAAAAAAAAAAAAAJQAAAAwAAAAAAACAKAAAAAwAAAABAAAAJwAAABgAAAABAAAAAAAAAPDw8AAAAAAAJQAAAAwAAAABAAAATAAAAGQAAAAAAAAAAAAAABwBAAB/AAAAAAAAAAAAAAAdAQAAgAAAACEA8AAAAAAAAAAAAAAAgD8AAAAAAAAAAAAAgD8AAAAAAAAAAAAAAAAAAAAAAAAAAAAAAAAAAAAAAAAAACUAAAAMAAAAAAAAgCgAAAAMAAAAAQAAACcAAAAYAAAAAQAAAAAAAADw8PAAAAAAACUAAAAMAAAAAQAAAEwAAABkAAAAAAAAAAAAAAAcAQAAfwAAAAAAAAAAAAAAHQEAAIAAAAAhAPAAAAAAAAAAAAAAAIA/AAAAAAAAAAAAAIA/AAAAAAAAAAAAAAAAAAAAAAAAAAAAAAAAAAAAAAAAAAAlAAAADAAAAAAAAIAoAAAADAAAAAEAAAAnAAAAGAAAAAEAAAAAAAAA////AAAAAAAlAAAADAAAAAEAAABMAAAAZAAAAAAAAAAAAAAAHAEAAH8AAAAAAAAAAAAAAB0BAACAAAAAIQDwAAAAAAAAAAAAAACAPwAAAAAAAAAAAACAPwAAAAAAAAAAAAAAAAAAAAAAAAAAAAAAAAAAAAAAAAAAJQAAAAwAAAAAAACAKAAAAAwAAAABAAAAJwAAABgAAAABAAAAAAAAAP///wAAAAAAJQAAAAwAAAABAAAATAAAAGQAAAAAAAAAAAAAABwBAAB/AAAAAAAAAAAAAAAd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qrGQAAAAcKDQcKDQcJDQ4WMShFrjFU1TJV1gECBAIDBAECBQoRKyZBowsTMXQtAAAAfqbJd6PIeqDCQFZ4JTd0Lk/HMVPSGy5uFiE4GypVJ0KnHjN9AAABb3MAAACcz+7S6ffb7fnC0t1haH0hMm8aLXIuT8ggOIwoRKslP58cK08AAAFydAAAAMHg9P///////////+bm5k9SXjw/SzBRzTFU0y1NwSAyVzFGXwEBAjAuCA8mnM/u69/SvI9jt4tgjIR9FBosDBEjMVTUMlXWMVPRKUSeDxk4AAAAY2EAAADT6ff///////+Tk5MjK0krSbkvUcsuT8YVJFoTIFIrSbgtTcEQHEdhbgAAAJzP7vT6/bTa8kRleixHhy1Nwi5PxiQtTnBwcJKSki81SRwtZAgOI250AAAAweD02+35gsLqZ5q6Jz1jNEJyOUZ4qamp+/v7////wdPeVnCJAQECQ28AAACv1/Ho8/ubzu6CwuqMudS3u769vb3////////////L5fZymsABAgNudAAAAK/X8fz9/uLx+snk9uTy+vz9/v///////////////8vl9nKawAECA1ZpAAAAotHvtdryxOL1xOL1tdry0+r32+350+r3tdryxOL1pdPvc5rAAQIDAEsAAABpj7ZnjrZqj7Zqj7ZnjrZtkbdukrdtkbdnjrZqj7ZojrZ3rdUCAwR0ZQAAAAAAAAAAAAAAAAAAAAAAAAAAAAAAAAAAAAAAAAAAAAAAAAAAAAAAAAAAJwAAABgAAAABAAAAAAAAAP///wAAAAAAJQAAAAwAAAABAAAATAAAAGQAAAAiAAAABAAAAHEAAAAQAAAAIgAAAAQAAABQAAAADQAAACEA8AAAAAAAAAAAAAAAgD8AAAAAAAAAAAAAgD8AAAAAAAAAAAAAAAAAAAAAAAAAAAAAAAAAAAAAAAAAACUAAAAMAAAAAAAAgCgAAAAMAAAAAQAAAFIAAABwAQAAAQAAAPX///8AAAAAAAAAAAAAAACQAQAAAAAAAQAAAABzAGUAZwBvAGUAIAB1AGkAAAAAAAAAAAAAAAAAAAAAAAAAAAAAAAAAAAAAAAAAAAAAAAAAAAAAAAAAAAAAAAAAAABTXgkAAAB0abReAvyYWnBDYHcg5OcD/wEAANTKkQMlAAAAMwAAAGAAAAAzAAAAIgAAAGzZEgZa/Zha/////xDMkQOc21ReiA3uBd7///8BAAAAPl2kdwIAAAABAAAAAAAAAAICAABRAAAAl2nLeQ0BAACczJEDiYFzdezKkQMAAAAAlYFzdWcAOyn1////AAAAAAAAAAAAAAAAkAEAAAAAAAEAAAAAcwBlAGcAbwAlkQHASMuRA8GHa3YAAGB3AACRAwAAAABEy5EDAAAAAC3KU14AAGB3AAAAABMAFAB0abRecENgd1zLkQMETwd3AABgd3RptF72ylNeMVqQw2R2AAgAAAAAJQAAAAwAAAABAAAAGAAAAAwAAAD/AAAAEgAAAAwAAAABAAAAHgAAABgAAAAiAAAABAAAAHIAAAARAAAAJQAAAAwAAAABAAAAVAAAAKgAAAAjAAAABAAAAHAAAAAQAAAAAQAAANF2yUGrCslBIwAAAAQAAAAPAAAATAAAAAAAAAAAAAAAAAAAAP//////////bAAAAEYAaQByAG0AYQAgAG4AbwAgAHYA4QBsAGkAZABhAGljBgAAAAMAAAAEAAAACQAAAAYAAAADAAAABwAAAAcAAAADAAAABQAAAAYAAAADAAAAAwAAAAcAAAAGAAAASwAAAEAAAAAwAAAABQAAACAAAAABAAAAAQAAABAAAAAAAAAAAAAAAB0BAACAAAAAAAAAAAAAAAAdAQAAgAAAAFIAAABwAQAAAgAAABAAAAAHAAAAAAAAAAAAAAC8AgAAAAAAAAECAiJTAHkAcwB0AGUAbQAAAAAAAAAAAAAAAAAAAAAAAAAAAAAAAAAAAAAAAAAAAAAAAAAAAAAAAAAAAAAAAAAAAAAAAACnd4hXkAOX4ad3AABgdyDk5wPG4ad32FeQAyDk5wNKabReAAAAAEpptF4AAM0AIOTnAwAAAAAAAAAAAAAAAAAAAAAg7ecDAAAAAAAAAAAAAAAAAAAAAAAAAAAAAAAAAAAAAAAAAAAAAAAAAAAAAAAAAAAAAAAAAAAAAAAAAAAAAAAA/AEAACUNAMB8WJADwtOjdwAAAAABAAAA2FeQA///AAAAAAAAjNajd4zWo3c4FvEDrFiQA7BYkAMHAAAAAAAAALhZanYJAAAAVAZq/wcAAADoWJADbOlfduhYkAMAAAAAAAIAAAAAAAAAAAAAAAAAAAAAAAD8AQ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JADcFmQA72Ac3UAAAAAKFeQAwAAAACaH7RdjtyXBIjYA15MgbASdFuQAxhzFREUnqpdiNgDXlbRlwQYcxURrgqkXQAAAAB60ZcEEFeQA6DIu11YXuoFWF7qBcD05RLA9OUSAAAAAE7RlwRT9Mp5FgmkXdhYkAOJgXN1KFeQAwAAAACVgXN1AAAAAOD///8AAAAAAAAAAAAAAACQAQAAAAAAAQAAAABhAHIAaQBhAGwAAAAAAAAAAAAAAAYAAAAAAAAAuFlqdgAAAABUBmr/BgAAAIhYkANs6V92iFiQAwAAAAAAAgAAAAAAAAAAAAAAAAAAAAAAAAAAAACQmOESZHYACAAAAAAlAAAADAAAAAMAAAAYAAAADAAAAAAAAAASAAAADAAAAAEAAAAWAAAADAAAAAgAAABUAAAAVAAAAAoAAAAnAAAAHgAAAEoAAAABAAAA0XbJQasKy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AuAAAARwAAACkAAAAzAAAABgAAABUAAAAhAPAAAAAAAAAAAAAAAIA/AAAAAAAAAAAAAIA/AAAAAAAAAAAAAAAAAAAAAAAAAAAAAAAAAAAAAAAAAAAlAAAADAAAAAAAAIAoAAAADAAAAAQAAABSAAAAcAEAAAQAAADw////AAAAAAAAAAAAAAAAkAEAAAAAAAEAAAAAcwBlAGcAbwBlACAAdQBpAAAAAAAAAAAAAAAAAAAAAAAAAAAAAAAAAAAAAAAAAAAAAAAAAAAAAAAAAAAAAAAAAAAAkANYWZADvYBzdQAAAAAQV5ADAAAAAC3OOikAAAAAzFaQA+xN5VwBAAAAfFeQAyANAIQAAAAAStGXBOA15hICAAAAsPh+EkrRlwTgNeYSAgAAAJBYkAOcaMRd/////5xYkAPYRaxdMt+XBLv1ynmsXZADwFiQA4mBc3UQV5ADAAAAAJWBc3X8WJAD8P///wAAAAAAAAAAAAAAAJABAAAAAAABAAAAAHMAZQBnAG8AZQAgAHUAaQAAAAAACQAAAAAAAAC4WWp2AAAAAFQGav8JAAAAcFiQA2zpX3ZwWJADAAAAAAACAAAAAAAAAAAAAAAAAAAAAAAAAAAAAAAAAABkdgAIAAAAACUAAAAMAAAABAAAABgAAAAMAAAAAAAAABIAAAAMAAAAAQAAAB4AAAAYAAAAKQAAADMAAAAvAAAASAAAACUAAAAMAAAABAAAAFQAAABUAAAAKgAAADMAAAAtAAAARwAAAAEAAADRdslBqwrJQSoAAAAzAAAAAQAAAEwAAAAAAAAAAAAAAAAAAAD//////////1AAAAAgAAAABAAAAEsAAABAAAAAMAAAAAUAAAAgAAAAAQAAAAEAAAAQAAAAAAAAAAAAAAAdAQAAgAAAAAAAAAAAAAAAHQEAAIAAAAAlAAAADAAAAAIAAAAnAAAAGAAAAAUAAAAAAAAA////AAAAAAAlAAAADAAAAAUAAABMAAAAZAAAAAAAAABQAAAAHAEAAHwAAAAAAAAAUAAAAB0BAAAtAAAAIQDwAAAAAAAAAAAAAACAPwAAAAAAAAAAAACAPwAAAAAAAAAAAAAAAAAAAAAAAAAAAAAAAAAAAAAAAAAAJQAAAAwAAAAAAACAKAAAAAwAAAAFAAAAJwAAABgAAAAFAAAAAAAAAP///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oAAAACgAAAFAAAABgAAAAXAAAAAEAAADRdslBqwrJQQoAAABQAAAADwAAAEwAAAAAAAAAAAAAAAAAAAD//////////2wAAABOAG8AcgBkAGEAaABsACAAUwBpAGUAbQBlAG4AcwAAAAgAAAAHAAAABAAAAAcAAAAGAAAABwAAAAMAAAADAAAABgAAAAMAAAAGAAAACQAAAAYAAAAHAAAABQAAAEsAAABAAAAAMAAAAAUAAAAgAAAAAQAAAAEAAAAQAAAAAAAAAAAAAAAdAQAAgAAAAAAAAAAAAAAAHQEAAIAAAAAlAAAADAAAAAIAAAAnAAAAGAAAAAUAAAAAAAAA////AAAAAAAlAAAADAAAAAUAAABMAAAAZAAAAAkAAABgAAAA/wAAAGwAAAAJAAAAYAAAAPcAAAANAAAAIQDwAAAAAAAAAAAAAACAPwAAAAAAAAAAAACAPwAAAAAAAAAAAAAAAAAAAAAAAAAAAAAAAAAAAAAAAAAAJQAAAAwAAAAAAACAKAAAAAwAAAAFAAAAJQAAAAwAAAABAAAAGAAAAAwAAAAAAAAAEgAAAAwAAAABAAAAHgAAABgAAAAJAAAAYAAAAAABAABtAAAAJQAAAAwAAAABAAAAVAAAAIgAAAAKAAAAYAAAAD8AAABsAAAAAQAAANF2yUGrCslBCgAAAGAAAAAKAAAATAAAAAAAAAAAAAAAAAAAAP//////////YAAAAFAAcgBlAHMAaQBkAGUAbgB0AGUABgAAAAQAAAAGAAAABQAAAAMAAAAHAAAABgAAAAcAAAAEAAAABgAAAEsAAABAAAAAMAAAAAUAAAAgAAAAAQAAAAEAAAAQAAAAAAAAAAAAAAAdAQAAgAAAAAAAAAAAAAAAHQEAAIAAAAAlAAAADAAAAAIAAAAnAAAAGAAAAAUAAAAAAAAA////AAAAAAAlAAAADAAAAAUAAABMAAAAZAAAAAkAAABwAAAAEwEAAHwAAAAJAAAAcAAAAAsBAAANAAAAIQDwAAAAAAAAAAAAAACAPwAAAAAAAAAAAACAPwAAAAAAAAAAAAAAAAAAAAAAAAAAAAAAAAAAAAAAAAAAJQAAAAwAAAAAAACAKAAAAAwAAAAFAAAAJQAAAAwAAAABAAAAGAAAAAwAAAAAAAAAEgAAAAwAAAABAAAAFgAAAAwAAAAAAAAAVAAAAEgBAAAKAAAAcAAAABIBAAB8AAAAAQAAANF2yUGrCslBCgAAAHAAAAAqAAAATAAAAAQAAAAJAAAAcAAAABQBAAB9AAAAoAAAAEYAaQByAG0AYQBkAG8AIABwAG8AcgA6ACAATgBPAFIARABBAEgATAAgAE8AUwBXAEEATABEAE8AIABTAEkARQBNAEUATgBTACAARQBXAEUAUgBUAAYAAAADAAAABAAAAAkAAAAGAAAABwAAAAcAAAADAAAABwAAAAcAAAAEAAAAAwAAAAMAAAAIAAAACQAAAAcAAAAIAAAABwAAAAgAAAAFAAAAAwAAAAkAAAAGAAAACwAAAAcAAAAFAAAACAAAAAkAAAADAAAABgAAAAMAAAAGAAAACgAAAAYAAAAIAAAABgAAAAMAAAAGAAAACwAAAAYAAAAHAAAABQAAABYAAAAMAAAAAAAAACUAAAAMAAAAAgAAAA4AAAAUAAAAAAAAABAAAAAUAAAA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+YlRSYZT0q0q6WvSNrbj5UOBEM0OZOOpaqCZtOMQSGc=</DigestValue>
    </Reference>
    <Reference Type="http://www.w3.org/2000/09/xmldsig#Object" URI="#idOfficeObject">
      <DigestMethod Algorithm="http://www.w3.org/2001/04/xmlenc#sha256"/>
      <DigestValue>EjUZUTE/likB5IDgTBAKTBKKwBP/R8lFVLELs9WP1AU=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Fc6n9zCZeFBMdFV41FX8zxvjvfmCjcpNh/CNvVsosAg=</DigestValue>
    </Reference>
    <Reference Type="http://www.w3.org/2000/09/xmldsig#Object" URI="#idValidSigLnImg">
      <DigestMethod Algorithm="http://www.w3.org/2001/04/xmlenc#sha256"/>
      <DigestValue>Y/ITD9JGh7YboK/dPS/hTAAbst9fWxOcvZDFZcWHo7c=</DigestValue>
    </Reference>
    <Reference Type="http://www.w3.org/2000/09/xmldsig#Object" URI="#idInvalidSigLnImg">
      <DigestMethod Algorithm="http://www.w3.org/2001/04/xmlenc#sha256"/>
      <DigestValue>N1E9f04nggmtNeHTsv8metP8pr0Up/vBWRaYd/k+6oU=</DigestValue>
    </Reference>
  </SignedInfo>
  <SignatureValue>MYyvnDaUaKKRCKXOtfjfMht10FnC9DY25qgEUeJamLdvi4HKmWflgo1Zzn1Oo/1wCdahAAQ3YFEi
XxoSuxPNhdcHTHauGYApx3FOFKuKtGBvOR+LLu058cbnbCXT43UNgRdJcodbMefX7LFQN/25Vjdb
GanU3kkM4TY0KHKuUQWvJsW+61U47sgYkqEmFgRF6/HFjHSps+SZrLsLwOTv0IBb53DG1TrsM/iT
AeGuZK7opsXGiWVYKRWQR95u+5MBpmn3IptHCv0Hole8v0B6KI5koMW9tfMXPhcxL/zRW4ixM9H3
u9BJ5EkstEgGIBNcAPle/oEqcnYaSPVRLNWTMA==</SignatureValue>
  <KeyInfo>
    <X509Data>
      <X509Certificate>MIIIBjCCBe6gAwIBAgITXAAAFpAL1dYdJ67uTgAAAAAWkDANBgkqhkiG9w0BAQsFADBXMRcwFQYDVQQFEw5SVUMgODAwODA2MTAtNzEVMBMGA1UEChMMQ09ERTEwMCBTLkEuMQswCQYDVQQGEwJQWTEYMBYGA1UEAxMPQ0EtQ09ERTEwMCBTLkEuMB4XDTE5MDYyNDIxNDIzOFoXDTIxMDYyNDIxNDIzOFowgZ0xITAfBgNVBAMTGERJRUdPIFRPTUFTIEJBUkVJUk8gQVJDRTEXMBUGA1UEChMOUEVSU09OQSBGSVNJQ0ExCzAJBgNVBAYTAlBZMRQwEgYDVQQqEwtESUVHTyBUT01BUzEVMBMGA1UEBBMMQkFSRUlSTyBBUkNFMRIwEAYDVQQFEwlDSTEwNzg5MTgxETAPBgNVBAsTCEZJUk1BIEYyMIIBIjANBgkqhkiG9w0BAQEFAAOCAQ8AMIIBCgKCAQEAhxbZ5lSo2ubkhIfAwIjD5DAZnjb+skSvtKQLovLY3kEAj9mqjkDuB9jkmfTSdYt9tB3Vo+ZTnrlm0AFzgCRZQNQwU+HLR3P/d8eBrMRWSn0eOcSo+qpTr4ev7pIMZu5FogLH3K30n3aphXghqxblCIri/OHuUv+zBqhjrWb0MeKU+L0ui+wU49o+qP401itPnraY9sMBsClnFg3rFdcYWMLvOsXU6vIYS7mNbtbDWw/3IcZVY6+BNG0ehvAz3H4766lLGHMCcg9BIhLnZR9cQFcSRQINN56mFiBFCCJ2bX5o1T17IVOFRAuPBW8InRnVtfXX7f9d+hNrccq5vCKWBwIDAQABo4IDgjCCA34wDgYDVR0PAQH/BAQDAgXgMAwGA1UdEwEB/wQCMAAwIAYDVR0lAQH/BBYwFAYIKwYBBQUHAwIGCCsGAQUFBwMEMB0GA1UdDgQWBBRcdng9x4fqICHmbMP0Y+5OEVweTTAfBgNVHSMEGDAWgBQn9to7C3+T+FkS0BWqQs+ylpY9RTCBiAYDVR0fBIGAMH4wfKB6oHiGOmh0dHA6Ly9jYTEuY29kZTEwMC5jb20ucHkvZmlybWEtZGlnaXRhbC9jcmwvQ0EtQ09ERTEwMC5jcmyGOmh0dHA6Ly9jYTIuY29kZTEwMC5jb20ucHkvZmlybWEtZGlnaXRhbC9jcmwvQ0EtQ09ERTEwMC5jcmwwgfgGCCsGAQUFBwEBBIHrMIHoMEYGCCsGAQUFBzAChjpodHRwOi8vY2ExLmNvZGUxMDAuY29tLnB5L2Zpcm1hLWRpZ2l0YWwvY2VyL0NBLUNPREUxMDAuY2VyMEYGCCsGAQUFBzAChjpodHRwOi8vY2EyLmNvZGUxMDAuY29tLnB5L2Zpcm1hLWRpZ2l0YWwvY2VyL0NBLUNPREUxMDAuY2VyMCoGCCsGAQUFBzABhh5odHRwOi8vY2ExLmNvZGUxMDAuY29tLnB5L29jc3AwKgYIKwYBBQUHMAGGHmh0dHA6Ly9jYTIuY29kZTEwMC5jb20ucHkvb2NzcDCCAU8GA1UdIASCAUYwggFCMIIBPgYMKwYBBAGC2UoBAQEGMIIBLDBsBggrBgEFBQcCARZgaHR0cDovL3d3dy5jb2RlMTAwLmNvbS5weS9maXJtYS1kaWdpdGFsL0NPREUxMDAlMjBQb2xpdGljYSUyMGRlJTIwQ2VydGlmaWNhY2lvbiUyMEYyJTIwdjIuMC5wZGYAMGYGCCsGAQUFBwICMFoeWABQAG8AbABpAHQAaQBjAGEAIABkAGUAIABjAGUAcgB0AGkAZgBpAGMAYQBjAGkAbwBuACAARgAyACAAZABlACAAQwBvAGQAZQAxADAAMAAgAFMALgBBAC4wVAYIKwYBBQUHAgIwSB5GAEMAbwBkAGUAIAAxADAAMAAgAFMALgBBAC4AIABDAGUAcgB0AGkAZgBpAGMAYQB0AGUAIABQAG8AbABpAGMAeQAgAEYAMjAjBgNVHREEHDAagRhEQkFSRUlST0BBVExBTlRJQy5DT00uUFkwDQYJKoZIhvcNAQELBQADggIBAHFpcZuxCcr00fxzYozCb3MvNECwi3WxdYK2XWWImEroENrl5eTYyA0piHQG+0V+N/58sSyTBvRtmMCt+hjAtYrYFVN4Feiiuu5wlIMic7AmZkoyT/MROphGYraSKmyNWSj8fqMzlVNa2Xoi2TfLf4RsJO7CqYErIkiYlmM7P42BFYl9JIw4yx9IjHZshKKSVGmhha8UkrEmJq0wy7K8KdTvjqt/AqsZHWuaZ+5QhouogBvq7kmYURQnV07jKEScSlRgG8VXHOtSbkql6PwNNmgJp6X2SkOHYcEae30OffuVLPOV8Apt8SrdO2b7jfC5L+3RtsBD097Kc43pTbuEYEAJ4NhdhD7HPYYVgD9CWtIzcy/7c8CHr0ruaPtfPBKQNtNrk/TxG1J7wN1romtF5hIEu82zr4I8h+gM/hwB81+UfojfbMBuACqQlwG3siZYDiTez/hoqz4Ri/SuPybjlPIl28nW4NVeOju8pg5L7zgYaluwdiQASww9+/en2/TzTdI7D4MQM+yXvCXr76Oaiw2bZeBiY/id6c+YP4obmdips7iXv8wer5jEHyTi+H/JaN2sYOM3Orn4gZCnW0IDJMUy+CpWxyghtbXEtP9eWMAuXM9HnbUXoUXrCvsBSjmtfuLr6v8wPV8dyjpSD4zjiQjKjLrELqnYpxNYlCMhaXOB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</Transform>
          <Transform Algorithm="http://www.w3.org/TR/2001/REC-xml-c14n-20010315"/>
        </Transforms>
        <DigestMethod Algorithm="http://www.w3.org/2001/04/xmlenc#sha256"/>
        <DigestValue>wSI3zEpV7yIVEA0ki9RxGMIf6M5fEUm6iyRk/pfTaR8=</DigestValue>
      </Reference>
      <Reference URI="/xl/calcChain.xml?ContentType=application/vnd.openxmlformats-officedocument.spreadsheetml.calcChain+xml">
        <DigestMethod Algorithm="http://www.w3.org/2001/04/xmlenc#sha256"/>
        <DigestValue>IcL+xNN0dm+/wnirCvAhnIAXotEegtSQ9YtjUd3085w=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YHVu9mfH7V1ojJZZGe0raSx5xHTqsPuldcEKZklKsN8=</DigestValue>
      </Reference>
      <Reference URI="/xl/drawings/drawing1.xml?ContentType=application/vnd.openxmlformats-officedocument.drawing+xml">
        <DigestMethod Algorithm="http://www.w3.org/2001/04/xmlenc#sha256"/>
        <DigestValue>7sRuOdnO1WGPdzTLpgPZvQWpgYAKw4gF6xK1JwoGMs0=</DigestValue>
      </Reference>
      <Reference URI="/xl/drawings/drawing2.xml?ContentType=application/vnd.openxmlformats-officedocument.drawing+xml">
        <DigestMethod Algorithm="http://www.w3.org/2001/04/xmlenc#sha256"/>
        <DigestValue>AK4mvgFtnNsz65V6zrLzQo41W/dpL18KNUsgHrf0WpA=</DigestValue>
      </Reference>
      <Reference URI="/xl/drawings/drawing3.xml?ContentType=application/vnd.openxmlformats-officedocument.drawing+xml">
        <DigestMethod Algorithm="http://www.w3.org/2001/04/xmlenc#sha256"/>
        <DigestValue>eudCPqkdeZLfsjz6Sc5VOshwAW7szeMCkK47Ew5+Nto=</DigestValue>
      </Reference>
      <Reference URI="/xl/drawings/drawing4.xml?ContentType=application/vnd.openxmlformats-officedocument.drawing+xml">
        <DigestMethod Algorithm="http://www.w3.org/2001/04/xmlenc#sha256"/>
        <DigestValue>B1IauihWRvMFSm25Lzczu/QqWHjtyi040G0SGMvsaaw=</DigestValue>
      </Reference>
      <Reference URI="/xl/drawings/vmlDrawing1.vml?ContentType=application/vnd.openxmlformats-officedocument.vmlDrawing">
        <DigestMethod Algorithm="http://www.w3.org/2001/04/xmlenc#sha256"/>
        <DigestValue>3ZDx8XFQUZWHRhLflekwvMmXcTCPnmd87w+CF/jaXeU=</DigestValue>
      </Reference>
      <Reference URI="/xl/media/image1.emf?ContentType=image/x-emf">
        <DigestMethod Algorithm="http://www.w3.org/2001/04/xmlenc#sha256"/>
        <DigestValue>Hg2NPVRJLm+vtdXoieI4Fy0Y2BmZubJMdH/qp3WTkvU=</DigestValue>
      </Reference>
      <Reference URI="/xl/media/image2.emf?ContentType=image/x-emf">
        <DigestMethod Algorithm="http://www.w3.org/2001/04/xmlenc#sha256"/>
        <DigestValue>be+o1oa2MmUOToa11nnpgqEQC4RY2cWQoqu9f0zWITQ=</DigestValue>
      </Reference>
      <Reference URI="/xl/media/image3.emf?ContentType=image/x-emf">
        <DigestMethod Algorithm="http://www.w3.org/2001/04/xmlenc#sha256"/>
        <DigestValue>xMWihlhfsBs6CKC2cPYcw7e0DCAFecIX4MRNISDlChA=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BcOKdJjQFTLcZoDA2ywIaz5X318xjprn8X7GiIbkvGg=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X38JB50a85/5nQfyv3KVxfwoGGcCao4f1u0WEJAZcgc=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X38JB50a85/5nQfyv3KVxfwoGGcCao4f1u0WEJAZcgc=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tpgp+JTDhs7rEUH4kdeM1wg+sZnZqvqeLKblVnQyUMs=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BcOKdJjQFTLcZoDA2ywIaz5X318xjprn8X7GiIbkvGg=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X38JB50a85/5nQfyv3KVxfwoGGcCao4f1u0WEJAZcgc=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UOGwlsdJmqa5vEDgMKFCJitpNFxyudtlzQKWMEsaTKY=</DigestValue>
      </Reference>
      <Reference URI="/xl/printerSettings/printerSettings16.bin?ContentType=application/vnd.openxmlformats-officedocument.spreadsheetml.printerSettings">
        <DigestMethod Algorithm="http://www.w3.org/2001/04/xmlenc#sha256"/>
        <DigestValue>BcOKdJjQFTLcZoDA2ywIaz5X318xjprn8X7GiIbkvGg=</DigestValue>
      </Reference>
      <Reference URI="/xl/printerSettings/printerSettings17.bin?ContentType=application/vnd.openxmlformats-officedocument.spreadsheetml.printerSettings">
        <DigestMethod Algorithm="http://www.w3.org/2001/04/xmlenc#sha256"/>
        <DigestValue>nB6CUlVamfiedg1llGQojU2ihy3txY4KUL6Xc/7BiI4=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wMWdxoIl1KhZYguEUIV9iR7byuphXnQjQjaOTHcC1pc=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BcOKdJjQFTLcZoDA2ywIaz5X318xjprn8X7GiIbkvGg=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X38JB50a85/5nQfyv3KVxfwoGGcCao4f1u0WEJAZcgc=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OSslcZbE6GsJMUSN4TnS7t89zWvmqUu25dsTkfrCYNo=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X38JB50a85/5nQfyv3KVxfwoGGcCao4f1u0WEJAZcgc=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xmL/yE5+p1zqn4DVmBRkN/y9BbAEHy6NSmqHYmhgNHg=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ipjyjIQYht/bImvL1tOD3BBTPcZAreKfAyWYqQYWkuk=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X38JB50a85/5nQfyv3KVxfwoGGcCao4f1u0WEJAZcgc=</DigestValue>
      </Reference>
      <Reference URI="/xl/sharedStrings.xml?ContentType=application/vnd.openxmlformats-officedocument.spreadsheetml.sharedStrings+xml">
        <DigestMethod Algorithm="http://www.w3.org/2001/04/xmlenc#sha256"/>
        <DigestValue>MPq3DkRy1ueqxFGIShWVuprZEq0yrAWaalyUs9B/Vcc=</DigestValue>
      </Reference>
      <Reference URI="/xl/styles.xml?ContentType=application/vnd.openxmlformats-officedocument.spreadsheetml.styles+xml">
        <DigestMethod Algorithm="http://www.w3.org/2001/04/xmlenc#sha256"/>
        <DigestValue>UmXrnAqxw9gbE4ds/vB3DqLpfxbBhVLRhhg7+zc83UM=</DigestValue>
      </Reference>
      <Reference URI="/xl/theme/theme1.xml?ContentType=application/vnd.openxmlformats-officedocument.theme+xml">
        <DigestMethod Algorithm="http://www.w3.org/2001/04/xmlenc#sha256"/>
        <DigestValue>IDbQ9NtjkpyEON80xiE6fnM770hSPmy9tt5N50j5+wQ=</DigestValue>
      </Reference>
      <Reference URI="/xl/workbook.xml?ContentType=application/vnd.openxmlformats-officedocument.spreadsheetml.sheet.main+xml">
        <DigestMethod Algorithm="http://www.w3.org/2001/04/xmlenc#sha256"/>
        <DigestValue>yObS5CrMEDsAsn6BvMLPHg+/zN66BLnQy+k1tJ7PNY4=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/24puvaW5bXuS+cktdpJpE35olfWZ1+6Lpxzh0chEvI=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Bmt1cHOQ7BGUQw4kVSHfuPeV+RDKlR9ppoKRcS8sORs=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a44YNjtiym0S9exNLLrYg/u0IjW9EHsUCQlLPMlbO/o=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Hpl/8vZnWESRHNUpQCHBpenrZ9hBbbx2QPfqFg6SZ8Y=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y+WpNtGIt12R9jLFTmLLn89fEeCDfd6tGhw18EoAHwU=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ch/7Fy21MMu+BePE7V2u7g75sbQp0A/Jxw0Bq56y7z8=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+xv39IL7tPpsXHT+vo405BfLsmjmbjvDNJ7rppqDbsg=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JZbKCRNAfpwQdinVAV3pEHpgAt9gI/5jZd7JqepBTcA=</DigestValue>
      </Reference>
      <Reference URI="/xl/worksheets/sheet10.xml?ContentType=application/vnd.openxmlformats-officedocument.spreadsheetml.worksheet+xml">
        <DigestMethod Algorithm="http://www.w3.org/2001/04/xmlenc#sha256"/>
        <DigestValue>wGnjruhfzoZanVSRyknVRhsjZrn5i0W171pgc1lsvcM=</DigestValue>
      </Reference>
      <Reference URI="/xl/worksheets/sheet11.xml?ContentType=application/vnd.openxmlformats-officedocument.spreadsheetml.worksheet+xml">
        <DigestMethod Algorithm="http://www.w3.org/2001/04/xmlenc#sha256"/>
        <DigestValue>1G7FNFF0zHIx7xjHKp737UssT8AUAZYljlQ9XuCd2QU=</DigestValue>
      </Reference>
      <Reference URI="/xl/worksheets/sheet12.xml?ContentType=application/vnd.openxmlformats-officedocument.spreadsheetml.worksheet+xml">
        <DigestMethod Algorithm="http://www.w3.org/2001/04/xmlenc#sha256"/>
        <DigestValue>XGwFNqDIH3X3KAyMi0BmTiT6s4FatxLUhiPw+pqGf2M=</DigestValue>
      </Reference>
      <Reference URI="/xl/worksheets/sheet13.xml?ContentType=application/vnd.openxmlformats-officedocument.spreadsheetml.worksheet+xml">
        <DigestMethod Algorithm="http://www.w3.org/2001/04/xmlenc#sha256"/>
        <DigestValue>p5URKNdNoRkPXcwrHb5XrMtYPdE+2cwTWeRAz6YD/v0=</DigestValue>
      </Reference>
      <Reference URI="/xl/worksheets/sheet14.xml?ContentType=application/vnd.openxmlformats-officedocument.spreadsheetml.worksheet+xml">
        <DigestMethod Algorithm="http://www.w3.org/2001/04/xmlenc#sha256"/>
        <DigestValue>sZ13RV/KjhQ87V8FEy4f/1PKaaYdlFTPWiUgoGZdLOc=</DigestValue>
      </Reference>
      <Reference URI="/xl/worksheets/sheet15.xml?ContentType=application/vnd.openxmlformats-officedocument.spreadsheetml.worksheet+xml">
        <DigestMethod Algorithm="http://www.w3.org/2001/04/xmlenc#sha256"/>
        <DigestValue>dnzQkX+5cILSrIMfCBQGBk8WTdSJ/R3kgUNJ5WnIt3A=</DigestValue>
      </Reference>
      <Reference URI="/xl/worksheets/sheet16.xml?ContentType=application/vnd.openxmlformats-officedocument.spreadsheetml.worksheet+xml">
        <DigestMethod Algorithm="http://www.w3.org/2001/04/xmlenc#sha256"/>
        <DigestValue>QEkV7tqHUOh2ie6IxtR1qqYiK/8ZiQ1T/mcdUywnRo4=</DigestValue>
      </Reference>
      <Reference URI="/xl/worksheets/sheet17.xml?ContentType=application/vnd.openxmlformats-officedocument.spreadsheetml.worksheet+xml">
        <DigestMethod Algorithm="http://www.w3.org/2001/04/xmlenc#sha256"/>
        <DigestValue>TxJoeZqpjYP7Ginl447FfjLhupKZEupE5q+oSaFdQMs=</DigestValue>
      </Reference>
      <Reference URI="/xl/worksheets/sheet18.xml?ContentType=application/vnd.openxmlformats-officedocument.spreadsheetml.worksheet+xml">
        <DigestMethod Algorithm="http://www.w3.org/2001/04/xmlenc#sha256"/>
        <DigestValue>feHw9c8s7CSIVlan29p7lcgZVKjRHhbIh+70vNre+6M=</DigestValue>
      </Reference>
      <Reference URI="/xl/worksheets/sheet19.xml?ContentType=application/vnd.openxmlformats-officedocument.spreadsheetml.worksheet+xml">
        <DigestMethod Algorithm="http://www.w3.org/2001/04/xmlenc#sha256"/>
        <DigestValue>RjKOj0xAR68DCbbgiE6DBf2kww8ZXjGMIDzonOPbAwo=</DigestValue>
      </Reference>
      <Reference URI="/xl/worksheets/sheet2.xml?ContentType=application/vnd.openxmlformats-officedocument.spreadsheetml.worksheet+xml">
        <DigestMethod Algorithm="http://www.w3.org/2001/04/xmlenc#sha256"/>
        <DigestValue>Kuh9wbs2kIrnEpuC2NlKTs/wsymR4ZZiRA7nttSWn/U=</DigestValue>
      </Reference>
      <Reference URI="/xl/worksheets/sheet20.xml?ContentType=application/vnd.openxmlformats-officedocument.spreadsheetml.worksheet+xml">
        <DigestMethod Algorithm="http://www.w3.org/2001/04/xmlenc#sha256"/>
        <DigestValue>VpQCBmMnx0ycx4up+Wbbg9KKprEWFeSjORUpTbyZpfg=</DigestValue>
      </Reference>
      <Reference URI="/xl/worksheets/sheet21.xml?ContentType=application/vnd.openxmlformats-officedocument.spreadsheetml.worksheet+xml">
        <DigestMethod Algorithm="http://www.w3.org/2001/04/xmlenc#sha256"/>
        <DigestValue>ewda4V35SUzUdD0yKqQQcuDJy8MM+DfcpsccpKtleXw=</DigestValue>
      </Reference>
      <Reference URI="/xl/worksheets/sheet22.xml?ContentType=application/vnd.openxmlformats-officedocument.spreadsheetml.worksheet+xml">
        <DigestMethod Algorithm="http://www.w3.org/2001/04/xmlenc#sha256"/>
        <DigestValue>gAzdBD0eCWWGcaE84NiGMqipBB1gJ+R5koJYUucBn0s=</DigestValue>
      </Reference>
      <Reference URI="/xl/worksheets/sheet23.xml?ContentType=application/vnd.openxmlformats-officedocument.spreadsheetml.worksheet+xml">
        <DigestMethod Algorithm="http://www.w3.org/2001/04/xmlenc#sha256"/>
        <DigestValue>Hm9S1YubuXiNmDC+XRlZlQ5OSp1rToaJsFlkv6+YUFk=</DigestValue>
      </Reference>
      <Reference URI="/xl/worksheets/sheet3.xml?ContentType=application/vnd.openxmlformats-officedocument.spreadsheetml.worksheet+xml">
        <DigestMethod Algorithm="http://www.w3.org/2001/04/xmlenc#sha256"/>
        <DigestValue>o2QGHJlMiQroUWSqpKeLDX4VlRHn3aX0a/BiLKnZ4g4=</DigestValue>
      </Reference>
      <Reference URI="/xl/worksheets/sheet4.xml?ContentType=application/vnd.openxmlformats-officedocument.spreadsheetml.worksheet+xml">
        <DigestMethod Algorithm="http://www.w3.org/2001/04/xmlenc#sha256"/>
        <DigestValue>+BEcvVRAWfKk6dpn0P7yu1gwbHg9+fPKOdOQ7DKr+ks=</DigestValue>
      </Reference>
      <Reference URI="/xl/worksheets/sheet5.xml?ContentType=application/vnd.openxmlformats-officedocument.spreadsheetml.worksheet+xml">
        <DigestMethod Algorithm="http://www.w3.org/2001/04/xmlenc#sha256"/>
        <DigestValue>ZV9oGbpRy952QnhUZltOgNkElghsTtgaPvmkIxGL+9c=</DigestValue>
      </Reference>
      <Reference URI="/xl/worksheets/sheet6.xml?ContentType=application/vnd.openxmlformats-officedocument.spreadsheetml.worksheet+xml">
        <DigestMethod Algorithm="http://www.w3.org/2001/04/xmlenc#sha256"/>
        <DigestValue>0j7cft+bigzKuVBr86qd7xuQvR6uuPM9p7nwd8r9Mgw=</DigestValue>
      </Reference>
      <Reference URI="/xl/worksheets/sheet7.xml?ContentType=application/vnd.openxmlformats-officedocument.spreadsheetml.worksheet+xml">
        <DigestMethod Algorithm="http://www.w3.org/2001/04/xmlenc#sha256"/>
        <DigestValue>x7cKREyxLHfGpvsmY/oGr3s7oA1PIeKh7BqY3+ccYrI=</DigestValue>
      </Reference>
      <Reference URI="/xl/worksheets/sheet8.xml?ContentType=application/vnd.openxmlformats-officedocument.spreadsheetml.worksheet+xml">
        <DigestMethod Algorithm="http://www.w3.org/2001/04/xmlenc#sha256"/>
        <DigestValue>qy5JuNpssFTHkOAElZ3MYxyi0NythY1RWmhM8GqHG5M=</DigestValue>
      </Reference>
      <Reference URI="/xl/worksheets/sheet9.xml?ContentType=application/vnd.openxmlformats-officedocument.spreadsheetml.worksheet+xml">
        <DigestMethod Algorithm="http://www.w3.org/2001/04/xmlenc#sha256"/>
        <DigestValue>5WWMil5xrCfNNYZXuHMot4MNKh7qQXGlj2XlJLERBFk=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2019-06-24T23:11:41Z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{BB1CC4B6-6B1A-4370-80DC-C43A2BA271C8}</SetupID>
          <SignatureText> </SignatureText>
          <SignatureImage/>
          <SignatureComments/>
          <WindowsVersion>10.0</WindowsVersion>
          <OfficeVersion>16.0.11629/17</OfficeVersion>
          <ApplicationVersion>16.0.11629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2019-06-24T23:11:41Z</xd:SigningTime>
          <xd:SigningCertificate>
            <xd:Cert>
              <xd:CertDigest>
                <DigestMethod Algorithm="http://www.w3.org/2001/04/xmlenc#sha256"/>
                <DigestValue>gLhef4VBIrxbxjRpBnZs5HGhccmrFOnLO5S9xKX7IhI=</DigestValue>
              </xd:CertDigest>
              <xd:IssuerSerial>
                <X509IssuerName>CN=CA-CODE100 S.A., C=PY, O=CODE100 S.A., SERIALNUMBER=RUC 80080610-7</X509IssuerName>
                <X509SerialNumber>2051668588255764032287744519888999024756266640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  <Object Id="idValidSigLnImg">AQAAAGwAAAAAAAAAAAAAAP8AAAB/AAAAAAAAAAAAAAAvGQAAkQwAACBFTUYAAAEAKBsAAKoAAAAGAAAAAAAAAAAAAAAAAAAAVgUAAAADAABYAQAAwQAAAAAAAAAAAAAAAAAAAMA/BQDo8QI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FNeCQAAAHRptF4azifZcENgd8DbCAD/AQAA1Ml2ACUAAAAzAAAAYAAAADMAAAAiAAAAlO1KBULNJ9n/////EMt2AJzbVF74lPURAQAAAAEAAAA+XaR3AgAAAAEAAAAAAAAAAgIAAFEAAADwrX0MDQEAAJzLdgCJgXN17Ml2AAAAAACVgXN1ZwA7KfX///8AAAAAAAAAAAAAAACQAQAAAAAAAQAAAABzAGUAZwBvAA4ecV9IynYAwYdrdgAAYHcAAHYAAAAAAETKdgAAAAAALcpTXgAAYHcAAAAAEwAUAHRptF5wQ2B3XMp2AARPB3cAAGB3dGm0XvbKU14a1AdfZHYACAAAAAAlAAAADAAAAAEAAAAYAAAADAAAAAAAAAASAAAADAAAAAEAAAAeAAAAGAAAAMMAAAAEAAAA9wAAABEAAAAlAAAADAAAAAEAAABUAAAAhAAAAMQAAAAEAAAA9QAAABAAAAABAAAA0XbJQasKyUHEAAAABAAAAAkAAABMAAAAAAAAAAAAAAAAAAAA//////////9gAAAAMgA0AC8ANgAvADIAMAAxADkAYZUGAAAABgAAAAQAAAAGAAAABAAAAAYAAAAGAAAABgAAAAYAAABLAAAAQAAAADAAAAAFAAAAIAAAAAEAAAABAAAAEAAAAAAAAAAAAAAAAAEAAIAAAAAAAAAAAAAAAAABAACAAAAAUgAAAHABAAACAAAAEAAAAAcAAAAAAAAAAAAAALwCAAAAAAAAAQICIlMAeQBzAHQAZQBtAAAAAAAAAAAAAAAAAAAAAAAAAAAAAAAAAAAAAAAAAAAAAAAAAAAAAAAAAAAAAAAAAAAAAAAAAKd3iFZ1AJfhp3cAAGB3wNsIAMbhp3fYVnUAwNsIAEpptF4AAAAASmm0XgAAAgDA2wgAAAAAAAAAAAAAAAAAAAAAAFjlCAAAAAAAAAAAAAAAAAAAAAAAAAAAAAAAAAAAAAAAAAAAAAAAAAAAAAAAAAAAAAAAAAAAAAAAAAAAAAAAAAD8AQAADoJyX3xXdQDC06N3AAAAAAEAAADYVnUA//8AAAAAAACM1qN3jNajdwgTEgCsV3UAsFd1AAcAAAAAAAAAuFlqdgkAAABUBhv/BwAAAOhXdQBs6V926Fd1AAAAAAAAAgAAAAAAAAAAAAAAAAAAAAAAAPwB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dQBwWHUAvYBzdQAAAAAoVnUAAAAAAJoftF2pP3n8iNgDXrQKHxJ0WnUA0MxBEBSeql2I2ANecTB5/NDMQRCuCqRdAAAAAF0wefwQVnUAoMi7XSBcJAUgXCQFyFWaFchVmhUAAAAAaTB5/DQyfgwWCaRd2Fd1AImBc3UoVnUAAAAAAJWBc3UAAAAA4P///wAAAAAAAAAAAAAAAJABAAAAAAABAAAAAGEAcgBpAGEAbAAAAAAAAAAAAAAABgAAAAAAAAC4WWp2AAAAAFQGG/8GAAAAiFd1AGzpX3aIV3UAAAAAAAACAAAAAAAAAAAAAAAAAAAAAAAAAAAAADhkTBJkdgAIAAAAACUAAAAMAAAAAwAAABgAAAAMAAAAAAAAABIAAAAMAAAAAQAAABYAAAAMAAAACAAAAFQAAABUAAAACgAAACcAAAAeAAAASgAAAAEAAADRdslBqwrJQQoAAABLAAAAAQAAAEwAAAAEAAAACQAAACcAAAAgAAAASwAAAFAAAABYAM+j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C4AAABHAAAAKQAAADMAAAAGAAAAFQAAACEA8AAAAAAAAAAAAAAAgD8AAAAAAAAAAAAAgD8AAAAAAAAAAAAAAAAAAAAAAAAAAAAAAAAAAAAAAAAAACUAAAAMAAAAAAAAgCgAAAAMAAAABAAAAFIAAABwAQAABAAAAPD///8AAAAAAAAAAAAAAACQAQAAAAAAAQAAAABzAGUAZwBvAGUAIAB1AGkAAAAAAAAAAAAAAAAAAAAAAAAAAAAAAAAAAAAAAAAAAAAAAAAAAAAAAAAAAAAAAAAAAAB1AFhYdQC9gHN1AAAAABBWdQAAAAAAtzsQIwAAAADMVXUA7E3lXAEAAAB8VnUAIA0AhAAAAABtMHn8cI4xEgIAAACgimMQbTB5/HCOMRICAAAAkFd1AJxoxF3/////nFd1ANhFrF0VMnn83DF+DKxcdQDAV3UAiYFzdRBWdQAAAAAAlYFzdfxXdQDw////AAAAAAAAAAAAAAAAkAEAAAAAAAEAAAAAcwBlAGcAbwBlACAAdQBpAAAAAAAJAAAAAAAAALhZanYAAAAAVAYb/wkAAABwV3UAbOlfdnBXdQAAAAAAAAIAAAAAAAAAAAAAAAAAAAAAAAAAAAAAAAAAAGR2AAgAAAAAJQAAAAwAAAAEAAAAGAAAAAwAAAAAAAAAEgAAAAwAAAABAAAAHgAAABgAAAApAAAAMwAAAC8AAABIAAAAJQAAAAwAAAAEAAAAVAAAAFQAAAAqAAAAMwAAAC0AAABHAAAAAQAAANF2yUGrCslBKgAAADMAAAABAAAATAAAAAAAAAAAAAAAAAAAAP//////////UAAAACAAeEEEAAAASwAAAEAAAAAwAAAABQAAACAAAAABAAAAAQAAABAAAAAAAAAAAAAAAAABAACAAAAAAAAAAAAAAAAAAQAAgAAAACUAAAAMAAAAAgAAACcAAAAYAAAABQAAAAAAAAD///8AAAAAACUAAAAMAAAABQAAAEwAAABkAAAAAAAAAFAAAAD/AAAAfAAAAAAAAABQAAAAAAEAAC0AAAAhAPAAAAAAAAAAAAAAAIA/AAAAAAAAAAAAAIA/AAAAAAAAAAAAAAAAAAAAAAAAAAAAAAAAAAAAAAAAAAAlAAAADAAAAAAAAIAoAAAADAAAAAUAAAAnAAAAGAAAAAUAAAAAAAAA////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JwAAAAKAAAAUAAAAFAAAABcAAAAAQAAANF2yUGrCslBCgAAAFAAAAANAAAATAAAAAAAAAAAAAAAAAAAAP//////////aAAAAEQAaQBlAGcAbwAgAEIAYQByAGUAaQByAG8ASvgIAAAAAwAAAAYAAAAHAAAABwAAAAMAAAAHAAAABgAAAAQAAAAGAAAAAwAAAAQAAAAHAAAASwAAAEAAAAAwAAAABQAAACAAAAABAAAAAQAAABAAAAAAAAAAAAAAAAABAACAAAAAAAAAAAAAAAAAAQAAgAAAACUAAAAMAAAAAgAAACcAAAAYAAAABQAAAAAAAAD///8AAAAAACUAAAAMAAAABQAAAEwAAABkAAAACQAAAGAAAAD2AAAAbAAAAAkAAABgAAAA7gAAAA0AAAAhAPAAAAAAAAAAAAAAAIA/AAAAAAAAAAAAAIA/AAAAAAAAAAAAAAAAAAAAAAAAAAAAAAAAAAAAAAAAAAAlAAAADAAAAAAAAIAoAAAADAAAAAUAAAAlAAAADAAAAAEAAAAYAAAADAAAAAAAAAASAAAADAAAAAEAAAAeAAAAGAAAAAkAAABgAAAA9wAAAG0AAAAlAAAADAAAAAEAAABUAAAAfAAAAAoAAABgAAAAOgAAAGwAAAABAAAA0XbJQasKyUEKAAAAYAAAAAgAAABMAAAAAAAAAAAAAAAAAAAA//////////9cAAAAQwBvAG4AdABhAGQAbwByAAcAAAAHAAAABwAAAAQAAAAGAAAABwAAAAcAAAAEAAAASwAAAEAAAAAwAAAABQAAACAAAAABAAAAAQAAABAAAAAAAAAAAAAAAAABAACAAAAAAAAAAAAAAAAAAQAAgAAAACUAAAAMAAAAAgAAACcAAAAYAAAABQAAAAAAAAD///8AAAAAACUAAAAMAAAABQAAAEwAAABkAAAACQAAAHAAAADoAAAAfAAAAAkAAABwAAAA4AAAAA0AAAAhAPAAAAAAAAAAAAAAAIA/AAAAAAAAAAAAAIA/AAAAAAAAAAAAAAAAAAAAAAAAAAAAAAAAAAAAAAAAAAAlAAAADAAAAAAAAIAoAAAADAAAAAUAAAAlAAAADAAAAAEAAAAYAAAADAAAAAAAAAASAAAADAAAAAEAAAAWAAAADAAAAAAAAABUAAAALAEAAAoAAABwAAAA5wAAAHwAAAABAAAA0XbJQasKyUEKAAAAcAAAACUAAABMAAAABAAAAAkAAABwAAAA6QAAAH0AAACYAAAARgBpAHIAbQBhAGQAbwAgAHAAbwByADoAIABEAEkARQBHAE8AIABUAE8ATQBBAFMAIABCAEEAUgBFAEkAUgBPACAAQQBSAEMARQB6EwYAAAADAAAABAAAAAkAAAAGAAAABwAAAAcAAAADAAAABwAAAAcAAAAEAAAAAwAAAAMAAAAIAAAAAwAAAAYAAAAIAAAACQAAAAMAAAAFAAAACQAAAAoAAAAHAAAABgAAAAMAAAAHAAAABwAAAAcAAAAGAAAAAwAAAAcAAAAJAAAAAwAAAAcAAAAHAAAABwAAAAYAAAAWAAAADAAAAAAAAAAlAAAADAAAAAIAAAAOAAAAFAAAAAAAAAAQAAAAFAAAAA==</Object>
  <Object Id="idInvalidSigLnImg">AQAAAGwAAAAAAAAAAAAAAP8AAAB/AAAAAAAAAAAAAAAvGQAAkQwAACBFTUYAAAEAyB4AALAAAAAGAAAAAAAAAAAAAAAAAAAAVgUAAAADAABYAQAAwQAAAAAAAAAAAAAAAAAAAMA/BQDo8QI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EAAAAQAAAAIgAAAAQAAABQAAAADQAAACEA8AAAAAAAAAAAAAAAgD8AAAAAAAAAAAAAgD8AAAAAAAAAAAAAAAAAAAAAAAAAAAAAAAAAAAAAAAAAACUAAAAMAAAAAAAAgCgAAAAMAAAAAQAAAFIAAABwAQAAAQAAAPX///8AAAAAAAAAAAAAAACQAQAAAAAAAQAAAABzAGUAZwBvAGUAIAB1AGkAAAAAAAAAAAAAAAAAAAAAAAAAAAAAAAAAAAAAAAAAAAAAAAAAAAAAAAAAAAAAAAAAAABTXgkAAAB0abReGs4n2XBDYHfA2wgA/wEAANTJdgAlAAAAMwAAAGAAAAAzAAAAIgAAAJTtSgVCzSfZ/////xDLdgCc21Re+JT1EQEAAAABAAAAPl2kdwIAAAABAAAAAAAAAAICAABRAAAA8K19DA0BAACcy3YAiYFzdezJdgAAAAAAlYFzdWcAOyn1////AAAAAAAAAAAAAAAAkAEAAAAAAAEAAAAAcwBlAGcAbwAOHnFfSMp2AMGHa3YAAGB3AAB2AAAAAABEynYAAAAAAC3KU14AAGB3AAAAABMAFAB0abRecENgd1zKdgAETwd3AABgd3RptF72ylNeGtQHX2R2AAgAAAAAJQAAAAwAAAABAAAAGAAAAAwAAAD/AAAAEgAAAAwAAAABAAAAHgAAABgAAAAiAAAABAAAAHIAAAARAAAAJQAAAAwAAAABAAAAVAAAAKgAAAAjAAAABAAAAHAAAAAQAAAAAQAAANF2yUGrCslBIwAAAAQAAAAPAAAATAAAAAAAAAAAAAAAAAAAAP//////////bAAAAEYAaQByAG0AYQAgAG4AbwAgAHYA4QBsAGkAZABhAPdvBgAAAAMAAAAEAAAACQAAAAYAAAADAAAABwAAAAcAAAADAAAABQAAAAYAAAADAAAAAwAAAAcAAAAGAAAASwAAAEAAAAAwAAAABQAAACAAAAABAAAAAQAAABAAAAAAAAAAAAAAAAABAACAAAAAAAAAAAAAAAAAAQAAgAAAAFIAAABwAQAAAgAAABAAAAAHAAAAAAAAAAAAAAC8AgAAAAAAAAECAiJTAHkAcwB0AGUAbQAAAAAAAAAAAAAAAAAAAAAAAAAAAAAAAAAAAAAAAAAAAAAAAAAAAAAAAAAAAAAAAAAAAAAAAACnd4hWdQCX4ad3AABgd8DbCADG4ad32FZ1AMDbCABKabReAAAAAEpptF4AAAIAwNsIAAAAAAAAAAAAAAAAAAAAAABY5QgAAAAAAAAAAAAAAAAAAAAAAAAAAAAAAAAAAAAAAAAAAAAAAAAAAAAAAAAAAAAAAAAAAAAAAAAAAAAAAAAA/AEAAA6Ccl98V3UAwtOjdwAAAAABAAAA2FZ1AP//AAAAAAAAjNajd4zWo3cIExIArFd1ALBXdQAHAAAAAAAAALhZanYJAAAAVAYb/wcAAADoV3UAbOlfduhXdQAAAAAAAAIAAAAAAAAAAAAAAAAAAAAAAAD8AQ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HUAcFh1AL2Ac3UAAAAAKFZ1AAAAAACaH7RdqT95/IjYA160Ch8SdFp1ANDMQRAUnqpdiNgDXnEwefzQzEEQrgqkXQAAAABdMHn8EFZ1AKDIu10gXCQFIFwkBchVmhXIVZoVAAAAAGkwefw0Mn4MFgmkXdhXdQCJgXN1KFZ1AAAAAACVgXN1AAAAAOD///8AAAAAAAAAAAAAAACQAQAAAAAAAQAAAABhAHIAaQBhAGwAAAAAAAAAAAAAAAYAAAAAAAAAuFlqdgAAAABUBhv/BgAAAIhXdQBs6V92iFd1AAAAAAAAAgAAAAAAAAAAAAAAAAAAAAAAAAAAAAA4ZEwSZHYACAAAAAAlAAAADAAAAAMAAAAYAAAADAAAAAAAAAASAAAADAAAAAEAAAAWAAAADAAAAAgAAABUAAAAVAAAAAoAAAAnAAAAHgAAAEoAAAABAAAA0XbJQasKyUEKAAAASwAAAAEAAABMAAAABAAAAAkAAAAnAAAAIAAAAEsAAABQAAAAWAC7rR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AuAAAARwAAACkAAAAzAAAABgAAABUAAAAhAPAAAAAAAAAAAAAAAIA/AAAAAAAAAAAAAIA/AAAAAAAAAAAAAAAAAAAAAAAAAAAAAAAAAAAAAAAAAAAlAAAADAAAAAAAAIAoAAAADAAAAAQAAABSAAAAcAEAAAQAAADw////AAAAAAAAAAAAAAAAkAEAAAAAAAEAAAAAcwBlAGcAbwBlACAAdQBpAAAAAAAAAAAAAAAAAAAAAAAAAAAAAAAAAAAAAAAAAAAAAAAAAAAAAAAAAAAAAAAAAAAAdQBYWHUAvYBzdQAAAAAQVnUAAAAAALc7ECMAAAAAzFV1AOxN5VwBAAAAfFZ1ACANAIQAAAAAbTB5/HCOMRICAAAAoIpjEG0wefxwjjESAgAAAJBXdQCcaMRd/////5xXdQDYRaxdFTJ5/NwxfgysXHUAwFd1AImBc3UQVnUAAAAAAJWBc3X8V3UA8P///wAAAAAAAAAAAAAAAJABAAAAAAABAAAAAHMAZQBnAG8AZQAgAHUAaQAAAAAACQAAAAAAAAC4WWp2AAAAAFQGG/8JAAAAcFd1AGzpX3ZwV3UAAAAAAAACAAAAAAAAAAAAAAAAAAAAAAAAAAAAAAAAAABkdgAIAAAAACUAAAAMAAAABAAAABgAAAAMAAAAAAAAABIAAAAMAAAAAQAAAB4AAAAYAAAAKQAAADMAAAAvAAAASAAAACUAAAAMAAAABAAAAFQAAABUAAAAKgAAADMAAAAtAAAARwAAAAEAAADRdslBqwrJQSoAAAAzAAAAAQAAAEwAAAAAAAAAAAAAAAAAAAD//////////1AAAAAgAAAABAAAAEsAAABAAAAAMAAAAAUAAAAgAAAAAQAAAAEAAAAQAAAAAAAAAAAAAAAAAQAAgAAAAAAAAAAAAAAAAAEAAIAAAAAlAAAADAAAAAIAAAAnAAAAGAAAAAUAAAAAAAAA////AAAAAAAlAAAADAAAAAUAAABMAAAAZAAAAAAAAABQAAAA/wAAAHwAAAAAAAAAUAAAAAABAAAtAAAAIQDwAAAAAAAAAAAAAACAPwAAAAAAAAAAAACAPwAAAAAAAAAAAAAAAAAAAAAAAAAAAAAAAAAAAAAAAAAAJQAAAAwAAAAAAACAKAAAAAwAAAAFAAAAJwAAABgAAAAFAAAAAAAAAP///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CcAAAACgAAAFAAAABQAAAAXAAAAAEAAADRdslBqwrJQQoAAABQAAAADQAAAEwAAAAAAAAAAAAAAAAAAAD//////////2gAAABEAGkAZQBnAG8AIABCAGEAcgBlAGkAcgBvAAAACAAAAAMAAAAGAAAABwAAAAcAAAADAAAABwAAAAYAAAAEAAAABgAAAAMAAAAEAAAABwAAAEsAAABAAAAAMAAAAAUAAAAgAAAAAQAAAAEAAAAQAAAAAAAAAAAAAAAAAQAAgAAAAAAAAAAAAAAAAAEAAIAAAAAlAAAADAAAAAIAAAAnAAAAGAAAAAUAAAAAAAAA////AAAAAAAlAAAADAAAAAUAAABMAAAAZAAAAAkAAABgAAAA9gAAAGwAAAAJAAAAYAAAAO4AAAANAAAAIQDwAAAAAAAAAAAAAACAPwAAAAAAAAAAAACAPwAAAAAAAAAAAAAAAAAAAAAAAAAAAAAAAAAAAAAAAAAAJQAAAAwAAAAAAACAKAAAAAwAAAAFAAAAJQAAAAwAAAABAAAAGAAAAAwAAAAAAAAAEgAAAAwAAAABAAAAHgAAABgAAAAJAAAAYAAAAPcAAABtAAAAJQAAAAwAAAABAAAAVAAAAHwAAAAKAAAAYAAAADoAAABsAAAAAQAAANF2yUGrCslBCgAAAGAAAAAIAAAATAAAAAAAAAAAAAAAAAAAAP//////////XAAAAEMAbwBuAHQAYQBkAG8AcgAHAAAABwAAAAcAAAAEAAAABgAAAAcAAAAHAAAABAAAAEsAAABAAAAAMAAAAAUAAAAgAAAAAQAAAAEAAAAQAAAAAAAAAAAAAAAAAQAAgAAAAAAAAAAAAAAAAAEAAIAAAAAlAAAADAAAAAIAAAAnAAAAGAAAAAUAAAAAAAAA////AAAAAAAlAAAADAAAAAUAAABMAAAAZAAAAAkAAABwAAAA6AAAAHwAAAAJAAAAcAAAAOAAAAANAAAAIQDwAAAAAAAAAAAAAACAPwAAAAAAAAAAAACAPwAAAAAAAAAAAAAAAAAAAAAAAAAAAAAAAAAAAAAAAAAAJQAAAAwAAAAAAACAKAAAAAwAAAAFAAAAJQAAAAwAAAABAAAAGAAAAAwAAAAAAAAAEgAAAAwAAAABAAAAFgAAAAwAAAAAAAAAVAAAACwBAAAKAAAAcAAAAOcAAAB8AAAAAQAAANF2yUGrCslBCgAAAHAAAAAlAAAATAAAAAQAAAAJAAAAcAAAAOkAAAB9AAAAmAAAAEYAaQByAG0AYQBkAG8AIABwAG8AcgA6ACAARABJAEUARwBPACAAVABPAE0AQQBTACAAQgBBAFIARQBJAFIATwAgAEEAUgBDAEUAAAAGAAAAAwAAAAQAAAAJAAAABgAAAAcAAAAHAAAAAwAAAAcAAAAHAAAABAAAAAMAAAADAAAACAAAAAMAAAAGAAAACAAAAAkAAAADAAAABQAAAAkAAAAKAAAABwAAAAYAAAADAAAABwAAAAcAAAAHAAAABgAAAAMAAAAHAAAACQAAAAMAAAAHAAAABwAAAAcAAAAGAAAAFgAAAAwAAAAAAAAAJQAAAAwAAAACAAAADgAAABQAAAAAAAAAEAAAABQAAAA=</Object>
</Signature>
</file>

<file path=_xmlsignatures/sig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fkoPjD3NVTCgwsddd0zYd00O/GAn7f967D3Z5sgFczM=</DigestValue>
    </Reference>
    <Reference Type="http://www.w3.org/2000/09/xmldsig#Object" URI="#idOfficeObject">
      <DigestMethod Algorithm="http://www.w3.org/2001/04/xmlenc#sha256"/>
      <DigestValue>XVapJPZm+1H1+p9NCJNK7coAOAE8Y1j/TpQcAQwZf/M=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sts8qIrQ93tjAS02QFRRG3e91EHLpjNY90BGX8mgXN8=</DigestValue>
    </Reference>
    <Reference Type="http://www.w3.org/2000/09/xmldsig#Object" URI="#idValidSigLnImg">
      <DigestMethod Algorithm="http://www.w3.org/2001/04/xmlenc#sha256"/>
      <DigestValue>2FhVE1VRPQR6MlckbnSCU4TjMHEJb57YKQx4X5hXIXk=</DigestValue>
    </Reference>
    <Reference Type="http://www.w3.org/2000/09/xmldsig#Object" URI="#idInvalidSigLnImg">
      <DigestMethod Algorithm="http://www.w3.org/2001/04/xmlenc#sha256"/>
      <DigestValue>GKtMWr65SOyusLTAAD3iCVoDRNghk/B7xmniX7v3w6E=</DigestValue>
    </Reference>
  </SignedInfo>
  <SignatureValue>SFrM63nDJ7+Zw8bT65hG6OL5ynk26VdlIdAdWY/GyeZK4eyMnxpxxFLGckDZ828e8JiAKn6EJURh
51jY3sUGQBIyBO8xfGzdxVJFVSmvVRnu83VmUqWrnQw6/bPobGQRicE5sfJoICQ3UpWJuXgRd6vd
/juK/rmsN9PS8OfhKpfsLuOV3AEaonvww7WMgHUKriAZYFmq+DMDE7+kQITfygYJbn0u4iEjw70J
z60j6DYrPbbOzF3Um1MuFOTIhWwSnyxas6CCWnjzR8VBkJGwJamYKsTLoTmyz0arBAAtaRrYoMnn
f0fAKjslSzjaV3DZm/+1MFDbxU5c6uBVi1AcRw==</SignatureValue>
  <KeyInfo>
    <X509Data>
      <X509Certificate>MIIICTCCBfGgAwIBAgITXAAAFpEF1ZNofAgMGgAAAAAWkTANBgkqhkiG9w0BAQsFADBXMRcwFQYDVQQFEw5SVUMgODAwODA2MTAtNzEVMBMGA1UEChMMQ09ERTEwMCBTLkEuMQswCQYDVQQGEwJQWTEYMBYGA1UEAxMPQ0EtQ09ERTEwMCBTLkEuMB4XDTE5MDYyNDIxNTQyOVoXDTIxMDYyNDIxNTQyOVowgaIxJDAiBgNVBAMTG0pPUkdFIEVOUklRVUUgU09UTyBHT05aQUxFWjEXMBUGA1UEChMOUEVSU09OQSBGSVNJQ0ExCzAJBgNVBAYTAlBZMRYwFAYDVQQqEw1KT1JHRSBFTlJJUVVFMRYwFAYDVQQEEw1TT1RPIEdPTlpBTEVaMREwDwYDVQQFEwhDSTc0ODU3MzERMA8GA1UECxMIRklSTUEgRjIwggEiMA0GCSqGSIb3DQEBAQUAA4IBDwAwggEKAoIBAQDQL0p6zG7/CO+rGgaKV9ZQxRbowavM0gmY3gD1lkTEH+2U8pZopUJPckwN9RsICyzjJuN7zXXHA+YfDQZeMJW2lakaWeTH62qI+wb7SeOcHT7cS8g2cdHn/aSeAWSIGmINJoPKZY8k86ed8x8xuboubg2OOhodReg3Fi3XF76bTpOEzTsaqaWuB4N5CoRNL7GWro6979S97X9Pb9kMcD+jA0jM8JiMBtKtU7p1T6tTkg7BsaL2/5Y6Yi05GDiyQhwuG2OP9uIT4XCESTjYkKxx7SsvoPk4Xtq2PBx5uCLdshGNPoMrpSEHOsMrbqV9yqUmnIcVe6FtzW+LeC5LdCuRAgMBAAGjggOAMIIDfDAOBgNVHQ8BAf8EBAMCBeAwDAYDVR0TAQH/BAIwADAgBgNVHSUBAf8EFjAUBggrBgEFBQcDAgYIKwYBBQUHAwQwHQYDVR0OBBYEFCNXbyTmnlTwEGsKzUt+fBSP0ughMB8GA1UdIwQYMBaAFCf22jsLf5P4WRLQFapCz7KWlj1FMIGIBgNVHR8EgYAwfjB8oHqgeIY6aHR0cDovL2NhMS5jb2RlMTAwLmNvbS5weS9maXJtYS1kaWdpdGFsL2NybC9DQS1DT0RFMTAwLmNybIY6aHR0cDovL2NhMi5jb2RlMTAwLmNvbS5weS9maXJtYS1kaWdpdGFsL2NybC9DQS1DT0RFMTAwLmNybDCB+AYIKwYBBQUHAQEEgeswgegwRgYIKwYBBQUHMAKGOmh0dHA6Ly9jYTEuY29kZTEwMC5jb20ucHkvZmlybWEtZGlnaXRhbC9jZXIvQ0EtQ09ERTEwMC5jZXIwRgYIKwYBBQUHMAKGOmh0dHA6Ly9jYTIuY29kZTEwMC5jb20ucHkvZmlybWEtZGlnaXRhbC9jZXIvQ0EtQ09ERTEwMC5jZXIwKgYIKwYBBQUHMAGGHmh0dHA6Ly9jYTEuY29kZTEwMC5jb20ucHkvb2NzcDAqBggrBgEFBQcwAYYeaHR0cDovL2NhMi5jb2RlMTAwLmNvbS5weS9vY3NwMIIBTwYDVR0gBIIBRjCCAUIwggE+BgwrBgEEAYLZSgEBAQYwggEsMGwGCCsGAQUFBwIBFmBodHRwOi8vd3d3LmNvZGUxMDAuY29tLnB5L2Zpcm1hLWRpZ2l0YWwvQ09ERTEwMCUyMFBvbGl0aWNhJTIwZGUlMjBDZXJ0aWZpY2FjaW9uJTIwRjIlMjB2Mi4wLnBkZgAwZgYIKwYBBQUHAgIwWh5YAFAAbwBsAGkAdABpAGMAYQAgAGQAZQAgAGMAZQByAHQAaQBmAGkAYwBhAGMAaQBvAG4AIABGADIAIABkAGUAIABDAG8AZABlADEAMAAwACAAUwAuAEEALjBUBggrBgEFBQcCAjBIHkYAQwBvAGQAZQAgADEAMAAwACAAUwAuAEEALgAgAEMAZQByAHQAaQBmAGkAYwBhAHQAZQAgAFAAbwBsAGkAYwB5ACAARgAyMCEGA1UdEQQaMBiBFkpPUkdFU09UTy5QWUBHTUFJTC5DT00wDQYJKoZIhvcNAQELBQADggIBAEQ9ZY0wROs80oOZcqS64T9upoJ3t5GP3XVLXMM94/nSlM8b6mSYEPwOHsb/st2IhklOMtQfEj97dTaKhAEzDn6FEijxAbmjhNhfv6QFd/ILWdV4n8yTD1dyv7wQTCFQ5fLfvINFRgafcOLvoMsI6V3wXqSDuLo2PKS8GyTD75SI4eXUdBhrB8qHMN8n8+bhUdtabUnIuimWhe5TN1sae/yE1OxwXTeyb5RBDJqLSrmeT0vI9Pn34bOu7gSl2h3LMGd2CojpLKi7IRJwCrP4LA/FjL0sTTtTTsTWxb9Ao427yxnghsAABx/j1U9W9YxCm5ldWAI4ql9Z0qirD3db74mI4SMEdor382mD6u9sqkcPlUihmGnBmtOlfp5OygAAKyVypDyp698A8NIGoyaT3dYzjVL36rC1UI2XssBy9CkKi4HmvazzDhUFlSlX1xdxh/cmd47H8JYDHQk49gis4QpZuvp7ZYJDJJ0yctLPQx9QqvAOq6fA2m7QC+NqO05+qJWlqIKzK0E8jTx+T9A1qPu+AtKJQMwgC+Kjml/a23qHiD50FeVyH3Vy3htvxkP9Pme5NRJvLfz4t58w3EXQ3jSrn2RU+Sl8YuL13oSGNh/A7elMsxx6TN+G3FL8TPoaSIiGWQ0+PYvrvbPE6uAXUr3tF5KRSye+1LEVWRkTwS7h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</Transform>
          <Transform Algorithm="http://www.w3.org/TR/2001/REC-xml-c14n-20010315"/>
        </Transforms>
        <DigestMethod Algorithm="http://www.w3.org/2001/04/xmlenc#sha256"/>
        <DigestValue>wSI3zEpV7yIVEA0ki9RxGMIf6M5fEUm6iyRk/pfTaR8=</DigestValue>
      </Reference>
      <Reference URI="/xl/calcChain.xml?ContentType=application/vnd.openxmlformats-officedocument.spreadsheetml.calcChain+xml">
        <DigestMethod Algorithm="http://www.w3.org/2001/04/xmlenc#sha256"/>
        <DigestValue>IcL+xNN0dm+/wnirCvAhnIAXotEegtSQ9YtjUd3085w=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YHVu9mfH7V1ojJZZGe0raSx5xHTqsPuldcEKZklKsN8=</DigestValue>
      </Reference>
      <Reference URI="/xl/drawings/drawing1.xml?ContentType=application/vnd.openxmlformats-officedocument.drawing+xml">
        <DigestMethod Algorithm="http://www.w3.org/2001/04/xmlenc#sha256"/>
        <DigestValue>7sRuOdnO1WGPdzTLpgPZvQWpgYAKw4gF6xK1JwoGMs0=</DigestValue>
      </Reference>
      <Reference URI="/xl/drawings/drawing2.xml?ContentType=application/vnd.openxmlformats-officedocument.drawing+xml">
        <DigestMethod Algorithm="http://www.w3.org/2001/04/xmlenc#sha256"/>
        <DigestValue>AK4mvgFtnNsz65V6zrLzQo41W/dpL18KNUsgHrf0WpA=</DigestValue>
      </Reference>
      <Reference URI="/xl/drawings/drawing3.xml?ContentType=application/vnd.openxmlformats-officedocument.drawing+xml">
        <DigestMethod Algorithm="http://www.w3.org/2001/04/xmlenc#sha256"/>
        <DigestValue>eudCPqkdeZLfsjz6Sc5VOshwAW7szeMCkK47Ew5+Nto=</DigestValue>
      </Reference>
      <Reference URI="/xl/drawings/drawing4.xml?ContentType=application/vnd.openxmlformats-officedocument.drawing+xml">
        <DigestMethod Algorithm="http://www.w3.org/2001/04/xmlenc#sha256"/>
        <DigestValue>B1IauihWRvMFSm25Lzczu/QqWHjtyi040G0SGMvsaaw=</DigestValue>
      </Reference>
      <Reference URI="/xl/drawings/vmlDrawing1.vml?ContentType=application/vnd.openxmlformats-officedocument.vmlDrawing">
        <DigestMethod Algorithm="http://www.w3.org/2001/04/xmlenc#sha256"/>
        <DigestValue>3ZDx8XFQUZWHRhLflekwvMmXcTCPnmd87w+CF/jaXeU=</DigestValue>
      </Reference>
      <Reference URI="/xl/media/image1.emf?ContentType=image/x-emf">
        <DigestMethod Algorithm="http://www.w3.org/2001/04/xmlenc#sha256"/>
        <DigestValue>Hg2NPVRJLm+vtdXoieI4Fy0Y2BmZubJMdH/qp3WTkvU=</DigestValue>
      </Reference>
      <Reference URI="/xl/media/image2.emf?ContentType=image/x-emf">
        <DigestMethod Algorithm="http://www.w3.org/2001/04/xmlenc#sha256"/>
        <DigestValue>be+o1oa2MmUOToa11nnpgqEQC4RY2cWQoqu9f0zWITQ=</DigestValue>
      </Reference>
      <Reference URI="/xl/media/image3.emf?ContentType=image/x-emf">
        <DigestMethod Algorithm="http://www.w3.org/2001/04/xmlenc#sha256"/>
        <DigestValue>xMWihlhfsBs6CKC2cPYcw7e0DCAFecIX4MRNISDlChA=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BcOKdJjQFTLcZoDA2ywIaz5X318xjprn8X7GiIbkvGg=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X38JB50a85/5nQfyv3KVxfwoGGcCao4f1u0WEJAZcgc=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X38JB50a85/5nQfyv3KVxfwoGGcCao4f1u0WEJAZcgc=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tpgp+JTDhs7rEUH4kdeM1wg+sZnZqvqeLKblVnQyUMs=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BcOKdJjQFTLcZoDA2ywIaz5X318xjprn8X7GiIbkvGg=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X38JB50a85/5nQfyv3KVxfwoGGcCao4f1u0WEJAZcgc=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UOGwlsdJmqa5vEDgMKFCJitpNFxyudtlzQKWMEsaTKY=</DigestValue>
      </Reference>
      <Reference URI="/xl/printerSettings/printerSettings16.bin?ContentType=application/vnd.openxmlformats-officedocument.spreadsheetml.printerSettings">
        <DigestMethod Algorithm="http://www.w3.org/2001/04/xmlenc#sha256"/>
        <DigestValue>BcOKdJjQFTLcZoDA2ywIaz5X318xjprn8X7GiIbkvGg=</DigestValue>
      </Reference>
      <Reference URI="/xl/printerSettings/printerSettings17.bin?ContentType=application/vnd.openxmlformats-officedocument.spreadsheetml.printerSettings">
        <DigestMethod Algorithm="http://www.w3.org/2001/04/xmlenc#sha256"/>
        <DigestValue>nB6CUlVamfiedg1llGQojU2ihy3txY4KUL6Xc/7BiI4=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wMWdxoIl1KhZYguEUIV9iR7byuphXnQjQjaOTHcC1pc=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BcOKdJjQFTLcZoDA2ywIaz5X318xjprn8X7GiIbkvGg=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X38JB50a85/5nQfyv3KVxfwoGGcCao4f1u0WEJAZcgc=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OSslcZbE6GsJMUSN4TnS7t89zWvmqUu25dsTkfrCYNo=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X38JB50a85/5nQfyv3KVxfwoGGcCao4f1u0WEJAZcgc=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xmL/yE5+p1zqn4DVmBRkN/y9BbAEHy6NSmqHYmhgNHg=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ipjyjIQYht/bImvL1tOD3BBTPcZAreKfAyWYqQYWkuk=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X38JB50a85/5nQfyv3KVxfwoGGcCao4f1u0WEJAZcgc=</DigestValue>
      </Reference>
      <Reference URI="/xl/sharedStrings.xml?ContentType=application/vnd.openxmlformats-officedocument.spreadsheetml.sharedStrings+xml">
        <DigestMethod Algorithm="http://www.w3.org/2001/04/xmlenc#sha256"/>
        <DigestValue>MPq3DkRy1ueqxFGIShWVuprZEq0yrAWaalyUs9B/Vcc=</DigestValue>
      </Reference>
      <Reference URI="/xl/styles.xml?ContentType=application/vnd.openxmlformats-officedocument.spreadsheetml.styles+xml">
        <DigestMethod Algorithm="http://www.w3.org/2001/04/xmlenc#sha256"/>
        <DigestValue>UmXrnAqxw9gbE4ds/vB3DqLpfxbBhVLRhhg7+zc83UM=</DigestValue>
      </Reference>
      <Reference URI="/xl/theme/theme1.xml?ContentType=application/vnd.openxmlformats-officedocument.theme+xml">
        <DigestMethod Algorithm="http://www.w3.org/2001/04/xmlenc#sha256"/>
        <DigestValue>IDbQ9NtjkpyEON80xiE6fnM770hSPmy9tt5N50j5+wQ=</DigestValue>
      </Reference>
      <Reference URI="/xl/workbook.xml?ContentType=application/vnd.openxmlformats-officedocument.spreadsheetml.sheet.main+xml">
        <DigestMethod Algorithm="http://www.w3.org/2001/04/xmlenc#sha256"/>
        <DigestValue>yObS5CrMEDsAsn6BvMLPHg+/zN66BLnQy+k1tJ7PNY4=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/24puvaW5bXuS+cktdpJpE35olfWZ1+6Lpxzh0chEvI=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Bmt1cHOQ7BGUQw4kVSHfuPeV+RDKlR9ppoKRcS8sORs=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a44YNjtiym0S9exNLLrYg/u0IjW9EHsUCQlLPMlbO/o=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Hpl/8vZnWESRHNUpQCHBpenrZ9hBbbx2QPfqFg6SZ8Y=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y+WpNtGIt12R9jLFTmLLn89fEeCDfd6tGhw18EoAHwU=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ch/7Fy21MMu+BePE7V2u7g75sbQp0A/Jxw0Bq56y7z8=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+xv39IL7tPpsXHT+vo405BfLsmjmbjvDNJ7rppqDbsg=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JZbKCRNAfpwQdinVAV3pEHpgAt9gI/5jZd7JqepBTcA=</DigestValue>
      </Reference>
      <Reference URI="/xl/worksheets/sheet10.xml?ContentType=application/vnd.openxmlformats-officedocument.spreadsheetml.worksheet+xml">
        <DigestMethod Algorithm="http://www.w3.org/2001/04/xmlenc#sha256"/>
        <DigestValue>wGnjruhfzoZanVSRyknVRhsjZrn5i0W171pgc1lsvcM=</DigestValue>
      </Reference>
      <Reference URI="/xl/worksheets/sheet11.xml?ContentType=application/vnd.openxmlformats-officedocument.spreadsheetml.worksheet+xml">
        <DigestMethod Algorithm="http://www.w3.org/2001/04/xmlenc#sha256"/>
        <DigestValue>1G7FNFF0zHIx7xjHKp737UssT8AUAZYljlQ9XuCd2QU=</DigestValue>
      </Reference>
      <Reference URI="/xl/worksheets/sheet12.xml?ContentType=application/vnd.openxmlformats-officedocument.spreadsheetml.worksheet+xml">
        <DigestMethod Algorithm="http://www.w3.org/2001/04/xmlenc#sha256"/>
        <DigestValue>XGwFNqDIH3X3KAyMi0BmTiT6s4FatxLUhiPw+pqGf2M=</DigestValue>
      </Reference>
      <Reference URI="/xl/worksheets/sheet13.xml?ContentType=application/vnd.openxmlformats-officedocument.spreadsheetml.worksheet+xml">
        <DigestMethod Algorithm="http://www.w3.org/2001/04/xmlenc#sha256"/>
        <DigestValue>p5URKNdNoRkPXcwrHb5XrMtYPdE+2cwTWeRAz6YD/v0=</DigestValue>
      </Reference>
      <Reference URI="/xl/worksheets/sheet14.xml?ContentType=application/vnd.openxmlformats-officedocument.spreadsheetml.worksheet+xml">
        <DigestMethod Algorithm="http://www.w3.org/2001/04/xmlenc#sha256"/>
        <DigestValue>sZ13RV/KjhQ87V8FEy4f/1PKaaYdlFTPWiUgoGZdLOc=</DigestValue>
      </Reference>
      <Reference URI="/xl/worksheets/sheet15.xml?ContentType=application/vnd.openxmlformats-officedocument.spreadsheetml.worksheet+xml">
        <DigestMethod Algorithm="http://www.w3.org/2001/04/xmlenc#sha256"/>
        <DigestValue>dnzQkX+5cILSrIMfCBQGBk8WTdSJ/R3kgUNJ5WnIt3A=</DigestValue>
      </Reference>
      <Reference URI="/xl/worksheets/sheet16.xml?ContentType=application/vnd.openxmlformats-officedocument.spreadsheetml.worksheet+xml">
        <DigestMethod Algorithm="http://www.w3.org/2001/04/xmlenc#sha256"/>
        <DigestValue>QEkV7tqHUOh2ie6IxtR1qqYiK/8ZiQ1T/mcdUywnRo4=</DigestValue>
      </Reference>
      <Reference URI="/xl/worksheets/sheet17.xml?ContentType=application/vnd.openxmlformats-officedocument.spreadsheetml.worksheet+xml">
        <DigestMethod Algorithm="http://www.w3.org/2001/04/xmlenc#sha256"/>
        <DigestValue>TxJoeZqpjYP7Ginl447FfjLhupKZEupE5q+oSaFdQMs=</DigestValue>
      </Reference>
      <Reference URI="/xl/worksheets/sheet18.xml?ContentType=application/vnd.openxmlformats-officedocument.spreadsheetml.worksheet+xml">
        <DigestMethod Algorithm="http://www.w3.org/2001/04/xmlenc#sha256"/>
        <DigestValue>feHw9c8s7CSIVlan29p7lcgZVKjRHhbIh+70vNre+6M=</DigestValue>
      </Reference>
      <Reference URI="/xl/worksheets/sheet19.xml?ContentType=application/vnd.openxmlformats-officedocument.spreadsheetml.worksheet+xml">
        <DigestMethod Algorithm="http://www.w3.org/2001/04/xmlenc#sha256"/>
        <DigestValue>RjKOj0xAR68DCbbgiE6DBf2kww8ZXjGMIDzonOPbAwo=</DigestValue>
      </Reference>
      <Reference URI="/xl/worksheets/sheet2.xml?ContentType=application/vnd.openxmlformats-officedocument.spreadsheetml.worksheet+xml">
        <DigestMethod Algorithm="http://www.w3.org/2001/04/xmlenc#sha256"/>
        <DigestValue>Kuh9wbs2kIrnEpuC2NlKTs/wsymR4ZZiRA7nttSWn/U=</DigestValue>
      </Reference>
      <Reference URI="/xl/worksheets/sheet20.xml?ContentType=application/vnd.openxmlformats-officedocument.spreadsheetml.worksheet+xml">
        <DigestMethod Algorithm="http://www.w3.org/2001/04/xmlenc#sha256"/>
        <DigestValue>VpQCBmMnx0ycx4up+Wbbg9KKprEWFeSjORUpTbyZpfg=</DigestValue>
      </Reference>
      <Reference URI="/xl/worksheets/sheet21.xml?ContentType=application/vnd.openxmlformats-officedocument.spreadsheetml.worksheet+xml">
        <DigestMethod Algorithm="http://www.w3.org/2001/04/xmlenc#sha256"/>
        <DigestValue>ewda4V35SUzUdD0yKqQQcuDJy8MM+DfcpsccpKtleXw=</DigestValue>
      </Reference>
      <Reference URI="/xl/worksheets/sheet22.xml?ContentType=application/vnd.openxmlformats-officedocument.spreadsheetml.worksheet+xml">
        <DigestMethod Algorithm="http://www.w3.org/2001/04/xmlenc#sha256"/>
        <DigestValue>gAzdBD0eCWWGcaE84NiGMqipBB1gJ+R5koJYUucBn0s=</DigestValue>
      </Reference>
      <Reference URI="/xl/worksheets/sheet23.xml?ContentType=application/vnd.openxmlformats-officedocument.spreadsheetml.worksheet+xml">
        <DigestMethod Algorithm="http://www.w3.org/2001/04/xmlenc#sha256"/>
        <DigestValue>Hm9S1YubuXiNmDC+XRlZlQ5OSp1rToaJsFlkv6+YUFk=</DigestValue>
      </Reference>
      <Reference URI="/xl/worksheets/sheet3.xml?ContentType=application/vnd.openxmlformats-officedocument.spreadsheetml.worksheet+xml">
        <DigestMethod Algorithm="http://www.w3.org/2001/04/xmlenc#sha256"/>
        <DigestValue>o2QGHJlMiQroUWSqpKeLDX4VlRHn3aX0a/BiLKnZ4g4=</DigestValue>
      </Reference>
      <Reference URI="/xl/worksheets/sheet4.xml?ContentType=application/vnd.openxmlformats-officedocument.spreadsheetml.worksheet+xml">
        <DigestMethod Algorithm="http://www.w3.org/2001/04/xmlenc#sha256"/>
        <DigestValue>+BEcvVRAWfKk6dpn0P7yu1gwbHg9+fPKOdOQ7DKr+ks=</DigestValue>
      </Reference>
      <Reference URI="/xl/worksheets/sheet5.xml?ContentType=application/vnd.openxmlformats-officedocument.spreadsheetml.worksheet+xml">
        <DigestMethod Algorithm="http://www.w3.org/2001/04/xmlenc#sha256"/>
        <DigestValue>ZV9oGbpRy952QnhUZltOgNkElghsTtgaPvmkIxGL+9c=</DigestValue>
      </Reference>
      <Reference URI="/xl/worksheets/sheet6.xml?ContentType=application/vnd.openxmlformats-officedocument.spreadsheetml.worksheet+xml">
        <DigestMethod Algorithm="http://www.w3.org/2001/04/xmlenc#sha256"/>
        <DigestValue>0j7cft+bigzKuVBr86qd7xuQvR6uuPM9p7nwd8r9Mgw=</DigestValue>
      </Reference>
      <Reference URI="/xl/worksheets/sheet7.xml?ContentType=application/vnd.openxmlformats-officedocument.spreadsheetml.worksheet+xml">
        <DigestMethod Algorithm="http://www.w3.org/2001/04/xmlenc#sha256"/>
        <DigestValue>x7cKREyxLHfGpvsmY/oGr3s7oA1PIeKh7BqY3+ccYrI=</DigestValue>
      </Reference>
      <Reference URI="/xl/worksheets/sheet8.xml?ContentType=application/vnd.openxmlformats-officedocument.spreadsheetml.worksheet+xml">
        <DigestMethod Algorithm="http://www.w3.org/2001/04/xmlenc#sha256"/>
        <DigestValue>qy5JuNpssFTHkOAElZ3MYxyi0NythY1RWmhM8GqHG5M=</DigestValue>
      </Reference>
      <Reference URI="/xl/worksheets/sheet9.xml?ContentType=application/vnd.openxmlformats-officedocument.spreadsheetml.worksheet+xml">
        <DigestMethod Algorithm="http://www.w3.org/2001/04/xmlenc#sha256"/>
        <DigestValue>5WWMil5xrCfNNYZXuHMot4MNKh7qQXGlj2XlJLERBFk=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2019-06-24T23:14:19Z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{0499665C-09D0-43EE-94BB-21D6E7AD285D}</SetupID>
          <SignatureText> </SignatureText>
          <SignatureImage/>
          <SignatureComments/>
          <WindowsVersion>10.0</WindowsVersion>
          <OfficeVersion>16.0.11629/17</OfficeVersion>
          <ApplicationVersion>16.0.11629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2019-06-24T23:14:19Z</xd:SigningTime>
          <xd:SigningCertificate>
            <xd:Cert>
              <xd:CertDigest>
                <DigestMethod Algorithm="http://www.w3.org/2001/04/xmlenc#sha256"/>
                <DigestValue>DNLVLGlcjVz7uOydFdVDuUfu2dXXNlQDPCndTHmT5+0=</DigestValue>
              </xd:CertDigest>
              <xd:IssuerSerial>
                <X509IssuerName>CN=CA-CODE100 S.A., C=PY, O=CODE100 S.A., SERIALNUMBER=RUC 80080610-7</X509IssuerName>
                <X509SerialNumber>2051668588260834614044229538627838153817331345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  <Object Id="idValidSigLnImg">AQAAAGwAAAAAAAAAAAAAAAUBAAB/AAAAAAAAAAAAAADGGQAAkQwAACBFTUYAAAEAIBsAAKoAAAAGAAAAAAAAAAAAAAAAAAAAVgUAAAADAABYAQAAwQAAAAAAAAAAAAAAAAAAAMA/BQDo8QIACgAAABAAAAAAAAAAAAAAAEsAAAAQAAAAAAAAAAUAAAAeAAAAGAAAAAAAAAAAAAAABgEAAIAAAAAnAAAAGAAAAAEAAAAAAAAAAAAAAAAAAAAlAAAADAAAAAEAAABMAAAAZAAAAAAAAAAAAAAABQEAAH8AAAAAAAAAAAAAAA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FAQAAfwAAAAAAAAAAAAAABgEAAIAAAAAhAPAAAAAAAAAAAAAAAIA/AAAAAAAAAAAAAIA/AAAAAAAAAAAAAAAAAAAAAAAAAAAAAAAAAAAAAAAAAAAlAAAADAAAAAAAAIAoAAAADAAAAAEAAAAnAAAAGAAAAAEAAAAAAAAA8PDwAAAAAAAlAAAADAAAAAEAAABMAAAAZAAAAAAAAAAAAAAABQEAAH8AAAAAAAAAAAAAAAYBAACAAAAAIQDwAAAAAAAAAAAAAACAPwAAAAAAAAAAAACAPwAAAAAAAAAAAAAAAAAAAAAAAAAAAAAAAAAAAAAAAAAAJQAAAAwAAAAAAACAKAAAAAwAAAABAAAAJwAAABgAAAABAAAAAAAAAPDw8AAAAAAAJQAAAAwAAAABAAAATAAAAGQAAAAAAAAAAAAAAAUBAAB/AAAAAAAAAAAAAAAGAQAAgAAAACEA8AAAAAAAAAAAAAAAgD8AAAAAAAAAAAAAgD8AAAAAAAAAAAAAAAAAAAAAAAAAAAAAAAAAAAAAAAAAACUAAAAMAAAAAAAAgCgAAAAMAAAAAQAAACcAAAAYAAAAAQAAAAAAAADw8PAAAAAAACUAAAAMAAAAAQAAAEwAAABkAAAAAAAAAAAAAAAFAQAAfwAAAAAAAAAAAAAABgEAAIAAAAAhAPAAAAAAAAAAAAAAAIA/AAAAAAAAAAAAAIA/AAAAAAAAAAAAAAAAAAAAAAAAAAAAAAAAAAAAAAAAAAAlAAAADAAAAAAAAIAoAAAADAAAAAEAAAAnAAAAGAAAAAEAAAAAAAAA////AAAAAAAlAAAADAAAAAEAAABMAAAAZAAAAAAAAAAAAAAABQEAAH8AAAAAAAAAAAAAAAYBAACAAAAAIQDwAAAAAAAAAAAAAACAPwAAAAAAAAAAAACAPwAAAAAAAAAAAAAAAAAAAAAAAAAAAAAAAAAAAAAAAAAAJQAAAAwAAAAAAACAKAAAAAwAAAABAAAAJwAAABgAAAABAAAAAAAAAP///wAAAAAAJQAAAAwAAAABAAAATAAAAGQAAAAAAAAAAAAAAAUBAAB/AAAAAAAAAAAAAAAG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FNeCQAAAHRptF4azifZcENgd8DbCAD/AQAA1Ml2ACUAAAAzAAAAYAAAADMAAAAiAAAAlO1KBULNJ9n/////EMt2AJzbVF74lPURAQAAAAEAAAA+XaR3AgAAAAEAAAAAAAAAAgIAAFEAAADwrX0MDQEAAJzLdgCJgXN17Ml2AAAAAACVgXN1ZwA7KfX///8AAAAAAAAAAAAAAACQAQAAAAAAAQAAAABzAGUAZwBvAA4ecV9IynYAwYdrdgAAYHcAAHYAAAAAAETKdgAAAAAALcpTXgAAYHcAAAAAEwAUAHRptF5wQ2B3XMp2AARPB3cAAGB3dGm0XvbKU14a1AdfZHYACAAAAAAlAAAADAAAAAEAAAAYAAAADAAAAAAAAAASAAAADAAAAAEAAAAeAAAAGAAAAMMAAAAEAAAA9wAAABEAAAAlAAAADAAAAAEAAABUAAAAhAAAAMQAAAAEAAAA9QAAABAAAAABAAAA0XbJQasKyUHEAAAABAAAAAkAAABMAAAAAAAAAAAAAAAAAAAA//////////9gAAAAMgA0AC8ANgAvADIAMAAxADkAAAAGAAAABgAAAAQAAAAGAAAABAAAAAYAAAAGAAAABgAAAAYAAABLAAAAQAAAADAAAAAFAAAAIAAAAAEAAAABAAAAEAAAAAAAAAAAAAAABgEAAIAAAAAAAAAAAAAAAAYBAACAAAAAUgAAAHABAAACAAAAEAAAAAcAAAAAAAAAAAAAALwCAAAAAAAAAQICIlMAeQBzAHQAZQBtAAAAAAAAAAAAAAAAAAAAAAAAAAAAAAAAAAAAAAAAAAAAAAAAAAAAAAAAAAAAAAAAAAAAAAAAAKd3iFZ1AJfhp3cAAGB3wNsIAMbhp3fYVnUAwNsIAEpptF4AAAAASmm0XgAAAgDA2wgAAAAAAAAAAAAAAAAAAAAAAFjlCAAAAAAAAAAAAAAAAAAAAAAAAAAAAAAAAAAAAAAAAAAAAAAAAAAAAAAAAAAAAAAAAAAAAAAAAAAAAAAAAAD8AQAADoJyX3xXdQDC06N3AAAAAAEAAADYVnUA//8AAAAAAACM1qN3jNajdwgTEgCsV3UAsFd1AAcAAAAAAAAAuFlqdgkAAABUBhv/BwAAAOhXdQBs6V926Fd1AAAAAAAAAgAAAAAAAAAAAAAAAAAAAAAAAPwB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dQBwWHUAvYBzdQAAAAAoVnUAAAAAAJoftF2pP3n8iNgDXrQKHxJ0WnUA0MxBEBSeql2I2ANecTB5/NDMQRCuCqRdAAAAAF0wefwQVnUAoMi7XSBcJAUgXCQFyFWaFchVmhUAAAAAaTB5/DQyfgwWCaRd2Fd1AImBc3UoVnUAAAAAAJWBc3UAAAAA4P///wAAAAAAAAAAAAAAAJABAAAAAAABAAAAAGEAcgBpAGEAbAAAAAAAAAAAAAAABgAAAAAAAAC4WWp2AAAAAFQGG/8GAAAAiFd1AGzpX3aIV3UAAAAAAAACAAAAAAAAAAAAAAAAAAAAAAAAAAAAADhkTBJkdgAIAAAAACUAAAAMAAAAAwAAABgAAAAMAAAAAAAAABIAAAAMAAAAAQAAABYAAAAMAAAACAAAAFQAAABUAAAACgAAACcAAAAeAAAASgAAAAEAAADRdslBqwrJQQoAAABLAAAAAQAAAEwAAAAEAAAACQAAACcAAAAgAAAASwAAAFAAAABYAM+j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C4AAABHAAAAKQAAADMAAAAGAAAAFQAAACEA8AAAAAAAAAAAAAAAgD8AAAAAAAAAAAAAgD8AAAAAAAAAAAAAAAAAAAAAAAAAAAAAAAAAAAAAAAAAACUAAAAMAAAAAAAAgCgAAAAMAAAABAAAAFIAAABwAQAABAAAAPD///8AAAAAAAAAAAAAAACQAQAAAAAAAQAAAABzAGUAZwBvAGUAIAB1AGkAAAAAAAAAAAAAAAAAAAAAAAAAAAAAAAAAAAAAAAAAAAAAAAAAAAAAAAAAAAAAAAAAAAB1AFhYdQC9gHN1AAAAABBWdQAAAAAAtzsQIwAAAADMVXUA7E3lXAEAAAB8VnUAIA0AhAAAAABtMHn8cI4xEgIAAACgimMQbTB5/HCOMRICAAAAkFd1AJxoxF3/////nFd1ANhFrF0VMnn83DF+DKxcdQDAV3UAiYFzdRBWdQAAAAAAlYFzdfxXdQDw////AAAAAAAAAAAAAAAAkAEAAAAAAAEAAAAAcwBlAGcAbwBlACAAdQBpAAAAAAAJAAAAAAAAALhZanYAAAAAVAYb/wkAAABwV3UAbOlfdnBXdQAAAAAAAAIAAAAAAAAAAAAAAAAAAAAAAAAAAAAAAAAAAGR2AAgAAAAAJQAAAAwAAAAEAAAAGAAAAAwAAAAAAAAAEgAAAAwAAAABAAAAHgAAABgAAAApAAAAMwAAAC8AAABIAAAAJQAAAAwAAAAEAAAAVAAAAFQAAAAqAAAAMwAAAC0AAABHAAAAAQAAANF2yUGrCslBKgAAADMAAAABAAAATAAAAAAAAAAAAAAAAAAAAP//////////UAAAACAAeEEEAAAASwAAAEAAAAAwAAAABQAAACAAAAABAAAAAQAAABAAAAAAAAAAAAAAAAYBAACAAAAAAAAAAAAAAAAGAQAAgAAAACUAAAAMAAAAAgAAACcAAAAYAAAABQAAAAAAAAD///8AAAAAACUAAAAMAAAABQAAAEwAAABkAAAAAAAAAFAAAAAFAQAAfAAAAAAAAABQAAAABgEAAC0AAAAhAPAAAAAAAAAAAAAAAIA/AAAAAAAAAAAAAIA/AAAAAAAAAAAAAAAAAAAAAAAAAAAAAAAAAAAAAAAAAAAlAAAADAAAAAAAAIAoAAAADAAAAAUAAAAnAAAAGAAAAAUAAAAAAAAA////AAAAAAAlAAAADAAAAAUAAABMAAAAZAAAAAkAAABQAAAA/AAAAFwAAAAJAAAAUAAAAPQAAAANAAAAIQDwAAAAAAAAAAAAAACAPwAAAAAAAAAAAACAPwAAAAAAAAAAAAAAAAAAAAAAAAAAAAAAAAAAAAAAAAAAJQAAAAwAAAAAAACAKAAAAAwAAAAFAAAAJQAAAAwAAAABAAAAGAAAAAwAAAAAAAAAEgAAAAwAAAABAAAAHgAAABgAAAAJAAAAUAAAAP0AAABdAAAAJQAAAAwAAAABAAAAVAAAAIgAAAAKAAAAUAAAAEAAAABcAAAAAQAAANF2yUGrCslBCgAAAFAAAAAKAAAATAAAAAAAAAAAAAAAAAAAAP//////////YAAAAEoAbwByAGcAZQAgAFMAbwB0AG8ABAAAAAcAAAAEAAAABwAAAAYAAAADAAAABgAAAAcAAAAEAAAABwAAAEsAAABAAAAAMAAAAAUAAAAgAAAAAQAAAAEAAAAQAAAAAAAAAAAAAAAGAQAAgAAAAAAAAAAAAAAABgEAAIAAAAAlAAAADAAAAAIAAAAnAAAAGAAAAAUAAAAAAAAA////AAAAAAAlAAAADAAAAAUAAABMAAAAZAAAAAkAAABgAAAA/AAAAGwAAAAJAAAAYAAAAPQAAAANAAAAIQDwAAAAAAAAAAAAAACAPwAAAAAAAAAAAACAPwAAAAAAAAAAAAAAAAAAAAAAAAAAAAAAAAAAAAAAAAAAJQAAAAwAAAAAAACAKAAAAAwAAAAFAAAAJQAAAAwAAAABAAAAGAAAAAwAAAAAAAAAEgAAAAwAAAABAAAAHgAAABgAAAAJAAAAYAAAAP0AAABtAAAAJQAAAAwAAAABAAAAVAAAAHgAAAAKAAAAYAAAAC8AAABsAAAAAQAAANF2yUGrCslBCgAAAGAAAAAHAAAATAAAAAAAAAAAAAAAAAAAAP//////////XAAAAFMAaQBuAGQAaQBjAG8A//8GAAAAAwAAAAcAAAAHAAAAAwAAAAUAAAAHAAAASwAAAEAAAAAwAAAABQAAACAAAAABAAAAAQAAABAAAAAAAAAAAAAAAAYBAACAAAAAAAAAAAAAAAAGAQAAgAAAACUAAAAMAAAAAgAAACcAAAAYAAAABQAAAAAAAAD///8AAAAAACUAAAAMAAAABQAAAEwAAABkAAAACQAAAHAAAAD8AAAAfAAAAAkAAABwAAAA9AAAAA0AAAAhAPAAAAAAAAAAAAAAAIA/AAAAAAAAAAAAAIA/AAAAAAAAAAAAAAAAAAAAAAAAAAAAAAAAAAAAAAAAAAAlAAAADAAAAAAAAIAoAAAADAAAAAUAAAAlAAAADAAAAAEAAAAYAAAADAAAAAAAAAASAAAADAAAAAEAAAAWAAAADAAAAAAAAABUAAAAPAEAAAoAAABwAAAA+wAAAHwAAAABAAAA0XbJQasKyUEKAAAAcAAAACgAAABMAAAABAAAAAkAAABwAAAA/QAAAH0AAACcAAAARgBpAHIAbQBhAGQAbwAgAHAAbwByADoAIABKAE8AUgBHAEUAIABFAE4AUgBJAFEAVQBFACAAUwBPAFQATwAgAEcATwBOAFoAQQBMAEUAWgAGAAAAAwAAAAQAAAAJAAAABgAAAAcAAAAHAAAAAwAAAAcAAAAHAAAABAAAAAMAAAADAAAABAAAAAkAAAAHAAAACAAAAAYAAAADAAAABgAAAAgAAAAHAAAAAwAAAAgAAAAIAAAABgAAAAMAAAAGAAAACQAAAAUAAAAJAAAAAwAAAAgAAAAJAAAACAAAAAYAAAAHAAAABQAAAAYAAAAGAAAAFgAAAAwAAAAAAAAAJQAAAAwAAAACAAAADgAAABQAAAAAAAAAEAAAABQAAAA=</Object>
  <Object Id="idInvalidSigLnImg">AQAAAGwAAAAAAAAAAAAAAAUBAAB/AAAAAAAAAAAAAADGGQAAkQwAACBFTUYAAAEAwB4AALAAAAAGAAAAAAAAAAAAAAAAAAAAVgUAAAADAABYAQAAwQAAAAAAAAAAAAAAAAAAAMA/BQDo8QIACgAAABAAAAAAAAAAAAAAAEsAAAAQAAAAAAAAAAUAAAAeAAAAGAAAAAAAAAAAAAAABgEAAIAAAAAnAAAAGAAAAAEAAAAAAAAAAAAAAAAAAAAlAAAADAAAAAEAAABMAAAAZAAAAAAAAAAAAAAABQEAAH8AAAAAAAAAAAAAAA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FAQAAfwAAAAAAAAAAAAAABgEAAIAAAAAhAPAAAAAAAAAAAAAAAIA/AAAAAAAAAAAAAIA/AAAAAAAAAAAAAAAAAAAAAAAAAAAAAAAAAAAAAAAAAAAlAAAADAAAAAAAAIAoAAAADAAAAAEAAAAnAAAAGAAAAAEAAAAAAAAA8PDwAAAAAAAlAAAADAAAAAEAAABMAAAAZAAAAAAAAAAAAAAABQEAAH8AAAAAAAAAAAAAAAYBAACAAAAAIQDwAAAAAAAAAAAAAACAPwAAAAAAAAAAAACAPwAAAAAAAAAAAAAAAAAAAAAAAAAAAAAAAAAAAAAAAAAAJQAAAAwAAAAAAACAKAAAAAwAAAABAAAAJwAAABgAAAABAAAAAAAAAPDw8AAAAAAAJQAAAAwAAAABAAAATAAAAGQAAAAAAAAAAAAAAAUBAAB/AAAAAAAAAAAAAAAGAQAAgAAAACEA8AAAAAAAAAAAAAAAgD8AAAAAAAAAAAAAgD8AAAAAAAAAAAAAAAAAAAAAAAAAAAAAAAAAAAAAAAAAACUAAAAMAAAAAAAAgCgAAAAMAAAAAQAAACcAAAAYAAAAAQAAAAAAAADw8PAAAAAAACUAAAAMAAAAAQAAAEwAAABkAAAAAAAAAAAAAAAFAQAAfwAAAAAAAAAAAAAABgEAAIAAAAAhAPAAAAAAAAAAAAAAAIA/AAAAAAAAAAAAAIA/AAAAAAAAAAAAAAAAAAAAAAAAAAAAAAAAAAAAAAAAAAAlAAAADAAAAAAAAIAoAAAADAAAAAEAAAAnAAAAGAAAAAEAAAAAAAAA////AAAAAAAlAAAADAAAAAEAAABMAAAAZAAAAAAAAAAAAAAABQEAAH8AAAAAAAAAAAAAAAYBAACAAAAAIQDwAAAAAAAAAAAAAACAPwAAAAAAAAAAAACAPwAAAAAAAAAAAAAAAAAAAAAAAAAAAAAAAAAAAAAAAAAAJQAAAAwAAAAAAACAKAAAAAwAAAABAAAAJwAAABgAAAABAAAAAAAAAP///wAAAAAAJQAAAAwAAAABAAAATAAAAGQAAAAAAAAAAAAAAAUBAAB/AAAAAAAAAAAAAAAG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c5wAAACcz+7S6ffb7fnC0t1haH0hMm8aLXIuT8ggOIwoRKslP58cK08AAAFNeAAAAMHg9P///////////+bm5k9SXjw/SzBRzTFU0y1NwSAyVzFGXwEBAtVdCA8mnM/u69/SvI9jt4tgjIR9FBosDBEjMVTUMlXWMVPRKUSeDxk4AAAAAAAAAADT6ff///////+Tk5MjK0krSbkvUcsuT8YVJFoTIFIrSbgtTcEQHEf//wAAAJzP7vT6/bTa8kRleixHhy1Nwi5PxiQtTnBwcJKSki81SRwtZAgOIwAAAAAAweD02+35gsLqZ5q6Jz1jNEJyOUZ4qamp+/v7////wdPeVnCJAQECMy4AAACv1/Ho8/ubzu6CwuqMudS3u769vb3////////////L5fZymsABAgMuNQAAAK/X8fz9/uLx+snk9uTy+vz9/v///////////////8vl9nKawAECAy4yAAAAotHvtdryxOL1xOL1tdry0+r32+350+r3tdryxOL1pdPvc5rAAQIDLjEAAABpj7ZnjrZqj7Zqj7ZnjrZtkbdukrdtkbdnjrZqj7ZojrZ3rdUCAwQuMwAAAAAAAAAAAAAAAAAAAAAAAAAAAAAAAAAAAAAAAAAAAAAAAAAAAAAAAAAAJwAAABgAAAABAAAAAAAAAP///wAAAAAAJQAAAAwAAAABAAAATAAAAGQAAAAiAAAABAAAAHEAAAAQAAAAIgAAAAQAAABQAAAADQAAACEA8AAAAAAAAAAAAAAAgD8AAAAAAAAAAAAAgD8AAAAAAAAAAAAAAAAAAAAAAAAAAAAAAAAAAAAAAAAAACUAAAAMAAAAAAAAgCgAAAAMAAAAAQAAAFIAAABwAQAAAQAAAPX///8AAAAAAAAAAAAAAACQAQAAAAAAAQAAAABzAGUAZwBvAGUAIAB1AGkAAAAAAAAAAAAAAAAAAAAAAAAAAAAAAAAAAAAAAAAAAAAAAAAAAAAAAAAAAAAAAAAAAABTXgkAAAB0abReGs4n2XBDYHfA2wgA/wEAANTJdgAlAAAAMwAAAGAAAAAzAAAAIgAAAJTtSgVCzSfZ/////xDLdgCc21Re+JT1EQEAAAABAAAAPl2kdwIAAAABAAAAAAAAAAICAABRAAAA8K19DA0BAACcy3YAiYFzdezJdgAAAAAAlYFzdWcAOyn1////AAAAAAAAAAAAAAAAkAEAAAAAAAEAAAAAcwBlAGcAbwAOHnFfSMp2AMGHa3YAAGB3AAB2AAAAAABEynYAAAAAAC3KU14AAGB3AAAAABMAFAB0abRecENgd1zKdgAETwd3AABgd3RptF72ylNeGtQHX2R2AAgAAAAAJQAAAAwAAAABAAAAGAAAAAwAAAD/AAAAEgAAAAwAAAABAAAAHgAAABgAAAAiAAAABAAAAHIAAAARAAAAJQAAAAwAAAABAAAAVAAAAKgAAAAjAAAABAAAAHAAAAAQAAAAAQAAANF2yUGrCslBIwAAAAQAAAAPAAAATAAAAAAAAAAAAAAAAAAAAP//////////bAAAAEYAaQByAG0AYQAgAG4AbwAgAHYA4QBsAGkAZABhAIA/BgAAAAMAAAAEAAAACQAAAAYAAAADAAAABwAAAAcAAAADAAAABQAAAAYAAAADAAAAAwAAAAcAAAAGAAAASwAAAEAAAAAwAAAABQAAACAAAAABAAAAAQAAABAAAAAAAAAAAAAAAAYBAACAAAAAAAAAAAAAAAAGAQAAgAAAAFIAAABwAQAAAgAAABAAAAAHAAAAAAAAAAAAAAC8AgAAAAAAAAECAiJTAHkAcwB0AGUAbQAAAAAAAAAAAAAAAAAAAAAAAAAAAAAAAAAAAAAAAAAAAAAAAAAAAAAAAAAAAAAAAAAAAAAAAACnd4hWdQCX4ad3AABgd8DbCADG4ad32FZ1AMDbCABKabReAAAAAEpptF4AAAIAwNsIAAAAAAAAAAAAAAAAAAAAAABY5QgAAAAAAAAAAAAAAAAAAAAAAAAAAAAAAAAAAAAAAAAAAAAAAAAAAAAAAAAAAAAAAAAAAAAAAAAAAAAAAAAA/AEAAA6Ccl98V3UAwtOjdwAAAAABAAAA2FZ1AP//AAAAAAAAjNajd4zWo3cIExIArFd1ALBXdQAHAAAAAAAAALhZanYJAAAAVAYb/wcAAADoV3UAbOlfduhXdQAAAAAAAAIAAAAAAAAAAAAAAAAAAAAAAAD8AQ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HUAcFh1AL2Ac3UAAAAAKFZ1AAAAAACaH7RdqT95/IjYA160Ch8SdFp1ANDMQRAUnqpdiNgDXnEwefzQzEEQrgqkXQAAAABdMHn8EFZ1AKDIu10gXCQFIFwkBchVmhXIVZoVAAAAAGkwefw0Mn4MFgmkXdhXdQCJgXN1KFZ1AAAAAACVgXN1AAAAAOD///8AAAAAAAAAAAAAAACQAQAAAAAAAQAAAABhAHIAaQBhAGwAAAAAAAAAAAAAAAYAAAAAAAAAuFlqdgAAAABUBhv/BgAAAIhXdQBs6V92iFd1AAAAAAAAAgAAAAAAAAAAAAAAAAAAAAAAAAAAAAA4ZEwSZHYACAAAAAAlAAAADAAAAAMAAAAYAAAADAAAAAAAAAASAAAADAAAAAEAAAAWAAAADAAAAAgAAABUAAAAVAAAAAoAAAAnAAAAHgAAAEoAAAABAAAA0XbJQasKy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AuAAAARwAAACkAAAAzAAAABgAAABUAAAAhAPAAAAAAAAAAAAAAAIA/AAAAAAAAAAAAAIA/AAAAAAAAAAAAAAAAAAAAAAAAAAAAAAAAAAAAAAAAAAAlAAAADAAAAAAAAIAoAAAADAAAAAQAAABSAAAAcAEAAAQAAADw////AAAAAAAAAAAAAAAAkAEAAAAAAAEAAAAAcwBlAGcAbwBlACAAdQBpAAAAAAAAAAAAAAAAAAAAAAAAAAAAAAAAAAAAAAAAAAAAAAAAAAAAAAAAAAAAAAAAAAAAdQBYWHUAvYBzdQAAAAAQVnUAAAAAALc7ECMAAAAAzFV1AOxN5VwBAAAAfFZ1ACANAIQAAAAAbTB5/HCOMRICAAAAoIpjEG0wefxwjjESAgAAAJBXdQCcaMRd/////5xXdQDYRaxdFTJ5/NwxfgysXHUAwFd1AImBc3UQVnUAAAAAAJWBc3X8V3UA8P///wAAAAAAAAAAAAAAAJABAAAAAAABAAAAAHMAZQBnAG8AZQAgAHUAaQAAAAAACQAAAAAAAAC4WWp2AAAAAFQGG/8JAAAAcFd1AGzpX3ZwV3UAAAAAAAACAAAAAAAAAAAAAAAAAAAAAAAAAAAAAAAAAABkdgAIAAAAACUAAAAMAAAABAAAABgAAAAMAAAAAAAAABIAAAAMAAAAAQAAAB4AAAAYAAAAKQAAADMAAAAvAAAASAAAACUAAAAMAAAABAAAAFQAAABUAAAAKgAAADMAAAAtAAAARwAAAAEAAADRdslBqwrJQSoAAAAzAAAAAQAAAEwAAAAAAAAAAAAAAAAAAAD//////////1AAAAAgAAAABAAAAEsAAABAAAAAMAAAAAUAAAAgAAAAAQAAAAEAAAAQAAAAAAAAAAAAAAAGAQAAgAAAAAAAAAAAAAAABgEAAIAAAAAlAAAADAAAAAIAAAAnAAAAGAAAAAUAAAAAAAAA////AAAAAAAlAAAADAAAAAUAAABMAAAAZAAAAAAAAABQAAAABQEAAHwAAAAAAAAAUAAAAAYBAAAtAAAAIQDwAAAAAAAAAAAAAACAPwAAAAAAAAAAAACAPwAAAAAAAAAAAAAAAAAAAAAAAAAAAAAAAAAAAAAAAAAAJQAAAAwAAAAAAACAKAAAAAwAAAAFAAAAJwAAABgAAAAFAAAAAAAAAP///wAAAAAAJQAAAAwAAAAFAAAATAAAAGQAAAAJAAAAUAAAAPwAAABcAAAACQAAAFAAAAD0AAAADQAAACEA8AAAAAAAAAAAAAAAgD8AAAAAAAAAAAAAgD8AAAAAAAAAAAAAAAAAAAAAAAAAAAAAAAAAAAAAAAAAACUAAAAMAAAAAAAAgCgAAAAMAAAABQAAACUAAAAMAAAAAQAAABgAAAAMAAAAAAAAABIAAAAMAAAAAQAAAB4AAAAYAAAACQAAAFAAAAD9AAAAXQAAACUAAAAMAAAAAQAAAFQAAACIAAAACgAAAFAAAABAAAAAXAAAAAEAAADRdslBqwrJQQoAAABQAAAACgAAAEwAAAAAAAAAAAAAAAAAAAD//////////2AAAABKAG8AcgBnAGUAIABTAG8AdABvAAQAAAAHAAAABAAAAAcAAAAGAAAAAwAAAAYAAAAHAAAABAAAAAcAAABLAAAAQAAAADAAAAAFAAAAIAAAAAEAAAABAAAAEAAAAAAAAAAAAAAABgEAAIAAAAAAAAAAAAAAAAYBAACAAAAAJQAAAAwAAAACAAAAJwAAABgAAAAFAAAAAAAAAP///wAAAAAAJQAAAAwAAAAFAAAATAAAAGQAAAAJAAAAYAAAAPwAAABsAAAACQAAAGAAAAD0AAAADQAAACEA8AAAAAAAAAAAAAAAgD8AAAAAAAAAAAAAgD8AAAAAAAAAAAAAAAAAAAAAAAAAAAAAAAAAAAAAAAAAACUAAAAMAAAAAAAAgCgAAAAMAAAABQAAACUAAAAMAAAAAQAAABgAAAAMAAAAAAAAABIAAAAMAAAAAQAAAB4AAAAYAAAACQAAAGAAAAD9AAAAbQAAACUAAAAMAAAAAQAAAFQAAAB4AAAACgAAAGAAAAAvAAAAbAAAAAEAAADRdslBqwrJQQoAAABgAAAABwAAAEwAAAAAAAAAAAAAAAAAAAD//////////1wAAABTAGkAbgBkAGkAYwBvAMBPBgAAAAMAAAAHAAAABwAAAAMAAAAFAAAABwAAAEsAAABAAAAAMAAAAAUAAAAgAAAAAQAAAAEAAAAQAAAAAAAAAAAAAAAGAQAAgAAAAAAAAAAAAAAABgEAAIAAAAAlAAAADAAAAAIAAAAnAAAAGAAAAAUAAAAAAAAA////AAAAAAAlAAAADAAAAAUAAABMAAAAZAAAAAkAAABwAAAA/AAAAHwAAAAJAAAAcAAAAPQAAAANAAAAIQDwAAAAAAAAAAAAAACAPwAAAAAAAAAAAACAPwAAAAAAAAAAAAAAAAAAAAAAAAAAAAAAAAAAAAAAAAAAJQAAAAwAAAAAAACAKAAAAAwAAAAFAAAAJQAAAAwAAAABAAAAGAAAAAwAAAAAAAAAEgAAAAwAAAABAAAAFgAAAAwAAAAAAAAAVAAAADwBAAAKAAAAcAAAAPsAAAB8AAAAAQAAANF2yUGrCslBCgAAAHAAAAAoAAAATAAAAAQAAAAJAAAAcAAAAP0AAAB9AAAAnAAAAEYAaQByAG0AYQBkAG8AIABwAG8AcgA6ACAASgBPAFIARwBFACAARQBOAFIASQBRAFUARQAgAFMATwBUAE8AIABHAE8ATgBaAEEATABFAFoABgAAAAMAAAAEAAAACQAAAAYAAAAHAAAABwAAAAMAAAAHAAAABwAAAAQAAAADAAAAAwAAAAQAAAAJAAAABwAAAAgAAAAGAAAAAwAAAAYAAAAIAAAABwAAAAMAAAAIAAAACAAAAAYAAAADAAAABgAAAAkAAAAFAAAACQAAAAMAAAAIAAAACQAAAAgAAAAGAAAABwAAAAUAAAAG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9</vt:i4>
      </vt:variant>
    </vt:vector>
  </HeadingPairs>
  <TitlesOfParts>
    <vt:vector size="32" baseType="lpstr">
      <vt:lpstr>Carátula</vt:lpstr>
      <vt:lpstr>BG</vt:lpstr>
      <vt:lpstr>ER</vt:lpstr>
      <vt:lpstr>VPN</vt:lpstr>
      <vt:lpstr>EFE</vt:lpstr>
      <vt:lpstr>anexoA</vt:lpstr>
      <vt:lpstr>A</vt:lpstr>
      <vt:lpstr>anexoB</vt:lpstr>
      <vt:lpstr>anexoC</vt:lpstr>
      <vt:lpstr>D</vt:lpstr>
      <vt:lpstr>E</vt:lpstr>
      <vt:lpstr>F</vt:lpstr>
      <vt:lpstr>anexoG</vt:lpstr>
      <vt:lpstr>H</vt:lpstr>
      <vt:lpstr>H (2)</vt:lpstr>
      <vt:lpstr>I </vt:lpstr>
      <vt:lpstr>J</vt:lpstr>
      <vt:lpstr>Relacionadas</vt:lpstr>
      <vt:lpstr>Hoja2</vt:lpstr>
      <vt:lpstr>Hoja4</vt:lpstr>
      <vt:lpstr>Hoja3</vt:lpstr>
      <vt:lpstr>Hoja6</vt:lpstr>
      <vt:lpstr>Hoja5</vt:lpstr>
      <vt:lpstr>Hoja2!_Hlk489688979</vt:lpstr>
      <vt:lpstr>A!Área_de_impresión</vt:lpstr>
      <vt:lpstr>BG!Área_de_impresión</vt:lpstr>
      <vt:lpstr>E!Área_de_impresión</vt:lpstr>
      <vt:lpstr>EFE!Área_de_impresión</vt:lpstr>
      <vt:lpstr>ER!Área_de_impresión</vt:lpstr>
      <vt:lpstr>'F'!Área_de_impresión</vt:lpstr>
      <vt:lpstr>'I '!Área_de_impresión</vt:lpstr>
      <vt:lpstr>J!Área_de_impresión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</dc:creator>
  <cp:lastModifiedBy>Diego Bareiro</cp:lastModifiedBy>
  <cp:lastPrinted>2019-06-04T19:56:55Z</cp:lastPrinted>
  <dcterms:created xsi:type="dcterms:W3CDTF">1998-08-06T15:03:29Z</dcterms:created>
  <dcterms:modified xsi:type="dcterms:W3CDTF">2019-06-24T22:39:34Z</dcterms:modified>
</cp:coreProperties>
</file>