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ables/table4.xml" ContentType="application/vnd.openxmlformats-officedocument.spreadsheetml.table+xml"/>
  <Override PartName="/_xmlsignatures/sig2.xml" ContentType="application/vnd.openxmlformats-package.digital-signature-xmlsignatur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_xmlsignatures/sig1.xml" ContentType="application/vnd.openxmlformats-package.digital-signature-xmlsignature+xml"/>
  <Override PartName="/_xmlsignatures/sig3.xml" ContentType="application/vnd.openxmlformats-package.digital-signature-xmlsignature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positivapy-my.sharepoint.com/personal/sady_pereira_inpositiva_com_py/Documents/18.Trader Pro SA/Contabilidad/Informes CNV/Informes CNV Presentados/2022/"/>
    </mc:Choice>
  </mc:AlternateContent>
  <xr:revisionPtr revIDLastSave="0" documentId="10_ncr:200_{491E2441-C3DB-4013-A4A2-B377D3AF3BA7}" xr6:coauthVersionLast="47" xr6:coauthVersionMax="47" xr10:uidLastSave="{00000000-0000-0000-0000-000000000000}"/>
  <workbookProtection workbookAlgorithmName="SHA-512" workbookHashValue="KLfS1kyIMQhXbP0UHNbe0ymWEnGbTemLby7gmbihiREebXG8VE7I2wPWRSwJWxamY5ISFLJ1vHukwFM5f1qyIg==" workbookSaltValue="XsAjDdrXiOvHfvxAwYDbTA==" workbookSpinCount="100000" lockStructure="1"/>
  <bookViews>
    <workbookView xWindow="-120" yWindow="-120" windowWidth="29040" windowHeight="15720" tabRatio="870" firstSheet="2" activeTab="4" xr2:uid="{00000000-000D-0000-FFFF-FFFF00000000}"/>
  </bookViews>
  <sheets>
    <sheet name="Balance Gral 30 06 2022" sheetId="42" state="hidden" r:id="rId1"/>
    <sheet name="EERR al 30 06 2022" sheetId="43" state="hidden" r:id="rId2"/>
    <sheet name="INDICE" sheetId="33" r:id="rId3"/>
    <sheet name="INFORMAC GRAL DE LA EMP" sheetId="45" r:id="rId4"/>
    <sheet name="BALANCE GRAL 30_06_22" sheetId="1" r:id="rId5"/>
    <sheet name="ESTADOS DE RESULTADOS 30_06_22" sheetId="2" r:id="rId6"/>
    <sheet name="Flujo de TP Calculo DIC" sheetId="46" state="hidden" r:id="rId7"/>
    <sheet name="FLUJO DE EFECTIVO 30_06_22" sheetId="34" r:id="rId8"/>
    <sheet name="ESTADO DE VARIAC PN 30_06_22" sheetId="35" r:id="rId9"/>
    <sheet name="NOTAS A LOS ESTADOS CONTA. 1-4" sheetId="36" r:id="rId10"/>
    <sheet name="NOTA 5 A-C CRITERIOS ESPECIF." sheetId="37" r:id="rId11"/>
    <sheet name="NOTA D - DISPONIBILIDADES" sheetId="7" r:id="rId12"/>
    <sheet name="NOTA E - INVERSIONES" sheetId="44" r:id="rId13"/>
    <sheet name="NOTA F - CREDITOS" sheetId="41" r:id="rId14"/>
    <sheet name="NOTA G BIENES DE USO" sheetId="11" r:id="rId15"/>
    <sheet name="NOTA H CARGOS DIFERIDOS" sheetId="13" r:id="rId16"/>
    <sheet name=" NOTA I INTANGIBLES" sheetId="14" r:id="rId17"/>
    <sheet name="NOTA J OTROS ACTIVOS CTES y NO " sheetId="15" r:id="rId18"/>
    <sheet name="NOTA K PRESTAMOS" sheetId="17" r:id="rId19"/>
    <sheet name="NOTA L ACREED VARIOS" sheetId="18" r:id="rId20"/>
    <sheet name="NOTAS M-Q ACREED y CTAS A PAG" sheetId="16" r:id="rId21"/>
    <sheet name="NOTA R SALDOS Y TRANSACC" sheetId="19" r:id="rId22"/>
    <sheet name="NOTA S RESULTADOS CON PERS" sheetId="21" r:id="rId23"/>
    <sheet name=" NOTA T PATRIMONIO Y PREVIS" sheetId="22" r:id="rId24"/>
    <sheet name="NOTA V INGRESOS OPERATIVOS" sheetId="23" r:id="rId25"/>
    <sheet name="NOTA W OTROS GASTOS OPER" sheetId="24" r:id="rId26"/>
    <sheet name="NOTA X OTROS INGRESOS Y EGR" sheetId="25" r:id="rId27"/>
    <sheet name="NOTA Y RESULTADOS FINANC" sheetId="27" r:id="rId28"/>
    <sheet name="NOTA Z RESULT EXTRA" sheetId="28" r:id="rId29"/>
    <sheet name="NOTA 6 11 INFORMACIONES" sheetId="2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5" hidden="1">'ESTADOS DE RESULTADOS 30_06_22'!$C$48:$J$73</definedName>
    <definedName name="_xlnm._FilterDatabase" localSheetId="11" hidden="1">'NOTA D - DISPONIBILIDADES'!$B$7:$D$20</definedName>
    <definedName name="_xlnm._FilterDatabase" localSheetId="12" hidden="1">'NOTA E - INVERSIONES'!$C$7:$G$38</definedName>
    <definedName name="_xlnm._FilterDatabase" localSheetId="21" hidden="1">'NOTA R SALDOS Y TRANSACC'!$B$8:$F$15</definedName>
    <definedName name="_MON_1268749014" localSheetId="10">#N/A</definedName>
    <definedName name="a" localSheetId="0">#REF!</definedName>
    <definedName name="a" localSheetId="1">#REF!</definedName>
    <definedName name="a" localSheetId="8">#N/A</definedName>
    <definedName name="a" localSheetId="7">#N/A</definedName>
    <definedName name="a" localSheetId="6">#REF!</definedName>
    <definedName name="a" localSheetId="10">#N/A</definedName>
    <definedName name="a" localSheetId="9">#N/A</definedName>
    <definedName name="a">#N/A</definedName>
    <definedName name="aa" localSheetId="0">#REF!</definedName>
    <definedName name="aa" localSheetId="1">#REF!</definedName>
    <definedName name="aa" localSheetId="8">#N/A</definedName>
    <definedName name="aa" localSheetId="7">#N/A</definedName>
    <definedName name="aa" localSheetId="6">#REF!</definedName>
    <definedName name="aa" localSheetId="10">#N/A</definedName>
    <definedName name="aa" localSheetId="9">#N/A</definedName>
    <definedName name="aa">#N/A</definedName>
    <definedName name="_xlnm.Print_Area" localSheetId="6">'Flujo de TP Calculo DIC'!$A$63:$E$95</definedName>
    <definedName name="_xlnm.Print_Area" localSheetId="25">#N/A</definedName>
    <definedName name="Broker">#REF!</definedName>
    <definedName name="BuiltIn_Print_Area" localSheetId="0">[1]anexos!#REF!</definedName>
    <definedName name="BuiltIn_Print_Area" localSheetId="1">[1]anexos!#REF!</definedName>
    <definedName name="BuiltIn_Print_Area" localSheetId="6">[1]anexos!#REF!</definedName>
    <definedName name="BuiltIn_Print_Area" localSheetId="3">[2]anexos!#REF!</definedName>
    <definedName name="BuiltIn_Print_Area" localSheetId="12">[2]anexos!#REF!</definedName>
    <definedName name="BuiltIn_Print_Area" localSheetId="13">[2]anexos!#REF!</definedName>
    <definedName name="BuiltIn_Print_Area">[2]anexos!#REF!</definedName>
    <definedName name="BuiltIn_Print_Area___0" localSheetId="0">'[1]Balance General Resol 950'!#REF!</definedName>
    <definedName name="BuiltIn_Print_Area___0" localSheetId="1">'[1]Balance General Resol 950'!#REF!</definedName>
    <definedName name="BuiltIn_Print_Area___0" localSheetId="6">'[1]Balance General Resol 950'!#REF!</definedName>
    <definedName name="BuiltIn_Print_Area___0" localSheetId="3">'[2]Balance General Resol 950'!#REF!</definedName>
    <definedName name="BuiltIn_Print_Area___0" localSheetId="12">'[2]Balance General Resol 950'!#REF!</definedName>
    <definedName name="BuiltIn_Print_Area___0" localSheetId="13">'[2]Balance General Resol 950'!#REF!</definedName>
    <definedName name="BuiltIn_Print_Area___0">'[2]Balance General Resol 950'!#REF!</definedName>
    <definedName name="BuiltIn_Print_Area___0___0" localSheetId="8">#N/A</definedName>
    <definedName name="BuiltIn_Print_Area___0___0" localSheetId="7">#N/A</definedName>
    <definedName name="BuiltIn_Print_Area___0___0" localSheetId="6">#REF!</definedName>
    <definedName name="BuiltIn_Print_Area___0___0" localSheetId="10">#N/A</definedName>
    <definedName name="BuiltIn_Print_Area___0___0" localSheetId="9">#N/A</definedName>
    <definedName name="BuiltIn_Print_Area___0___0">#N/A</definedName>
    <definedName name="BuiltIn_Print_Area___0___0___0___0" localSheetId="6">'[3]Flujos de efectivo'!#REF!</definedName>
    <definedName name="BuiltIn_Print_Area___0___0___0___0" localSheetId="3">'[4]Flujos de efectivo'!#REF!</definedName>
    <definedName name="BuiltIn_Print_Area___0___0___0___0" localSheetId="12">'[4]Flujos de efectivo'!#REF!</definedName>
    <definedName name="BuiltIn_Print_Area___0___0___0___0" localSheetId="13">'[4]Flujos de efectivo'!#REF!</definedName>
    <definedName name="BuiltIn_Print_Area___0___0___0___0">'[4]Flujos de efectivo'!#REF!</definedName>
    <definedName name="BuiltIn_Print_Area___0___0___0___0___0" localSheetId="8">#N/A</definedName>
    <definedName name="BuiltIn_Print_Area___0___0___0___0___0" localSheetId="7">#N/A</definedName>
    <definedName name="BuiltIn_Print_Area___0___0___0___0___0" localSheetId="6">#REF!</definedName>
    <definedName name="BuiltIn_Print_Area___0___0___0___0___0" localSheetId="10">#N/A</definedName>
    <definedName name="BuiltIn_Print_Area___0___0___0___0___0" localSheetId="9">#N/A</definedName>
    <definedName name="BuiltIn_Print_Area___0___0___0___0___0">#N/A</definedName>
    <definedName name="Clientes" localSheetId="0">#REF!</definedName>
    <definedName name="Clientes" localSheetId="1">#REF!</definedName>
    <definedName name="Clientes" localSheetId="8">#N/A</definedName>
    <definedName name="Clientes" localSheetId="7">#N/A</definedName>
    <definedName name="Clientes" localSheetId="6">#REF!</definedName>
    <definedName name="Clientes" localSheetId="10">#N/A</definedName>
    <definedName name="Clientes" localSheetId="9">#N/A</definedName>
    <definedName name="Clientes">#N/A</definedName>
    <definedName name="DATA16" localSheetId="0">#REF!</definedName>
    <definedName name="DATA16" localSheetId="1">#REF!</definedName>
    <definedName name="DATA16" localSheetId="8">#N/A</definedName>
    <definedName name="DATA16" localSheetId="7">#N/A</definedName>
    <definedName name="DATA16" localSheetId="6">#REF!</definedName>
    <definedName name="DATA16" localSheetId="10">#N/A</definedName>
    <definedName name="DATA16" localSheetId="9">#N/A</definedName>
    <definedName name="DATA16">#N/A</definedName>
    <definedName name="DATA17" localSheetId="0">#REF!</definedName>
    <definedName name="DATA17" localSheetId="1">#REF!</definedName>
    <definedName name="DATA17" localSheetId="8">#N/A</definedName>
    <definedName name="DATA17" localSheetId="7">#N/A</definedName>
    <definedName name="DATA17" localSheetId="6">#REF!</definedName>
    <definedName name="DATA17" localSheetId="10">#N/A</definedName>
    <definedName name="DATA17" localSheetId="9">#N/A</definedName>
    <definedName name="DATA17">#N/A</definedName>
    <definedName name="DATA18" localSheetId="0">#REF!</definedName>
    <definedName name="DATA18" localSheetId="1">#REF!</definedName>
    <definedName name="DATA18" localSheetId="8">#N/A</definedName>
    <definedName name="DATA18" localSheetId="7">#N/A</definedName>
    <definedName name="DATA18" localSheetId="6">#REF!</definedName>
    <definedName name="DATA18" localSheetId="10">#N/A</definedName>
    <definedName name="DATA18" localSheetId="9">#N/A</definedName>
    <definedName name="DATA18">#N/A</definedName>
    <definedName name="DATA20" localSheetId="0">#REF!</definedName>
    <definedName name="DATA20" localSheetId="1">#REF!</definedName>
    <definedName name="DATA20" localSheetId="8">#N/A</definedName>
    <definedName name="DATA20" localSheetId="7">#N/A</definedName>
    <definedName name="DATA20" localSheetId="6">#REF!</definedName>
    <definedName name="DATA20" localSheetId="10">#N/A</definedName>
    <definedName name="DATA20" localSheetId="9">#N/A</definedName>
    <definedName name="DATA20">#N/A</definedName>
    <definedName name="datos" localSheetId="0">#REF!</definedName>
    <definedName name="datos" localSheetId="1">#REF!</definedName>
    <definedName name="datos" localSheetId="8">#N/A</definedName>
    <definedName name="datos" localSheetId="7">#N/A</definedName>
    <definedName name="datos" localSheetId="6">#REF!</definedName>
    <definedName name="datos" localSheetId="10">#N/A</definedName>
    <definedName name="datos" localSheetId="9">#N/A</definedName>
    <definedName name="datos">#N/A</definedName>
    <definedName name="de">[5]anexos!#REF!</definedName>
    <definedName name="Enero">#REF!</definedName>
    <definedName name="k" localSheetId="0">#REF!</definedName>
    <definedName name="k" localSheetId="1">#REF!</definedName>
    <definedName name="k" localSheetId="8">#N/A</definedName>
    <definedName name="k" localSheetId="7">#N/A</definedName>
    <definedName name="k" localSheetId="6">#REF!</definedName>
    <definedName name="k" localSheetId="10">#N/A</definedName>
    <definedName name="k" localSheetId="9">#N/A</definedName>
    <definedName name="k">#N/A</definedName>
    <definedName name="klkl" localSheetId="0">#REF!</definedName>
    <definedName name="klkl" localSheetId="1">#REF!</definedName>
    <definedName name="klkl" localSheetId="8">#N/A</definedName>
    <definedName name="klkl" localSheetId="7">#N/A</definedName>
    <definedName name="klkl" localSheetId="6">#REF!</definedName>
    <definedName name="klkl" localSheetId="10">#N/A</definedName>
    <definedName name="klkl" localSheetId="9">#N/A</definedName>
    <definedName name="klkl">#N/A</definedName>
    <definedName name="klll" localSheetId="0">#REF!</definedName>
    <definedName name="klll" localSheetId="1">#REF!</definedName>
    <definedName name="klll" localSheetId="8">#N/A</definedName>
    <definedName name="klll" localSheetId="7">#N/A</definedName>
    <definedName name="klll" localSheetId="6">#REF!</definedName>
    <definedName name="klll" localSheetId="10">#N/A</definedName>
    <definedName name="klll" localSheetId="9">#N/A</definedName>
    <definedName name="klll">#N/A</definedName>
    <definedName name="Meses">#REF!</definedName>
    <definedName name="Precios">#REF!</definedName>
    <definedName name="ver" localSheetId="0">#REF!</definedName>
    <definedName name="ver" localSheetId="1">#REF!</definedName>
    <definedName name="ver" localSheetId="8">#N/A</definedName>
    <definedName name="ver" localSheetId="7">#N/A</definedName>
    <definedName name="ver" localSheetId="6">#REF!</definedName>
    <definedName name="ver" localSheetId="10">#N/A</definedName>
    <definedName name="ver" localSheetId="9">#N/A</definedName>
    <definedName name="ver">#N/A</definedName>
    <definedName name="verificar" localSheetId="0">#REF!</definedName>
    <definedName name="verificar" localSheetId="1">#REF!</definedName>
    <definedName name="verificar" localSheetId="8">#N/A</definedName>
    <definedName name="verificar" localSheetId="7">#N/A</definedName>
    <definedName name="verificar" localSheetId="6">#REF!</definedName>
    <definedName name="verificar" localSheetId="10">#N/A</definedName>
    <definedName name="verificar" localSheetId="9">#N/A</definedName>
    <definedName name="verificar">#N/A</definedName>
    <definedName name="zz" localSheetId="0">#REF!</definedName>
    <definedName name="zz" localSheetId="1">#REF!</definedName>
    <definedName name="zz" localSheetId="3">#REF!</definedName>
    <definedName name="zz" localSheetId="12">#REF!</definedName>
    <definedName name="zz" localSheetId="13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41" l="1"/>
  <c r="D46" i="41" s="1"/>
  <c r="D8" i="23"/>
  <c r="C8" i="23"/>
  <c r="C24" i="24"/>
  <c r="C16" i="23"/>
  <c r="C15" i="23" s="1"/>
  <c r="C14" i="23" s="1"/>
  <c r="C18" i="23" s="1"/>
  <c r="D14" i="21"/>
  <c r="D10" i="21"/>
  <c r="D13" i="21"/>
  <c r="D9" i="21"/>
  <c r="D11" i="21"/>
  <c r="D12" i="21"/>
  <c r="C8" i="21"/>
  <c r="C9" i="21"/>
  <c r="F15" i="19"/>
  <c r="E13" i="19"/>
  <c r="D13" i="19"/>
  <c r="C13" i="19"/>
  <c r="B13" i="19"/>
  <c r="D11" i="18"/>
  <c r="D10" i="18"/>
  <c r="D8" i="18"/>
  <c r="D9" i="18"/>
  <c r="D8" i="17"/>
  <c r="D9" i="17"/>
  <c r="C8" i="13"/>
  <c r="C62" i="44"/>
  <c r="C68" i="44" s="1"/>
  <c r="E44" i="44"/>
  <c r="F44" i="44"/>
  <c r="G44" i="44"/>
  <c r="D44" i="44"/>
  <c r="G30" i="44"/>
  <c r="F30" i="44"/>
  <c r="G26" i="44"/>
  <c r="F26" i="44"/>
  <c r="E26" i="44"/>
  <c r="F10" i="44"/>
  <c r="E10" i="44"/>
  <c r="G10" i="44"/>
  <c r="F23" i="44"/>
  <c r="G23" i="44"/>
  <c r="G9" i="44" s="1"/>
  <c r="E23" i="44"/>
  <c r="F9" i="44" l="1"/>
  <c r="D15" i="18"/>
  <c r="E9" i="44"/>
  <c r="H48" i="45"/>
  <c r="D30" i="7" l="1"/>
  <c r="D34" i="7" s="1"/>
  <c r="D35" i="7" s="1"/>
  <c r="E34" i="7"/>
  <c r="E35" i="7" s="1"/>
  <c r="E42" i="7"/>
  <c r="D42" i="7"/>
  <c r="D43" i="7" s="1"/>
  <c r="C7" i="7" l="1"/>
  <c r="D7" i="37"/>
  <c r="D91" i="37" s="1"/>
  <c r="I60" i="46" l="1"/>
  <c r="B67" i="46" s="1"/>
  <c r="H60" i="46"/>
  <c r="B20" i="46"/>
  <c r="F20" i="46" s="1"/>
  <c r="B53" i="46"/>
  <c r="B44" i="46"/>
  <c r="D44" i="46" s="1"/>
  <c r="C25" i="46" s="1"/>
  <c r="C21" i="46"/>
  <c r="E23" i="46"/>
  <c r="D39" i="46"/>
  <c r="C37" i="46" s="1"/>
  <c r="E28" i="46"/>
  <c r="E39" i="46"/>
  <c r="C93" i="46"/>
  <c r="B66" i="46"/>
  <c r="D12" i="34" s="1"/>
  <c r="F57" i="46"/>
  <c r="L57" i="46" s="1"/>
  <c r="F52" i="46"/>
  <c r="L52" i="46" s="1"/>
  <c r="F51" i="46"/>
  <c r="L51" i="46" s="1"/>
  <c r="D50" i="46"/>
  <c r="F50" i="46" s="1"/>
  <c r="L50" i="46" s="1"/>
  <c r="D48" i="46"/>
  <c r="M45" i="46"/>
  <c r="F45" i="46"/>
  <c r="F38" i="46"/>
  <c r="B37" i="46"/>
  <c r="F36" i="46"/>
  <c r="F35" i="46"/>
  <c r="F34" i="46"/>
  <c r="F33" i="46"/>
  <c r="N33" i="46" s="1"/>
  <c r="F31" i="46"/>
  <c r="L31" i="46" s="1"/>
  <c r="F30" i="46"/>
  <c r="J30" i="46" s="1"/>
  <c r="B29" i="46"/>
  <c r="Q27" i="46"/>
  <c r="P27" i="46"/>
  <c r="R26" i="46"/>
  <c r="C26" i="46"/>
  <c r="R25" i="46"/>
  <c r="R24" i="46"/>
  <c r="R23" i="46"/>
  <c r="F22" i="46"/>
  <c r="R21" i="46"/>
  <c r="F19" i="46"/>
  <c r="M19" i="46" s="1"/>
  <c r="F18" i="46"/>
  <c r="D16" i="46"/>
  <c r="F14" i="46"/>
  <c r="F11" i="46"/>
  <c r="J11" i="46" s="1"/>
  <c r="J60" i="46" s="1"/>
  <c r="R27" i="46" l="1"/>
  <c r="E40" i="46"/>
  <c r="E41" i="46"/>
  <c r="D53" i="46"/>
  <c r="F53" i="46" s="1"/>
  <c r="N53" i="46" s="1"/>
  <c r="F37" i="46"/>
  <c r="F44" i="46"/>
  <c r="L44" i="46" s="1"/>
  <c r="F48" i="46"/>
  <c r="L48" i="46" s="1"/>
  <c r="C29" i="46"/>
  <c r="F29" i="46" s="1"/>
  <c r="N29" i="46" s="1"/>
  <c r="B70" i="46"/>
  <c r="D26" i="34" s="1"/>
  <c r="B87" i="46" l="1"/>
  <c r="D62" i="46"/>
  <c r="H36" i="1" l="1"/>
  <c r="H37" i="1" s="1"/>
  <c r="H58" i="1" s="1"/>
  <c r="H15" i="1"/>
  <c r="H27" i="1"/>
  <c r="H73" i="1"/>
  <c r="H74" i="1" s="1"/>
  <c r="H75" i="1" s="1"/>
  <c r="B64" i="43"/>
  <c r="E95" i="37" s="1"/>
  <c r="A64" i="43"/>
  <c r="F8" i="2"/>
  <c r="E8" i="2"/>
  <c r="D7" i="1"/>
  <c r="H76" i="1" l="1"/>
  <c r="E78" i="1" s="1"/>
  <c r="E86" i="2"/>
  <c r="B57" i="43"/>
  <c r="B58" i="43"/>
  <c r="B59" i="43"/>
  <c r="B60" i="43"/>
  <c r="B61" i="43"/>
  <c r="B62" i="43"/>
  <c r="B63" i="43"/>
  <c r="A57" i="43"/>
  <c r="A58" i="43"/>
  <c r="A59" i="43"/>
  <c r="A60" i="43"/>
  <c r="A61" i="43"/>
  <c r="A62" i="43"/>
  <c r="A63" i="43"/>
  <c r="D54" i="34"/>
  <c r="E93" i="37" l="1"/>
  <c r="E97" i="37" s="1"/>
  <c r="E99" i="37" s="1"/>
  <c r="E83" i="2"/>
  <c r="E24" i="22"/>
  <c r="D16" i="21"/>
  <c r="C16" i="21"/>
  <c r="I60" i="45"/>
  <c r="E12" i="19"/>
  <c r="D12" i="19"/>
  <c r="C12" i="19"/>
  <c r="B12" i="19"/>
  <c r="E11" i="19"/>
  <c r="F23" i="16"/>
  <c r="F25" i="16" s="1"/>
  <c r="B13" i="41"/>
  <c r="B12" i="41"/>
  <c r="E26" i="7"/>
  <c r="E37" i="7" s="1"/>
  <c r="D26" i="7"/>
  <c r="D37" i="7" s="1"/>
  <c r="D20" i="7"/>
  <c r="E67" i="44"/>
  <c r="E68" i="44" s="1"/>
  <c r="D67" i="44"/>
  <c r="D68" i="44" s="1"/>
  <c r="E61" i="44"/>
  <c r="G60" i="44"/>
  <c r="G59" i="44" s="1"/>
  <c r="F59" i="44"/>
  <c r="D59" i="44"/>
  <c r="G34" i="44"/>
  <c r="E60" i="44" s="1"/>
  <c r="F33" i="44"/>
  <c r="F37" i="44" s="1"/>
  <c r="A3" i="43"/>
  <c r="B3" i="43"/>
  <c r="C4" i="43" s="1"/>
  <c r="H3" i="43"/>
  <c r="A4" i="43"/>
  <c r="B4" i="43"/>
  <c r="A5" i="43"/>
  <c r="B5" i="43"/>
  <c r="C5" i="43"/>
  <c r="A6" i="43"/>
  <c r="B6" i="43"/>
  <c r="C6" i="43" s="1"/>
  <c r="A7" i="43"/>
  <c r="B7" i="43"/>
  <c r="C7" i="43"/>
  <c r="A8" i="43"/>
  <c r="B8" i="43"/>
  <c r="C8" i="43" s="1"/>
  <c r="A9" i="43"/>
  <c r="B9" i="43"/>
  <c r="C9" i="43" s="1"/>
  <c r="A10" i="43"/>
  <c r="B10" i="43"/>
  <c r="A11" i="43"/>
  <c r="B11" i="43"/>
  <c r="C11" i="43" s="1"/>
  <c r="A12" i="43"/>
  <c r="B12" i="43"/>
  <c r="A13" i="43"/>
  <c r="B13" i="43"/>
  <c r="A14" i="43"/>
  <c r="B14" i="43"/>
  <c r="C14" i="43" s="1"/>
  <c r="A15" i="43"/>
  <c r="B15" i="43"/>
  <c r="C15" i="43" s="1"/>
  <c r="A16" i="43"/>
  <c r="B16" i="43"/>
  <c r="E35" i="2" s="1"/>
  <c r="C16" i="43"/>
  <c r="A17" i="43"/>
  <c r="B17" i="43"/>
  <c r="C17" i="43" s="1"/>
  <c r="A18" i="43"/>
  <c r="B18" i="43"/>
  <c r="C18" i="43" s="1"/>
  <c r="A19" i="43"/>
  <c r="B19" i="43"/>
  <c r="C19" i="43" s="1"/>
  <c r="A20" i="43"/>
  <c r="B20" i="43"/>
  <c r="A21" i="43"/>
  <c r="B21" i="43"/>
  <c r="C21" i="43" s="1"/>
  <c r="H21" i="43"/>
  <c r="A22" i="43"/>
  <c r="B22" i="43"/>
  <c r="H22" i="43"/>
  <c r="A23" i="43"/>
  <c r="B23" i="43"/>
  <c r="A24" i="43"/>
  <c r="B24" i="43"/>
  <c r="C24" i="43" s="1"/>
  <c r="A25" i="43"/>
  <c r="B25" i="43"/>
  <c r="C25" i="43" s="1"/>
  <c r="A26" i="43"/>
  <c r="B26" i="43"/>
  <c r="C26" i="43" s="1"/>
  <c r="A27" i="43"/>
  <c r="B27" i="43"/>
  <c r="C27" i="43" s="1"/>
  <c r="A28" i="43"/>
  <c r="B28" i="43"/>
  <c r="C28" i="43" s="1"/>
  <c r="A29" i="43"/>
  <c r="B29" i="43"/>
  <c r="C29" i="43" s="1"/>
  <c r="A30" i="43"/>
  <c r="B30" i="43"/>
  <c r="C30" i="43" s="1"/>
  <c r="A31" i="43"/>
  <c r="B31" i="43"/>
  <c r="C31" i="43" s="1"/>
  <c r="A32" i="43"/>
  <c r="B32" i="43"/>
  <c r="C32" i="43" s="1"/>
  <c r="A33" i="43"/>
  <c r="B33" i="43"/>
  <c r="C33" i="43" s="1"/>
  <c r="A34" i="43"/>
  <c r="B34" i="43"/>
  <c r="A35" i="43"/>
  <c r="B35" i="43"/>
  <c r="C35" i="43" s="1"/>
  <c r="A36" i="43"/>
  <c r="B36" i="43"/>
  <c r="C36" i="43" s="1"/>
  <c r="A37" i="43"/>
  <c r="B37" i="43"/>
  <c r="C37" i="43" s="1"/>
  <c r="A38" i="43"/>
  <c r="B38" i="43"/>
  <c r="C38" i="43" s="1"/>
  <c r="A39" i="43"/>
  <c r="B39" i="43"/>
  <c r="C39" i="43" s="1"/>
  <c r="A40" i="43"/>
  <c r="B40" i="43"/>
  <c r="C40" i="43" s="1"/>
  <c r="A41" i="43"/>
  <c r="B41" i="43"/>
  <c r="C41" i="43" s="1"/>
  <c r="A42" i="43"/>
  <c r="B42" i="43"/>
  <c r="C42" i="43"/>
  <c r="A43" i="43"/>
  <c r="B43" i="43"/>
  <c r="C43" i="43" s="1"/>
  <c r="A44" i="43"/>
  <c r="B44" i="43"/>
  <c r="C44" i="43" s="1"/>
  <c r="A45" i="43"/>
  <c r="B45" i="43"/>
  <c r="C45" i="43" s="1"/>
  <c r="A46" i="43"/>
  <c r="B46" i="43"/>
  <c r="C46" i="43" s="1"/>
  <c r="A47" i="43"/>
  <c r="B47" i="43"/>
  <c r="C47" i="43" s="1"/>
  <c r="A48" i="43"/>
  <c r="B48" i="43"/>
  <c r="C48" i="43" s="1"/>
  <c r="A49" i="43"/>
  <c r="B49" i="43"/>
  <c r="C49" i="43"/>
  <c r="A50" i="43"/>
  <c r="B50" i="43"/>
  <c r="C50" i="43" s="1"/>
  <c r="A51" i="43"/>
  <c r="B51" i="43"/>
  <c r="C51" i="43" s="1"/>
  <c r="A52" i="43"/>
  <c r="B52" i="43"/>
  <c r="C52" i="43" s="1"/>
  <c r="A53" i="43"/>
  <c r="B53" i="43"/>
  <c r="C53" i="43" s="1"/>
  <c r="A54" i="43"/>
  <c r="B54" i="43"/>
  <c r="C54" i="43" s="1"/>
  <c r="A55" i="43"/>
  <c r="B55" i="43"/>
  <c r="C55" i="43" s="1"/>
  <c r="A56" i="43"/>
  <c r="B56" i="43"/>
  <c r="B79" i="42"/>
  <c r="A79" i="42"/>
  <c r="B78" i="42"/>
  <c r="A78" i="42"/>
  <c r="B77" i="42"/>
  <c r="A77" i="42"/>
  <c r="B76" i="42"/>
  <c r="G72" i="1" s="1"/>
  <c r="A76" i="42"/>
  <c r="B75" i="42"/>
  <c r="A75" i="42"/>
  <c r="B74" i="42"/>
  <c r="A74" i="42"/>
  <c r="B73" i="42"/>
  <c r="A73" i="42"/>
  <c r="B72" i="42"/>
  <c r="G61" i="1" s="1"/>
  <c r="A72" i="42"/>
  <c r="B71" i="42"/>
  <c r="A71" i="42"/>
  <c r="B70" i="42"/>
  <c r="B90" i="42" s="1"/>
  <c r="A70" i="42"/>
  <c r="B69" i="42"/>
  <c r="A69" i="42"/>
  <c r="B68" i="42"/>
  <c r="A68" i="42"/>
  <c r="B67" i="42"/>
  <c r="G34" i="1" s="1"/>
  <c r="B28" i="46" s="1"/>
  <c r="F28" i="46" s="1"/>
  <c r="A67" i="42"/>
  <c r="B66" i="42"/>
  <c r="G25" i="1" s="1"/>
  <c r="A66" i="42"/>
  <c r="B65" i="42"/>
  <c r="A65" i="42"/>
  <c r="B64" i="42"/>
  <c r="G64" i="37" s="1"/>
  <c r="A64" i="42"/>
  <c r="B63" i="42"/>
  <c r="A63" i="42"/>
  <c r="B62" i="42"/>
  <c r="G11" i="1" s="1"/>
  <c r="D18" i="18" s="1"/>
  <c r="A62" i="42"/>
  <c r="B61" i="42"/>
  <c r="A61" i="42"/>
  <c r="B60" i="42"/>
  <c r="A60" i="42"/>
  <c r="B59" i="42"/>
  <c r="G18" i="1" s="1"/>
  <c r="A59" i="42"/>
  <c r="B58" i="42"/>
  <c r="A58" i="42"/>
  <c r="B57" i="42"/>
  <c r="G19" i="1" s="1"/>
  <c r="D10" i="17" s="1"/>
  <c r="D11" i="17" s="1"/>
  <c r="A57" i="42"/>
  <c r="B56" i="42"/>
  <c r="A56" i="42"/>
  <c r="B55" i="42"/>
  <c r="G65" i="37" s="1"/>
  <c r="A55" i="42"/>
  <c r="B54" i="42"/>
  <c r="A54" i="42"/>
  <c r="B53" i="42"/>
  <c r="A53" i="42"/>
  <c r="B52" i="42"/>
  <c r="A52" i="42"/>
  <c r="B51" i="42"/>
  <c r="G10" i="1" s="1"/>
  <c r="B26" i="46" s="1"/>
  <c r="F26" i="46" s="1"/>
  <c r="G26" i="46" s="1"/>
  <c r="A51" i="42"/>
  <c r="B50" i="42"/>
  <c r="A50" i="42"/>
  <c r="B49" i="42"/>
  <c r="B89" i="42" s="1"/>
  <c r="A49" i="42"/>
  <c r="B48" i="42"/>
  <c r="A48" i="42"/>
  <c r="B47" i="42"/>
  <c r="D72" i="1" s="1"/>
  <c r="A47" i="42"/>
  <c r="B46" i="42"/>
  <c r="D59" i="1" s="1"/>
  <c r="A46" i="42"/>
  <c r="B45" i="42"/>
  <c r="G20" i="42" s="1"/>
  <c r="A45" i="42"/>
  <c r="B44" i="42"/>
  <c r="A44" i="42"/>
  <c r="B43" i="42"/>
  <c r="D43" i="1" s="1"/>
  <c r="A43" i="42"/>
  <c r="B42" i="42"/>
  <c r="A42" i="42"/>
  <c r="B41" i="42"/>
  <c r="A41" i="42"/>
  <c r="B40" i="42"/>
  <c r="D32" i="1" s="1"/>
  <c r="F8" i="13" s="1"/>
  <c r="A40" i="42"/>
  <c r="B39" i="42"/>
  <c r="A39" i="42"/>
  <c r="B38" i="42"/>
  <c r="A38" i="42"/>
  <c r="B37" i="42"/>
  <c r="A37" i="42"/>
  <c r="B36" i="42"/>
  <c r="A36" i="42"/>
  <c r="B35" i="42"/>
  <c r="D26" i="1" s="1"/>
  <c r="A35" i="42"/>
  <c r="B34" i="42"/>
  <c r="B10" i="46" s="1"/>
  <c r="A34" i="42"/>
  <c r="B33" i="42"/>
  <c r="A33" i="42"/>
  <c r="B32" i="42"/>
  <c r="D23" i="1" s="1"/>
  <c r="A32" i="42"/>
  <c r="B31" i="42"/>
  <c r="A31" i="42"/>
  <c r="B30" i="42"/>
  <c r="D22" i="1" s="1"/>
  <c r="B12" i="46" s="1"/>
  <c r="F12" i="46" s="1"/>
  <c r="G12" i="46" s="1"/>
  <c r="A30" i="42"/>
  <c r="B29" i="42"/>
  <c r="A29" i="42"/>
  <c r="B28" i="42"/>
  <c r="A28" i="42"/>
  <c r="B27" i="42"/>
  <c r="A27" i="42"/>
  <c r="B26" i="42"/>
  <c r="A26" i="42"/>
  <c r="B25" i="42"/>
  <c r="A25" i="42"/>
  <c r="B24" i="42"/>
  <c r="A24" i="42"/>
  <c r="B23" i="42"/>
  <c r="A23" i="42"/>
  <c r="B22" i="42"/>
  <c r="A22" i="42"/>
  <c r="B21" i="42"/>
  <c r="A21" i="42"/>
  <c r="H20" i="42"/>
  <c r="B20" i="42"/>
  <c r="A20" i="42"/>
  <c r="H19" i="42"/>
  <c r="B19" i="42"/>
  <c r="A19" i="42"/>
  <c r="B18" i="42"/>
  <c r="A18" i="42"/>
  <c r="B17" i="42"/>
  <c r="A17" i="42"/>
  <c r="B16" i="42"/>
  <c r="C19" i="7" s="1"/>
  <c r="A16" i="42"/>
  <c r="B15" i="42"/>
  <c r="C18" i="7" s="1"/>
  <c r="A15" i="42"/>
  <c r="B14" i="42"/>
  <c r="C17" i="7" s="1"/>
  <c r="A14" i="42"/>
  <c r="B17" i="7" s="1"/>
  <c r="B13" i="42"/>
  <c r="C16" i="7" s="1"/>
  <c r="A13" i="42"/>
  <c r="B16" i="7" s="1"/>
  <c r="B12" i="42"/>
  <c r="C15" i="7" s="1"/>
  <c r="A12" i="42"/>
  <c r="B15" i="7" s="1"/>
  <c r="B11" i="42"/>
  <c r="C14" i="7" s="1"/>
  <c r="A11" i="42"/>
  <c r="B14" i="7" s="1"/>
  <c r="B10" i="42"/>
  <c r="C13" i="7" s="1"/>
  <c r="A10" i="42"/>
  <c r="B13" i="7" s="1"/>
  <c r="B9" i="42"/>
  <c r="C12" i="7" s="1"/>
  <c r="A9" i="42"/>
  <c r="B12" i="7" s="1"/>
  <c r="B8" i="42"/>
  <c r="G21" i="37" s="1"/>
  <c r="A8" i="42"/>
  <c r="B11" i="7" s="1"/>
  <c r="B7" i="42"/>
  <c r="C10" i="7" s="1"/>
  <c r="A7" i="42"/>
  <c r="B10" i="7" s="1"/>
  <c r="B6" i="42"/>
  <c r="A6" i="42"/>
  <c r="B9" i="7" s="1"/>
  <c r="B5" i="42"/>
  <c r="D12" i="1" s="1"/>
  <c r="B9" i="46" s="1"/>
  <c r="A5" i="42"/>
  <c r="B4" i="42"/>
  <c r="A4" i="42"/>
  <c r="B3" i="42"/>
  <c r="B88" i="42" s="1"/>
  <c r="A3" i="42"/>
  <c r="C22" i="43" l="1"/>
  <c r="E40" i="2"/>
  <c r="C10" i="43"/>
  <c r="E26" i="2"/>
  <c r="C20" i="43"/>
  <c r="E76" i="2"/>
  <c r="C56" i="43"/>
  <c r="E85" i="2"/>
  <c r="C13" i="43"/>
  <c r="E82" i="2"/>
  <c r="C3" i="43"/>
  <c r="C64" i="43"/>
  <c r="C58" i="43"/>
  <c r="C62" i="43"/>
  <c r="C59" i="43"/>
  <c r="C63" i="43"/>
  <c r="C60" i="43"/>
  <c r="B65" i="43"/>
  <c r="C61" i="43"/>
  <c r="C57" i="43"/>
  <c r="C34" i="43"/>
  <c r="B47" i="46"/>
  <c r="F47" i="46" s="1"/>
  <c r="K47" i="46" s="1"/>
  <c r="E14" i="19"/>
  <c r="E59" i="44"/>
  <c r="E62" i="44" s="1"/>
  <c r="D62" i="44"/>
  <c r="G62" i="44"/>
  <c r="F62" i="44"/>
  <c r="D94" i="46"/>
  <c r="F9" i="46"/>
  <c r="O9" i="46" s="1"/>
  <c r="D18" i="1"/>
  <c r="G19" i="42"/>
  <c r="G18" i="42" s="1"/>
  <c r="F10" i="46"/>
  <c r="L10" i="46" s="1"/>
  <c r="B27" i="46"/>
  <c r="F27" i="46" s="1"/>
  <c r="L27" i="46" s="1"/>
  <c r="G73" i="1"/>
  <c r="B39" i="46" s="1"/>
  <c r="B67" i="43"/>
  <c r="B92" i="42"/>
  <c r="C12" i="43"/>
  <c r="C23" i="43"/>
  <c r="E16" i="2"/>
  <c r="H18" i="42"/>
  <c r="D13" i="1"/>
  <c r="C11" i="7"/>
  <c r="C9" i="7"/>
  <c r="C20" i="7" s="1"/>
  <c r="G3" i="42"/>
  <c r="I20" i="42"/>
  <c r="G33" i="44"/>
  <c r="B91" i="42"/>
  <c r="G37" i="44" l="1"/>
  <c r="K60" i="46"/>
  <c r="B68" i="46" s="1"/>
  <c r="D11" i="34" s="1"/>
  <c r="I19" i="42"/>
  <c r="G74" i="1"/>
  <c r="I18" i="42"/>
  <c r="C65" i="43"/>
  <c r="D11" i="19" l="1"/>
  <c r="C11" i="19"/>
  <c r="B11" i="19"/>
  <c r="F20" i="22"/>
  <c r="C28" i="41"/>
  <c r="C29" i="41" s="1"/>
  <c r="C19" i="41"/>
  <c r="C20" i="41" s="1"/>
  <c r="C10" i="41"/>
  <c r="C12" i="41" s="1"/>
  <c r="B21" i="41"/>
  <c r="B30" i="41" s="1"/>
  <c r="B19" i="11" s="1"/>
  <c r="B29" i="41"/>
  <c r="D6" i="14" s="1"/>
  <c r="B26" i="41"/>
  <c r="D12" i="41"/>
  <c r="C45" i="41" l="1"/>
  <c r="B18" i="11"/>
  <c r="B20" i="41"/>
  <c r="C9" i="25" l="1"/>
  <c r="C8" i="25" s="1"/>
  <c r="C11" i="25"/>
  <c r="C10" i="25" s="1"/>
  <c r="C7" i="24"/>
  <c r="D7" i="24"/>
  <c r="D7" i="25" s="1"/>
  <c r="C21" i="24"/>
  <c r="C22" i="24"/>
  <c r="C23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20" i="24"/>
  <c r="C19" i="24" s="1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20" i="24"/>
  <c r="G20" i="22"/>
  <c r="C8" i="16"/>
  <c r="C9" i="15"/>
  <c r="D7" i="27" l="1"/>
  <c r="D7" i="28"/>
  <c r="E18" i="2" l="1"/>
  <c r="E14" i="2"/>
  <c r="E75" i="2"/>
  <c r="E81" i="2"/>
  <c r="B43" i="46" s="1"/>
  <c r="F43" i="46" s="1"/>
  <c r="G43" i="46" s="1"/>
  <c r="E84" i="2"/>
  <c r="B49" i="46" s="1"/>
  <c r="F49" i="46" s="1"/>
  <c r="L49" i="46" s="1"/>
  <c r="E79" i="2" l="1"/>
  <c r="C39" i="16" l="1"/>
  <c r="C26" i="22"/>
  <c r="E25" i="22"/>
  <c r="E22" i="22"/>
  <c r="D26" i="22"/>
  <c r="E31" i="16"/>
  <c r="E26" i="22" l="1"/>
  <c r="D47" i="1"/>
  <c r="D21" i="23"/>
  <c r="C21" i="23"/>
  <c r="M9" i="11"/>
  <c r="G13" i="11"/>
  <c r="B16" i="46" l="1"/>
  <c r="F16" i="46" s="1"/>
  <c r="M16" i="46" s="1"/>
  <c r="B74" i="46" s="1"/>
  <c r="G40" i="44"/>
  <c r="D29" i="1"/>
  <c r="D45" i="41" s="1"/>
  <c r="C12" i="24"/>
  <c r="G63" i="1"/>
  <c r="G36" i="1"/>
  <c r="D74" i="1"/>
  <c r="E32" i="2"/>
  <c r="B42" i="46" s="1"/>
  <c r="F42" i="46" l="1"/>
  <c r="G42" i="46" s="1"/>
  <c r="C32" i="41"/>
  <c r="B13" i="46"/>
  <c r="B32" i="46"/>
  <c r="F32" i="46" s="1"/>
  <c r="N32" i="46" s="1"/>
  <c r="B88" i="46" s="1"/>
  <c r="D44" i="34" s="1"/>
  <c r="K9" i="35"/>
  <c r="J9" i="35"/>
  <c r="E7" i="34"/>
  <c r="D7" i="34"/>
  <c r="B3" i="35"/>
  <c r="C3" i="34"/>
  <c r="C3" i="2"/>
  <c r="C3" i="1"/>
  <c r="C10" i="28"/>
  <c r="D10" i="28"/>
  <c r="C13" i="28"/>
  <c r="D13" i="28"/>
  <c r="E11" i="13"/>
  <c r="C11" i="13"/>
  <c r="F10" i="13"/>
  <c r="F13" i="46" l="1"/>
  <c r="L13" i="46" s="1"/>
  <c r="D20" i="34"/>
  <c r="C7" i="27" l="1"/>
  <c r="C7" i="28" s="1"/>
  <c r="C10" i="27"/>
  <c r="C9" i="27"/>
  <c r="C16" i="24"/>
  <c r="C17" i="24"/>
  <c r="C9" i="24"/>
  <c r="D12" i="22"/>
  <c r="F12" i="22"/>
  <c r="F11" i="22"/>
  <c r="C11" i="27" l="1"/>
  <c r="C7" i="25"/>
  <c r="F9" i="13"/>
  <c r="D11" i="13" l="1"/>
  <c r="F20" i="37" l="1"/>
  <c r="F21" i="37" s="1"/>
  <c r="E21" i="37" s="1"/>
  <c r="F22" i="37" l="1"/>
  <c r="F23" i="37" s="1"/>
  <c r="F24" i="37" s="1"/>
  <c r="F25" i="37" s="1"/>
  <c r="F26" i="37" s="1"/>
  <c r="F27" i="37" s="1"/>
  <c r="F28" i="37" s="1"/>
  <c r="F29" i="37"/>
  <c r="F30" i="37" s="1"/>
  <c r="F31" i="37" s="1"/>
  <c r="F32" i="37" s="1"/>
  <c r="F33" i="37" s="1"/>
  <c r="F34" i="37" s="1"/>
  <c r="F35" i="37" s="1"/>
  <c r="F25" i="35"/>
  <c r="J23" i="35"/>
  <c r="J13" i="35"/>
  <c r="J14" i="35"/>
  <c r="J16" i="35"/>
  <c r="J18" i="35"/>
  <c r="J19" i="35"/>
  <c r="J20" i="35"/>
  <c r="J21" i="35"/>
  <c r="J22" i="35"/>
  <c r="J24" i="35"/>
  <c r="J12" i="35"/>
  <c r="I27" i="35"/>
  <c r="H27" i="35"/>
  <c r="G27" i="35"/>
  <c r="F27" i="35"/>
  <c r="F26" i="35" s="1"/>
  <c r="I11" i="35"/>
  <c r="I25" i="35" s="1"/>
  <c r="H25" i="35" s="1"/>
  <c r="H11" i="35"/>
  <c r="F11" i="35"/>
  <c r="G11" i="35"/>
  <c r="E11" i="35"/>
  <c r="E27" i="35"/>
  <c r="C11" i="35"/>
  <c r="C27" i="35"/>
  <c r="D27" i="35"/>
  <c r="D11" i="35"/>
  <c r="C14" i="27"/>
  <c r="C24" i="23"/>
  <c r="C10" i="24"/>
  <c r="C15" i="24"/>
  <c r="E88" i="2"/>
  <c r="C16" i="28" s="1"/>
  <c r="E10" i="2"/>
  <c r="J11" i="35" l="1"/>
  <c r="D25" i="35"/>
  <c r="J27" i="35"/>
  <c r="F30" i="35"/>
  <c r="F32" i="35" s="1"/>
  <c r="H30" i="35"/>
  <c r="H32" i="35" s="1"/>
  <c r="C32" i="35"/>
  <c r="C13" i="27"/>
  <c r="C15" i="27" s="1"/>
  <c r="C18" i="27" s="1"/>
  <c r="E43" i="2"/>
  <c r="C14" i="24" s="1"/>
  <c r="F36" i="37"/>
  <c r="F37" i="37" s="1"/>
  <c r="F38" i="37" s="1"/>
  <c r="F39" i="37" s="1"/>
  <c r="F40" i="37" s="1"/>
  <c r="F41" i="37" s="1"/>
  <c r="F42" i="37" s="1"/>
  <c r="F43" i="37" s="1"/>
  <c r="F44" i="37" s="1"/>
  <c r="F45" i="37" s="1"/>
  <c r="F46" i="37" s="1"/>
  <c r="F47" i="37" s="1"/>
  <c r="F48" i="37" s="1"/>
  <c r="F49" i="37" s="1"/>
  <c r="F50" i="37" s="1"/>
  <c r="F51" i="37" s="1"/>
  <c r="F52" i="37" s="1"/>
  <c r="F53" i="37" s="1"/>
  <c r="F54" i="37" s="1"/>
  <c r="F55" i="37" s="1"/>
  <c r="F56" i="37" s="1"/>
  <c r="F57" i="37" s="1"/>
  <c r="E37" i="2"/>
  <c r="B46" i="46" s="1"/>
  <c r="F46" i="46" l="1"/>
  <c r="G46" i="46" s="1"/>
  <c r="G60" i="46" s="1"/>
  <c r="B65" i="46" s="1"/>
  <c r="D10" i="34" s="1"/>
  <c r="D15" i="34" s="1"/>
  <c r="B58" i="46"/>
  <c r="D30" i="35"/>
  <c r="D32" i="35" s="1"/>
  <c r="E41" i="2"/>
  <c r="C8" i="24"/>
  <c r="G69" i="1"/>
  <c r="G75" i="1" s="1"/>
  <c r="F8" i="22"/>
  <c r="D36" i="1"/>
  <c r="B21" i="46" s="1"/>
  <c r="F21" i="46" s="1"/>
  <c r="L21" i="46" s="1"/>
  <c r="D58" i="46" l="1"/>
  <c r="F58" i="46"/>
  <c r="L58" i="46" s="1"/>
  <c r="B59" i="46"/>
  <c r="L60" i="46"/>
  <c r="B69" i="46" s="1"/>
  <c r="C72" i="46" s="1"/>
  <c r="E73" i="2"/>
  <c r="E96" i="2" s="1"/>
  <c r="E100" i="2" s="1"/>
  <c r="E101" i="2" s="1"/>
  <c r="F10" i="22"/>
  <c r="F23" i="22"/>
  <c r="F26" i="22" s="1"/>
  <c r="G23" i="22"/>
  <c r="G26" i="22" s="1"/>
  <c r="D22" i="34" l="1"/>
  <c r="D24" i="34" s="1"/>
  <c r="C39" i="46"/>
  <c r="D60" i="46"/>
  <c r="D28" i="34"/>
  <c r="K30" i="35"/>
  <c r="J33" i="35"/>
  <c r="C60" i="46" l="1"/>
  <c r="F60" i="46" s="1"/>
  <c r="F39" i="46"/>
  <c r="D61" i="46"/>
  <c r="I26" i="35"/>
  <c r="J26" i="35" s="1"/>
  <c r="I30" i="35" l="1"/>
  <c r="I32" i="35" s="1"/>
  <c r="E15" i="35"/>
  <c r="G25" i="35"/>
  <c r="J25" i="35" s="1"/>
  <c r="J15" i="35" l="1"/>
  <c r="E30" i="35"/>
  <c r="E32" i="35" s="1"/>
  <c r="G17" i="35"/>
  <c r="J17" i="35" l="1"/>
  <c r="J30" i="35" s="1"/>
  <c r="J32" i="35" s="1"/>
  <c r="G30" i="35"/>
  <c r="G32" i="35" s="1"/>
  <c r="D68" i="1"/>
  <c r="D16" i="14" s="1"/>
  <c r="D61" i="1"/>
  <c r="B17" i="46" s="1"/>
  <c r="F17" i="46" s="1"/>
  <c r="M17" i="46" s="1"/>
  <c r="B75" i="46" s="1"/>
  <c r="D57" i="1"/>
  <c r="G27" i="1"/>
  <c r="G20" i="1"/>
  <c r="B25" i="46" s="1"/>
  <c r="D20" i="1"/>
  <c r="G15" i="1"/>
  <c r="G7" i="1"/>
  <c r="B15" i="46" l="1"/>
  <c r="G39" i="44"/>
  <c r="B40" i="46"/>
  <c r="F25" i="46"/>
  <c r="N25" i="46" s="1"/>
  <c r="F15" i="46"/>
  <c r="M15" i="46" s="1"/>
  <c r="B23" i="46"/>
  <c r="C22" i="7"/>
  <c r="G37" i="1"/>
  <c r="G58" i="1" s="1"/>
  <c r="G76" i="1" s="1"/>
  <c r="D37" i="1"/>
  <c r="D75" i="1"/>
  <c r="M60" i="46" l="1"/>
  <c r="B76" i="46"/>
  <c r="C82" i="46" s="1"/>
  <c r="D33" i="34" s="1"/>
  <c r="D40" i="34" s="1"/>
  <c r="B86" i="46"/>
  <c r="N60" i="46"/>
  <c r="B41" i="46"/>
  <c r="F40" i="46"/>
  <c r="D76" i="1"/>
  <c r="D78" i="1" s="1"/>
  <c r="E11" i="22"/>
  <c r="C13" i="22"/>
  <c r="C18" i="11"/>
  <c r="B24" i="46" l="1"/>
  <c r="F24" i="46" s="1"/>
  <c r="O60" i="46"/>
  <c r="D92" i="46" s="1"/>
  <c r="D45" i="34"/>
  <c r="D49" i="34" s="1"/>
  <c r="D53" i="34" s="1"/>
  <c r="D55" i="34" s="1"/>
  <c r="C90" i="46"/>
  <c r="C92" i="46" s="1"/>
  <c r="C94" i="46" s="1"/>
  <c r="E94" i="46" s="1"/>
  <c r="B12" i="13"/>
  <c r="O61" i="46" l="1"/>
  <c r="D59" i="34"/>
  <c r="D57" i="34"/>
  <c r="E92" i="46"/>
  <c r="B13" i="15"/>
  <c r="C12" i="17" s="1"/>
  <c r="C16" i="18" s="1"/>
  <c r="B10" i="16" s="1"/>
  <c r="B13" i="14"/>
  <c r="B24" i="16" l="1"/>
  <c r="B32" i="16" s="1"/>
  <c r="F8" i="19"/>
  <c r="F64" i="37"/>
  <c r="E64" i="37" s="1"/>
  <c r="J60" i="37"/>
  <c r="F60" i="37"/>
  <c r="B41" i="16" l="1"/>
  <c r="B15" i="19"/>
  <c r="F65" i="37"/>
  <c r="E65" i="37" s="1"/>
  <c r="C9" i="16"/>
  <c r="C11" i="16" s="1"/>
  <c r="F66" i="37" l="1"/>
  <c r="F67" i="37" s="1"/>
  <c r="F68" i="37" s="1"/>
  <c r="F69" i="37" s="1"/>
  <c r="F70" i="37" s="1"/>
  <c r="F71" i="37" s="1"/>
  <c r="F72" i="37" s="1"/>
  <c r="F73" i="37" s="1"/>
  <c r="F74" i="37" s="1"/>
  <c r="F75" i="37" s="1"/>
  <c r="F76" i="37" s="1"/>
  <c r="F77" i="37" s="1"/>
  <c r="F78" i="37" s="1"/>
  <c r="F79" i="37" s="1"/>
  <c r="F80" i="37" s="1"/>
  <c r="F81" i="37" s="1"/>
  <c r="F82" i="37" s="1"/>
  <c r="F83" i="37" s="1"/>
  <c r="F84" i="37" s="1"/>
  <c r="F85" i="37" s="1"/>
  <c r="F86" i="37" s="1"/>
  <c r="C23" i="23"/>
  <c r="C22" i="23"/>
  <c r="F91" i="37" l="1"/>
  <c r="C25" i="23" l="1"/>
  <c r="D13" i="17"/>
  <c r="F7" i="13"/>
  <c r="D8" i="22"/>
  <c r="D13" i="22" s="1"/>
  <c r="C40" i="16"/>
  <c r="C42" i="16" s="1"/>
  <c r="B22" i="19"/>
  <c r="B17" i="21" s="1"/>
  <c r="B14" i="22" s="1"/>
  <c r="D16" i="11"/>
  <c r="M14" i="11"/>
  <c r="M12" i="11"/>
  <c r="M11" i="11"/>
  <c r="E9" i="22"/>
  <c r="E12" i="22"/>
  <c r="D93" i="37"/>
  <c r="D95" i="37" s="1"/>
  <c r="D94" i="37"/>
  <c r="D96" i="37" s="1"/>
  <c r="F9" i="15"/>
  <c r="F10" i="15"/>
  <c r="F11" i="15"/>
  <c r="J16" i="11"/>
  <c r="M16" i="11"/>
  <c r="F13" i="22"/>
  <c r="F16" i="22" s="1"/>
  <c r="C12" i="15"/>
  <c r="E12" i="15"/>
  <c r="D12" i="14"/>
  <c r="I18" i="11"/>
  <c r="H18" i="11"/>
  <c r="M17" i="11"/>
  <c r="D12" i="15"/>
  <c r="F8" i="15"/>
  <c r="M10" i="11"/>
  <c r="M15" i="11"/>
  <c r="F11" i="13" l="1"/>
  <c r="F14" i="13" s="1"/>
  <c r="B11" i="13"/>
  <c r="B12" i="14" s="1"/>
  <c r="B12" i="15" s="1"/>
  <c r="E13" i="22"/>
  <c r="F12" i="15"/>
  <c r="F15" i="15" s="1"/>
  <c r="L18" i="11"/>
  <c r="C11" i="17" l="1"/>
  <c r="C15" i="18" s="1"/>
  <c r="B9" i="16" s="1"/>
  <c r="G18" i="11"/>
  <c r="D18" i="11"/>
  <c r="M13" i="11"/>
  <c r="M18" i="11" s="1"/>
  <c r="M22" i="11" s="1"/>
  <c r="B23" i="16" l="1"/>
  <c r="B40" i="16" s="1"/>
  <c r="B14" i="19" s="1"/>
  <c r="B21" i="19" s="1"/>
  <c r="B16" i="21" s="1"/>
  <c r="B13" i="22" s="1"/>
  <c r="E8" i="19"/>
  <c r="B3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5" authorId="0" shapeId="0" xr:uid="{32A66D9B-D4CE-4B9C-9434-91C81935B3C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La Casa de Bolsa brinda servicios de INTERMEDIACION 
</t>
        </r>
        <r>
          <rPr>
            <sz val="10"/>
            <color rgb="FF000000"/>
            <rFont val="Tahoma"/>
            <family val="2"/>
          </rPr>
          <t xml:space="preserve">Por ello los ingresos netos:
</t>
        </r>
        <r>
          <rPr>
            <sz val="10"/>
            <color rgb="FF000000"/>
            <rFont val="Tahoma"/>
            <family val="2"/>
          </rPr>
          <t xml:space="preserve">Importe reciibido de clientes mas Ingresos por intermediacion  menos pagos de clientes, costos de servicios
</t>
        </r>
      </text>
    </comment>
    <comment ref="E7" authorId="0" shapeId="0" xr:uid="{D17D88A4-ED12-49F4-A5A0-D17AF9DBF6D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Fijate siempre que los Datos correspondan al AÑO ANTERIOR....sumas globales u particulares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Sady Pereira</author>
  </authors>
  <commentList>
    <comment ref="E7" authorId="0" shapeId="0" xr:uid="{014E40D2-1D99-4DB0-89E9-CB49D051A259}">
      <text>
        <r>
          <rPr>
            <b/>
            <sz val="9"/>
            <color indexed="81"/>
            <rFont val="Tahoma"/>
            <family val="2"/>
          </rPr>
          <t>Sady Pereira:</t>
        </r>
        <r>
          <rPr>
            <sz val="9"/>
            <color indexed="81"/>
            <rFont val="Tahoma"/>
            <family val="2"/>
          </rPr>
          <t xml:space="preserve">
Corresponde a Saldos del Activo - Deudoras
o Pasicas - Acreedoreas</t>
        </r>
      </text>
    </comment>
  </commentList>
</comments>
</file>

<file path=xl/sharedStrings.xml><?xml version="1.0" encoding="utf-8"?>
<sst xmlns="http://schemas.openxmlformats.org/spreadsheetml/2006/main" count="1591" uniqueCount="1049">
  <si>
    <t>Fecha Presentación:</t>
  </si>
  <si>
    <t>INDICE</t>
  </si>
  <si>
    <t>REF.</t>
  </si>
  <si>
    <t>I-INFORMACIÓN GENERAL DE INVESTOR CASA DE BOLSA SA</t>
  </si>
  <si>
    <t>II-ESTADOS FINANCIEROS BASICOS</t>
  </si>
  <si>
    <t>Balance General</t>
  </si>
  <si>
    <t>Cuadro de Resultados</t>
  </si>
  <si>
    <t>Flujo de Efectivo</t>
  </si>
  <si>
    <t>Estado de Variacion Patrimonial</t>
  </si>
  <si>
    <t>Calculo de IRACIS</t>
  </si>
  <si>
    <t>Balance del Sistema</t>
  </si>
  <si>
    <t>Informe del Sindico</t>
  </si>
  <si>
    <t>Informe del Auditor Externo</t>
  </si>
  <si>
    <t>Memoria del Directorio</t>
  </si>
  <si>
    <t xml:space="preserve"> Notas a los Estados Contables</t>
  </si>
  <si>
    <t>Nota 1- Consideraciones de EEFF</t>
  </si>
  <si>
    <t>Nota 2 - Inforamacion de la Empresa</t>
  </si>
  <si>
    <t>Nota 3 - Principales Politicas y Practicas Contables</t>
  </si>
  <si>
    <t>Nota 4 - Cambio de Politicas y Proced. Contables</t>
  </si>
  <si>
    <t>Nota 5 - Criterios Especificos de Valuación</t>
  </si>
  <si>
    <t>a. Valuacion Moneda Extranjera</t>
  </si>
  <si>
    <t>b.Posición Moneda Extranjera</t>
  </si>
  <si>
    <t>c.Diferencia de cambio</t>
  </si>
  <si>
    <t>d. Disponibiliadades</t>
  </si>
  <si>
    <t>e. Inversiones</t>
  </si>
  <si>
    <t>f.Créditos</t>
  </si>
  <si>
    <t>g.Bienes de Cambio</t>
  </si>
  <si>
    <t>h.Cargos Diferidos</t>
  </si>
  <si>
    <t>i. Bienes Intangibles</t>
  </si>
  <si>
    <t>j. Otros Activos</t>
  </si>
  <si>
    <t xml:space="preserve">k.Prestamos </t>
  </si>
  <si>
    <t>l.Documentos y Ctas a Cobrar</t>
  </si>
  <si>
    <t>m.Acreedores por Intermediación</t>
  </si>
  <si>
    <t>n. Administración de Carteras</t>
  </si>
  <si>
    <t>o.Cuentas a Pagar - Relacionadas -</t>
  </si>
  <si>
    <t>p.Obligaciones Contrato de Underwriting</t>
  </si>
  <si>
    <t>q.Otros Pasivos</t>
  </si>
  <si>
    <t>r.Saldos y Transacciones - Relacionadas -</t>
  </si>
  <si>
    <t>s. Resultados con Relacionadas</t>
  </si>
  <si>
    <t>t.Patrimonio</t>
  </si>
  <si>
    <t>u. Previsiones</t>
  </si>
  <si>
    <t>v.Ingresos Operativos</t>
  </si>
  <si>
    <t>w.Otros Gastos Operativos</t>
  </si>
  <si>
    <t>x. Otros Ingresos y Egresos</t>
  </si>
  <si>
    <t>y. Resultados Financieros</t>
  </si>
  <si>
    <t>z. Resultados Extraordinarios</t>
  </si>
  <si>
    <t>Nota 6- Información Referente a Contingencias</t>
  </si>
  <si>
    <t>a.Compromisios Directos</t>
  </si>
  <si>
    <t>b.Contingencias Legales</t>
  </si>
  <si>
    <t>c.Garantías Constituidas</t>
  </si>
  <si>
    <t>Nota 7- Hechos posteriores</t>
  </si>
  <si>
    <t>Nota 8- Limitaciones a libre disponibilidad</t>
  </si>
  <si>
    <t>Nota 9- Cambios Contables</t>
  </si>
  <si>
    <t>Nota 10- Restricciones para Distribuir Utilidades</t>
  </si>
  <si>
    <t>Nota 11- Sanciones</t>
  </si>
  <si>
    <t>1 01</t>
  </si>
  <si>
    <t>1 01 01</t>
  </si>
  <si>
    <t xml:space="preserve"> (Expresado en Guaraníes)</t>
  </si>
  <si>
    <t>ACTIVO</t>
  </si>
  <si>
    <t>PASIVO</t>
  </si>
  <si>
    <t>1 01 01 01</t>
  </si>
  <si>
    <t>PASIVO CORRIENTE</t>
  </si>
  <si>
    <t>1 01 01 03</t>
  </si>
  <si>
    <t>DISPONIBILIDADES Nota 5 d</t>
  </si>
  <si>
    <t>Caja</t>
  </si>
  <si>
    <t>Recaudaciones a Depositar</t>
  </si>
  <si>
    <t>Acreedores Varios  - Nota 5 l</t>
  </si>
  <si>
    <t>Bancos</t>
  </si>
  <si>
    <t>1 01 03</t>
  </si>
  <si>
    <t>PRESTAMOS FINANCIEROS - Nota 5 k</t>
  </si>
  <si>
    <t>1 01 03 01</t>
  </si>
  <si>
    <t>Titulos de Renta Variable</t>
  </si>
  <si>
    <t>Sobregiros en cuenta corriente</t>
  </si>
  <si>
    <t>Titulos de Renta Fija</t>
  </si>
  <si>
    <t>Documentos a pagar</t>
  </si>
  <si>
    <t>Menos: Prevision por disminución de valor</t>
  </si>
  <si>
    <t>Intereses a Devengar</t>
  </si>
  <si>
    <t>CREDITOS Nota 5 f</t>
  </si>
  <si>
    <t>PROVISIONES</t>
  </si>
  <si>
    <t>Deudores por Intermediacion</t>
  </si>
  <si>
    <t>Impuesto a la Renta a pagar</t>
  </si>
  <si>
    <t>Documentos y  Cuentas a Cobrar</t>
  </si>
  <si>
    <t>IVA a Pagar</t>
  </si>
  <si>
    <t>Deudores Varios</t>
  </si>
  <si>
    <t>Retenciones de Impuestos</t>
  </si>
  <si>
    <t>Menos: Prevision por Incobrables</t>
  </si>
  <si>
    <t>Aportes y Retenciones a Pagar</t>
  </si>
  <si>
    <t>Cuentas por Cobrar a Personas y Emp. Relacionadas</t>
  </si>
  <si>
    <t>Provisiones Varias</t>
  </si>
  <si>
    <t>1 01 03 11</t>
  </si>
  <si>
    <t>Menos: Prevision por Incobrables a Personas y Emp Relacionadas</t>
  </si>
  <si>
    <t>1 01 03 13</t>
  </si>
  <si>
    <t>Derechos sobre titulos por Contratos de Underwiting</t>
  </si>
  <si>
    <t>1 01 03 14</t>
  </si>
  <si>
    <t>OTROS ACTIVOS</t>
  </si>
  <si>
    <t>OTROS PASIVOS</t>
  </si>
  <si>
    <t>1 01 15</t>
  </si>
  <si>
    <t>1 01 15 02</t>
  </si>
  <si>
    <t>Prestamos de Terceros</t>
  </si>
  <si>
    <t>1 01 15 03</t>
  </si>
  <si>
    <t>Dividendos a Pagar</t>
  </si>
  <si>
    <t>2 01 15 03</t>
  </si>
  <si>
    <t>Otros Pasivos Corrientes</t>
  </si>
  <si>
    <t>1 01 20</t>
  </si>
  <si>
    <t>1 01 20 01</t>
  </si>
  <si>
    <t>ACTIVO NO CORRIENTE</t>
  </si>
  <si>
    <t>PASIVOS NO CORRIENTE</t>
  </si>
  <si>
    <t>1 01 20 02</t>
  </si>
  <si>
    <t>INVERSIONES PERMANENTES Nota 5 e</t>
  </si>
  <si>
    <t>PRESTAMOS FINANCIEROS</t>
  </si>
  <si>
    <t>Préstamos en Bancos</t>
  </si>
  <si>
    <t>Titulo de Renta Fija</t>
  </si>
  <si>
    <t>Acciones en la Bolsa de Valores</t>
  </si>
  <si>
    <t>Otros Valores</t>
  </si>
  <si>
    <t>PREVISIONES</t>
  </si>
  <si>
    <t>1 02</t>
  </si>
  <si>
    <t xml:space="preserve">Instrumentos Financieros Cedidos </t>
  </si>
  <si>
    <t>1 02 01</t>
  </si>
  <si>
    <t>Prevision para Indeminzacion</t>
  </si>
  <si>
    <t>1 02 01 09</t>
  </si>
  <si>
    <t>Otras Contingencias</t>
  </si>
  <si>
    <t>CREDITOS</t>
  </si>
  <si>
    <t>Otros Pasivos No Corrientes</t>
  </si>
  <si>
    <t>1 02 02</t>
  </si>
  <si>
    <t>1 02 02 01</t>
  </si>
  <si>
    <t>Deudores por Gestion en Cobro</t>
  </si>
  <si>
    <t>1 02 02 02</t>
  </si>
  <si>
    <t>1 02 02 03</t>
  </si>
  <si>
    <t>PATRIMONIO NETO  Nota 5 t</t>
  </si>
  <si>
    <t>Capital realizado</t>
  </si>
  <si>
    <t>Aportes para Futuras Integraciones</t>
  </si>
  <si>
    <t>1 02 10</t>
  </si>
  <si>
    <t>BIENES DE USO Nota 5 g</t>
  </si>
  <si>
    <t>Reservas</t>
  </si>
  <si>
    <t>Bienes en operación</t>
  </si>
  <si>
    <t>Reserva Legal</t>
  </si>
  <si>
    <t>Depreciación acumulada</t>
  </si>
  <si>
    <t>Reserva de revalúo</t>
  </si>
  <si>
    <t>Utilidad por valuación BVPSA</t>
  </si>
  <si>
    <t>ACTIVOS INTANGIBLES  Nota 5 i</t>
  </si>
  <si>
    <t>Licencias</t>
  </si>
  <si>
    <t>Marcas</t>
  </si>
  <si>
    <t>Membresia BVPASA</t>
  </si>
  <si>
    <t>Sistemas Informaticos</t>
  </si>
  <si>
    <t>Resultados Acumulados</t>
  </si>
  <si>
    <t>Amortización Acumulada</t>
  </si>
  <si>
    <t>Resultado del Ejercicio</t>
  </si>
  <si>
    <t>1 02 10 01</t>
  </si>
  <si>
    <t>1 02 10 02</t>
  </si>
  <si>
    <t>1 02 20</t>
  </si>
  <si>
    <t>Gastos de Constitución</t>
  </si>
  <si>
    <t>1 02 20 01</t>
  </si>
  <si>
    <t>Seguros Pagados por Adelantado</t>
  </si>
  <si>
    <t>1 02 20 02</t>
  </si>
  <si>
    <t>1 02 20 03</t>
  </si>
  <si>
    <t>1 02 30</t>
  </si>
  <si>
    <t>1 02 30 01</t>
  </si>
  <si>
    <t>1 02 30 02</t>
  </si>
  <si>
    <t>1 02 30 03</t>
  </si>
  <si>
    <t xml:space="preserve">2 01 </t>
  </si>
  <si>
    <t>2 01 01</t>
  </si>
  <si>
    <t>2 01 01 02</t>
  </si>
  <si>
    <t>2 01 01 04</t>
  </si>
  <si>
    <t>2 01 05</t>
  </si>
  <si>
    <t>2 01 05 01</t>
  </si>
  <si>
    <t>2 01 05 02</t>
  </si>
  <si>
    <t>2 01 05 04</t>
  </si>
  <si>
    <t>2 01 10</t>
  </si>
  <si>
    <t>2 01 10 01</t>
  </si>
  <si>
    <t>2 01 10 04</t>
  </si>
  <si>
    <t>2 01 10 05</t>
  </si>
  <si>
    <t>2 01 20</t>
  </si>
  <si>
    <t>2 01 20 04</t>
  </si>
  <si>
    <t>2 02</t>
  </si>
  <si>
    <t>2 02 01</t>
  </si>
  <si>
    <t>2 02 01 01</t>
  </si>
  <si>
    <t>2 02 01 02</t>
  </si>
  <si>
    <t>2 02 02</t>
  </si>
  <si>
    <t>2 02 02 01</t>
  </si>
  <si>
    <t>3 02 02 01</t>
  </si>
  <si>
    <t>2 03</t>
  </si>
  <si>
    <t>2 03 01</t>
  </si>
  <si>
    <t>2 03 01 03</t>
  </si>
  <si>
    <t>2 03 01 04</t>
  </si>
  <si>
    <t>2 03 02</t>
  </si>
  <si>
    <t>2 03 02 01</t>
  </si>
  <si>
    <t>2 03 02 03</t>
  </si>
  <si>
    <t>2 03 02 04</t>
  </si>
  <si>
    <t>2 03 02 05</t>
  </si>
  <si>
    <t>2 03 03</t>
  </si>
  <si>
    <t>2 03 03 01</t>
  </si>
  <si>
    <t>2 03 03 02</t>
  </si>
  <si>
    <t>ESTADO DE RESULTADOS</t>
  </si>
  <si>
    <t>(Expresado en guaraníes)</t>
  </si>
  <si>
    <t>Comisiones por Operaciones en Rueda</t>
  </si>
  <si>
    <t>Por intermediacion por Acciones en Rueda</t>
  </si>
  <si>
    <t>Por intermediacion de Renta Fija en Rueda</t>
  </si>
  <si>
    <t>Comisiones por Operaciones fuera de Rueda</t>
  </si>
  <si>
    <t>Por intermediacion por Acciones fuera de Rueda</t>
  </si>
  <si>
    <t>Por intermediacion de Renta Fija fuera de  Rueda</t>
  </si>
  <si>
    <t>Comisiones por Contratos de Colocaciones Primarias</t>
  </si>
  <si>
    <t>Comisiones por Contratos de Colocaciones Primarias de acciones</t>
  </si>
  <si>
    <t>Comisiones por Contratos de Colocaciones Primarias de renta fija</t>
  </si>
  <si>
    <t>Ingresos Por Asesoria Financiera</t>
  </si>
  <si>
    <t>Ingresos por Intereses y Dividendos de Cartera Propia</t>
  </si>
  <si>
    <t>Ingresos por Venta de Cartera Propia</t>
  </si>
  <si>
    <t>Ingresos por Venta de Cartera Propia a Personas y Empresas Relacionadas</t>
  </si>
  <si>
    <t>Ingresos por Operciones y Servicios a personas relacionadas</t>
  </si>
  <si>
    <t>Otros Ingresos Operativos</t>
  </si>
  <si>
    <t>Ganancia por Venta de Titulos - Bonos</t>
  </si>
  <si>
    <t>Gastos por Comisiones y Servicios</t>
  </si>
  <si>
    <t>Aranceles por negociación Bolsa de Valores</t>
  </si>
  <si>
    <t>Resultado Operativo Bruto</t>
  </si>
  <si>
    <t>Gastos de Comercialización</t>
  </si>
  <si>
    <t>Publicidad</t>
  </si>
  <si>
    <t>Folletos e impresiones</t>
  </si>
  <si>
    <t>Otros Gastos de Comercializacion</t>
  </si>
  <si>
    <t>Gastos de administración</t>
  </si>
  <si>
    <t>Aporte Patronal</t>
  </si>
  <si>
    <t>Servicios Contratados</t>
  </si>
  <si>
    <t>Resultado Operativo Neto</t>
  </si>
  <si>
    <t>Otros Ingresos</t>
  </si>
  <si>
    <t>Otros Egresos</t>
  </si>
  <si>
    <t>Generados por Activos</t>
  </si>
  <si>
    <t>Intereses cobrados</t>
  </si>
  <si>
    <t>Diferencia de Cambio</t>
  </si>
  <si>
    <t>Generados por Pasivos</t>
  </si>
  <si>
    <t>Intereses pagados</t>
  </si>
  <si>
    <t>Ganancias</t>
  </si>
  <si>
    <t>Pérdidas</t>
  </si>
  <si>
    <t>Ajuste de Resultados de Ejercicios Anteriores</t>
  </si>
  <si>
    <t>Ingresos</t>
  </si>
  <si>
    <t>Egresos</t>
  </si>
  <si>
    <t xml:space="preserve">Ganancias (o pérdidas) </t>
  </si>
  <si>
    <t>Impuesto a la Renta</t>
  </si>
  <si>
    <t>ESTADO DE FLUJO DE EFECTIVO</t>
  </si>
  <si>
    <t>Flujo de efectivo por las actividades operativas</t>
  </si>
  <si>
    <t>Efectivo pagado a empleados</t>
  </si>
  <si>
    <t>Efectivo generado por otras actividades</t>
  </si>
  <si>
    <t xml:space="preserve">Total de efectivo de las actividades operativas antes de cambios en </t>
  </si>
  <si>
    <t>los activos de operaciones.</t>
  </si>
  <si>
    <t xml:space="preserve">(Aumento) disminución en los activos de operación </t>
  </si>
  <si>
    <t>Fondos colocados a corto plazo</t>
  </si>
  <si>
    <t>Aumento (disminución) en pasivos operativos</t>
  </si>
  <si>
    <t>Pagos a proveedores</t>
  </si>
  <si>
    <t>Efectivo Neto de actividades de operación antes de impuestos</t>
  </si>
  <si>
    <t xml:space="preserve">Efectivo Neto de actividades de operación </t>
  </si>
  <si>
    <t>Flujo de efectivo por actividades de inversión</t>
  </si>
  <si>
    <t>Inversiones en otras empresas</t>
  </si>
  <si>
    <t>Fondos con destino especial</t>
  </si>
  <si>
    <t>Compra de propiedad, planta y equipo</t>
  </si>
  <si>
    <t>Adquisicion de acciones y titulos de deuda</t>
  </si>
  <si>
    <t>Intereses percibidos</t>
  </si>
  <si>
    <t>Dividendos percibidos</t>
  </si>
  <si>
    <t>Efectivo Neto por (o usado) en actividades de inversión</t>
  </si>
  <si>
    <t>Flujo de efectivo por actividades de financiamiento</t>
  </si>
  <si>
    <t>Aportes de capital</t>
  </si>
  <si>
    <t>Dividendos pagados</t>
  </si>
  <si>
    <t>Efectivo neto en actividades financieras</t>
  </si>
  <si>
    <t>Efectos de las ganancias o pérdidas de cambio en el efectivo y sus equivalentes</t>
  </si>
  <si>
    <t xml:space="preserve">Aumento (o disminución) neto de efectivos y sus equivalentes </t>
  </si>
  <si>
    <t>Efectivo y su equivalente al comienzo del periodo</t>
  </si>
  <si>
    <t>Efectivo y su equivalente al cierre del periodo</t>
  </si>
  <si>
    <t>ESTADO DE VARIACION DEL PATRIMONIO NETO.</t>
  </si>
  <si>
    <t>CAPITAL</t>
  </si>
  <si>
    <t>RESERVAS</t>
  </si>
  <si>
    <t>RESULTADOS</t>
  </si>
  <si>
    <t>PATRIMONIO NETO</t>
  </si>
  <si>
    <t>CUENTAS</t>
  </si>
  <si>
    <t>AP. FUT. INTEGRAC.</t>
  </si>
  <si>
    <t>INTEGRADO</t>
  </si>
  <si>
    <t>LEGAL</t>
  </si>
  <si>
    <t>REVALÚO</t>
  </si>
  <si>
    <t>ACUMULADOS</t>
  </si>
  <si>
    <t>DEL EJERCICIO</t>
  </si>
  <si>
    <t>Saldo al inicio del ejercicio</t>
  </si>
  <si>
    <t>Mov. Subsecuentes</t>
  </si>
  <si>
    <t>Reserva Legal  y otros del Ejercicio</t>
  </si>
  <si>
    <t>-</t>
  </si>
  <si>
    <t>Revaluo del Ejercicio</t>
  </si>
  <si>
    <t>Aportes a Cta. Fut Capitalizaciones</t>
  </si>
  <si>
    <t>Retiros a Cta. De Utilidades</t>
  </si>
  <si>
    <t>Aporte Capital</t>
  </si>
  <si>
    <t>NOTA 1: CONSIDERACION DE LOS ESTADOS CONTABLES</t>
  </si>
  <si>
    <t>NOTA 2:  INFORMACIÓN BÁSICA DE LA EMPRESA</t>
  </si>
  <si>
    <t>La Sociedad tiene por objeto efectuar las siguientes operaciones:</t>
  </si>
  <si>
    <t>Comprar y vender valores por cuenta de terceros y también por cuenta propia, con recursos de terceros o propios, en una bolsa de valores o fuera de ella;</t>
  </si>
  <si>
    <t>Prestar asesoría en materia de valores y operaciones de bolsa, así como brindar a sus clientes un sistema de información y procesamiento de datos;</t>
  </si>
  <si>
    <t>Suscribir transitoriamente, con recursos propios, parte o la totalidad de emisiones primaria de valores;</t>
  </si>
  <si>
    <t>Promover el lanzamiento de emisiones de valores públicos y privados y facilitar su colocación;</t>
  </si>
  <si>
    <t>Actuar como representante de los obligacionistas;</t>
  </si>
  <si>
    <t>Prestar servicios de administración de carteras y custodia de valores;</t>
  </si>
  <si>
    <t>Llevar el registro contable de valores de sus clientes con sujeción a lo establecido en la Ley del Mercado de Valores o en las reglamentaciones que dicte la Comisión Nacional de Valores al efecto;</t>
  </si>
  <si>
    <t>Otorgar créditos, con sus propios recursos, únicamente con el objeto de facilitar la adquisición de valores por sus comitentes, estén o no inscriptos en una bolsa de valores y con la garantía de tales valores;</t>
  </si>
  <si>
    <t>Recibir créditos de empresas del sistema financiero para la realización de las actividades que le son propias;</t>
  </si>
  <si>
    <t>Efectuar todas las operaciones y servicios que sean compatibles con la actividad de intermediación en el mercado de valores y que previamente y por las reglas de carácter general autorice la Comisión Nacional de Valores y la Bolsa de Valores que integra.</t>
  </si>
  <si>
    <t>NOTA 3: PRINCIPALES POLÍTICAS Y PRÁCTICAS CONTABLES APLICADAS</t>
  </si>
  <si>
    <t>3.1.  Base de preparación de los estados contables</t>
  </si>
  <si>
    <t>3.2. Criterios de valuación</t>
  </si>
  <si>
    <t>3.3. Previsión para cuentas incobrables</t>
  </si>
  <si>
    <t xml:space="preserve">La entidad no posee previsión para cuentas incobrables. </t>
  </si>
  <si>
    <t>Las depreciaciones se calculan por el método de línea recta, en base a la vida útil estimada del bien.</t>
  </si>
  <si>
    <t>3.5. Reconocimiento de ingresos y gastos</t>
  </si>
  <si>
    <t>Los ingresos y egresos son reconocidos de acuerdo al criterio contable de lo devengado. Bajo tal criterio los efectos de las transacciones y otros eventos son reconocidos cuando ocurren y no cuando el efectivo es recibido o pagado.</t>
  </si>
  <si>
    <t>3.6. Base de preparación del estado de flujos de efectivo</t>
  </si>
  <si>
    <t>La base de preparación del estado de flujo de efectivo es El Método Directo, con la clasificación de flujo de efectivo por actividades operativas, de inversión y de financiamiento.</t>
  </si>
  <si>
    <t>NOTA 4: CAMBIO DE POLITICA Y PROCEDIMIENTOS DE CONTABILIDAD</t>
  </si>
  <si>
    <t>La entidad no posee cambios de políticas y procedimientos contables en el trascurso del presente ejercicio.</t>
  </si>
  <si>
    <t>NOTA 5: CRITERIOS ESPECÍFICOS DE VALUACIÓN</t>
  </si>
  <si>
    <t>Tipos de Cambio</t>
  </si>
  <si>
    <t>Comprador</t>
  </si>
  <si>
    <t>Vendedor</t>
  </si>
  <si>
    <t>Activos y Pasivos en Moneda Extranjera</t>
  </si>
  <si>
    <t>DETALLE</t>
  </si>
  <si>
    <t>MONEDA EXTRANJERA CLASE</t>
  </si>
  <si>
    <t>MONEDA EXTRANJERA MONTO</t>
  </si>
  <si>
    <t>ACTIVO CORRIENTE</t>
  </si>
  <si>
    <t>DISPONIBILIDADES</t>
  </si>
  <si>
    <t>Dólares</t>
  </si>
  <si>
    <t>Creditos Fiscales</t>
  </si>
  <si>
    <t>Dividendos a Cobrar</t>
  </si>
  <si>
    <t>Otros Creditos</t>
  </si>
  <si>
    <t>Anticipo IRE</t>
  </si>
  <si>
    <t>ANTICIPOS</t>
  </si>
  <si>
    <t>Anticipo a Proveedores</t>
  </si>
  <si>
    <t>Anticipos Honorarios-Servicios</t>
  </si>
  <si>
    <t>Intereses a Vencer</t>
  </si>
  <si>
    <t>Seguros a Vencer</t>
  </si>
  <si>
    <t>Intereses a Cobrar</t>
  </si>
  <si>
    <t>INVERSIONES PERMANENTES</t>
  </si>
  <si>
    <t>Titulo de Renta Variables- Acciones</t>
  </si>
  <si>
    <t>Titulo de Renta Fija (Bonos+CDA)</t>
  </si>
  <si>
    <t>Acciones en la Bolsa de Valores y otras inversiones</t>
  </si>
  <si>
    <t>PROPIEDAD, PLANTA Y EQUIPO</t>
  </si>
  <si>
    <t>Bienes en Operación</t>
  </si>
  <si>
    <t>Depreciación Acumulada</t>
  </si>
  <si>
    <t>ACTIVOS INTANGIBLES</t>
  </si>
  <si>
    <t>Membresias</t>
  </si>
  <si>
    <t>Garantia de Alquiler</t>
  </si>
  <si>
    <t>CUENTAS A PAGAR</t>
  </si>
  <si>
    <t>Proveedores Varios</t>
  </si>
  <si>
    <t>Acreedores por intermediacion</t>
  </si>
  <si>
    <t>Comisiones a Pagar</t>
  </si>
  <si>
    <t>Anticipo de Clientes</t>
  </si>
  <si>
    <t>Documentos a Pagar</t>
  </si>
  <si>
    <t>Intereses a Pagar</t>
  </si>
  <si>
    <t>Impuesto a la Renta a Pagar</t>
  </si>
  <si>
    <t>Sueldos a Pagar</t>
  </si>
  <si>
    <t>Seguros a Pagar</t>
  </si>
  <si>
    <t>PASIVO NO CORRIENTE</t>
  </si>
  <si>
    <t>Ganancias a Devengar</t>
  </si>
  <si>
    <t>Cuentas a Pagar por Compra de Acciones</t>
  </si>
  <si>
    <t>CONCEPTO</t>
  </si>
  <si>
    <t>TIPO DE CAMBIO PERIODO ACTUAL</t>
  </si>
  <si>
    <t>MONTO AJUSTADO PERIODO ACTUAL</t>
  </si>
  <si>
    <t>TIPO DE CAMBIO PERIODO ANTERIOR</t>
  </si>
  <si>
    <t>MONTO AJUSTADO PERIODO ANTERIOR</t>
  </si>
  <si>
    <t>Ganancias por valuación de Activos en Moneda Extrajera</t>
  </si>
  <si>
    <t>Ganancias por valuación de Pasivos en Moneda Extrajera</t>
  </si>
  <si>
    <t>Pérdidas por valuación de Activos en Moneda Extranajera</t>
  </si>
  <si>
    <t>Pérdidas por valuación de Pasivos en Moneda Extranajera</t>
  </si>
  <si>
    <t>Efecto Neto</t>
  </si>
  <si>
    <t>Saldos de Cuentas</t>
  </si>
  <si>
    <t xml:space="preserve">  DISPONIBILIDADES                       </t>
  </si>
  <si>
    <t>TOTAL DISPONIBILIDADES</t>
  </si>
  <si>
    <t/>
  </si>
  <si>
    <t xml:space="preserve">                INFORMACION SOBRE EL DOCUMENTO Y EL EMISOR</t>
  </si>
  <si>
    <t xml:space="preserve">TITULOS DE RENTA FIJA </t>
  </si>
  <si>
    <t>TIPO DE</t>
  </si>
  <si>
    <t>CANTIDAD DE</t>
  </si>
  <si>
    <t>VALOR</t>
  </si>
  <si>
    <t>RESULTADO</t>
  </si>
  <si>
    <t>P.NETO</t>
  </si>
  <si>
    <t>EMISOR</t>
  </si>
  <si>
    <t>TITULO</t>
  </si>
  <si>
    <t>TITULOS</t>
  </si>
  <si>
    <t>NOMINAL</t>
  </si>
  <si>
    <t>CONTABLE</t>
  </si>
  <si>
    <t>CDA</t>
  </si>
  <si>
    <t>Bonos</t>
  </si>
  <si>
    <t>CANTIDAD</t>
  </si>
  <si>
    <t>VALOR NOMINAL</t>
  </si>
  <si>
    <t>VALOR CONTABLE</t>
  </si>
  <si>
    <t>Inversiones Temporales</t>
  </si>
  <si>
    <t>Inversiones Permanentes</t>
  </si>
  <si>
    <t>DEUDORES POR INTERMEDIACION</t>
  </si>
  <si>
    <t>GUARANIES</t>
  </si>
  <si>
    <t>Corto Plazo Gs.</t>
  </si>
  <si>
    <t>Largo Plazo Gs.</t>
  </si>
  <si>
    <t>Credito Fiscal IVA</t>
  </si>
  <si>
    <t>Dividendos a cobrar</t>
  </si>
  <si>
    <t xml:space="preserve"> </t>
  </si>
  <si>
    <t>DERECHO SOBRE TITULOS POR CONTRATOS DE UNDERWRITING</t>
  </si>
  <si>
    <t>INSTRUMENTO</t>
  </si>
  <si>
    <t>CANTIDAD DE  TITULOS</t>
  </si>
  <si>
    <t>FECHA DE</t>
  </si>
  <si>
    <t>VALOR DE SUSCRIPCIÓN</t>
  </si>
  <si>
    <t>UNITARIO</t>
  </si>
  <si>
    <t>VENCIMIENTO</t>
  </si>
  <si>
    <t>DEL CONTRATO</t>
  </si>
  <si>
    <t>NO APLICABLE</t>
  </si>
  <si>
    <t>Total actual G.</t>
  </si>
  <si>
    <t>Total anterior G.</t>
  </si>
  <si>
    <t>VALORES DE ORIGEN</t>
  </si>
  <si>
    <t>DEPRECIACIONES</t>
  </si>
  <si>
    <t>Valores al Inicio del Ejercicio</t>
  </si>
  <si>
    <t>Altas</t>
  </si>
  <si>
    <t>Bajas</t>
  </si>
  <si>
    <t>Revalúo del Periodo</t>
  </si>
  <si>
    <t>Valores al cierre del Periodo</t>
  </si>
  <si>
    <t>Acumuladas al inicio del Ejercicio</t>
  </si>
  <si>
    <t>Acumuladas Al Cierre</t>
  </si>
  <si>
    <t>Neto Resultante</t>
  </si>
  <si>
    <t>Muebles y Útiles</t>
  </si>
  <si>
    <t>Rodados</t>
  </si>
  <si>
    <t>Instalaciones</t>
  </si>
  <si>
    <t>Equipos de Oficina</t>
  </si>
  <si>
    <t>Equipos de Informática</t>
  </si>
  <si>
    <t xml:space="preserve">Inmuebles </t>
  </si>
  <si>
    <t>Construcciones en curso</t>
  </si>
  <si>
    <t>Mejoras en Predio Ajeno</t>
  </si>
  <si>
    <t>Utiles y enseres</t>
  </si>
  <si>
    <t>SALDO INICIAL</t>
  </si>
  <si>
    <t>AUMENTOS</t>
  </si>
  <si>
    <t>AMORTIZACIONES</t>
  </si>
  <si>
    <t>SALDO NETO FINAL</t>
  </si>
  <si>
    <t>CUENTA</t>
  </si>
  <si>
    <t>Marcas y Licencias</t>
  </si>
  <si>
    <t>Licencias Informáticas</t>
  </si>
  <si>
    <t>Sistemas Informáticos</t>
  </si>
  <si>
    <t>Licencia Actividad Bursatil</t>
  </si>
  <si>
    <t>Seguros pagados por adelantado</t>
  </si>
  <si>
    <t>Anticipos a proveedores y otros</t>
  </si>
  <si>
    <t>INSTITUCION</t>
  </si>
  <si>
    <t>CORTO PLAZO GS.</t>
  </si>
  <si>
    <t>LARGO PLAZO GS.</t>
  </si>
  <si>
    <t>CORRIENTE G.</t>
  </si>
  <si>
    <t>NO CORRIENTE G.</t>
  </si>
  <si>
    <t>A la fecha la entidad no registra administración de Cartera a Corto y Largo Plazo</t>
  </si>
  <si>
    <t>Corriente Gs.</t>
  </si>
  <si>
    <t>No corrientes Gs.</t>
  </si>
  <si>
    <t>r)       Saldos y Transacciones con personas y empresas relacionadas (Corriente y No Corriente)</t>
  </si>
  <si>
    <t>SALDOS (Deudores y Acreedores mantenidos)</t>
  </si>
  <si>
    <t>NOMBRE</t>
  </si>
  <si>
    <t>RELACION</t>
  </si>
  <si>
    <t>TIPO DE OPERACIÓN</t>
  </si>
  <si>
    <t>ANTIGÜEDAD DE LA DEUDA</t>
  </si>
  <si>
    <t>PERIODO ACTUAL G.</t>
  </si>
  <si>
    <t>PERSONA O EMPRESA RELACIONADA</t>
  </si>
  <si>
    <t>Total Ingresos</t>
  </si>
  <si>
    <t>Total Egresos</t>
  </si>
  <si>
    <t>t) Patrimonio</t>
  </si>
  <si>
    <t>SALDO AL INICIO DEL EJERCICIO</t>
  </si>
  <si>
    <t>DISMINUCIÓN</t>
  </si>
  <si>
    <t>Capital Integrado</t>
  </si>
  <si>
    <t>Aportes no capitalizados</t>
  </si>
  <si>
    <t>La entidad no registra previsiones a la fecha.</t>
  </si>
  <si>
    <t>Ingresos por Operaciones</t>
  </si>
  <si>
    <t>Totales</t>
  </si>
  <si>
    <t>Ganancia por venta de Titulos</t>
  </si>
  <si>
    <t xml:space="preserve">Dividendos Cobrados </t>
  </si>
  <si>
    <t>Otros ingresos</t>
  </si>
  <si>
    <t>Total</t>
  </si>
  <si>
    <t>w) Otros Gastos Operativos, de comercialización y de administración</t>
  </si>
  <si>
    <t>Otros Gastos Operativos</t>
  </si>
  <si>
    <t>Perdida por venta de valores</t>
  </si>
  <si>
    <t>Generados Por Activos</t>
  </si>
  <si>
    <t>Intereses Cobrados</t>
  </si>
  <si>
    <t>Generados Por Pasivos</t>
  </si>
  <si>
    <t>Intereses Pagados</t>
  </si>
  <si>
    <t>Ingresos Extraordinarios</t>
  </si>
  <si>
    <t>Ganancia por Venta de Rodado</t>
  </si>
  <si>
    <t>Egresos Extraordinarios</t>
  </si>
  <si>
    <t>Perdida por Venta de Activo</t>
  </si>
  <si>
    <t>NOTA 6. INFORMACION REFERENTE A CONTINGENCIAS Y COMPROMISOS</t>
  </si>
  <si>
    <t>No registra</t>
  </si>
  <si>
    <t>NOTA 7. HECHOS POSTERIORES AL CIERRE DEL EJERCICIO</t>
  </si>
  <si>
    <t>No registra.</t>
  </si>
  <si>
    <t>NOTA 9. CAMBIOS CONTABLES</t>
  </si>
  <si>
    <t>NOTA 10. RESTRICIONES PARA DISTRIBUCIÓN DE UTILIDADES</t>
  </si>
  <si>
    <t>NOTA 11. SANCIONES</t>
  </si>
  <si>
    <t>No Registra.</t>
  </si>
  <si>
    <t>Ingresos por Operaciones y Servicios Extrabursatiles</t>
  </si>
  <si>
    <t>BALANCE GENERAL</t>
  </si>
  <si>
    <t>REVALORIZAC</t>
  </si>
  <si>
    <t xml:space="preserve">Balance Gral. Resol. </t>
  </si>
  <si>
    <t xml:space="preserve">Estado de Resultado Resol. </t>
  </si>
  <si>
    <t xml:space="preserve">Flujo de Efectivo </t>
  </si>
  <si>
    <t>Estado de Resultado Resol.</t>
  </si>
  <si>
    <t xml:space="preserve">CALCULO DE IRACIS </t>
  </si>
  <si>
    <t xml:space="preserve">Balance Final </t>
  </si>
  <si>
    <t>NOTA A LOS ESTADOS CONTA.</t>
  </si>
  <si>
    <t>NOTA A LOS ESTADOS CONTABLES</t>
  </si>
  <si>
    <t xml:space="preserve">NOTA A LOS ESTADOS CONTA. </t>
  </si>
  <si>
    <t>NOTA 5 A-C CRITERIOS ESPECIF.</t>
  </si>
  <si>
    <t>NOTA D - DISPONIBILIDADES</t>
  </si>
  <si>
    <t>NOTA E - INVERSIONES</t>
  </si>
  <si>
    <t>NOTA F - CREDITOS</t>
  </si>
  <si>
    <t>NOTA G BIENES DE USO</t>
  </si>
  <si>
    <t>NOTA H CARGOS DIFERIDOS</t>
  </si>
  <si>
    <t xml:space="preserve"> NOTA I INTANGIBLES</t>
  </si>
  <si>
    <t>NOTA J OTROS ACTIVOS CTES Y NO CORRIENTES</t>
  </si>
  <si>
    <t>NOTA K PRESTAMOS</t>
  </si>
  <si>
    <t>NOTA L DOCUMENTOS Y CTAS A PAGAR</t>
  </si>
  <si>
    <t>NOTAS M-Q ACREEDORES CTO PLAZO</t>
  </si>
  <si>
    <t xml:space="preserve">NOTA R SALDOS Y TRANSACCIONES </t>
  </si>
  <si>
    <t>NOTA S RESULTADOS CON PERSONAS</t>
  </si>
  <si>
    <t xml:space="preserve"> NOTA T PATRIMONIO</t>
  </si>
  <si>
    <t>NOTA V INGRESOS OPERATIVOS</t>
  </si>
  <si>
    <t>NOTA W OTROS GASTOS OPERATIVOS</t>
  </si>
  <si>
    <t>NOTA X OTROS INGRESOS Y EGRESOS</t>
  </si>
  <si>
    <t>NOTA Y RESULTADOS FINANCIEROS</t>
  </si>
  <si>
    <t>NOTA Z RESULT EXTRAORD</t>
  </si>
  <si>
    <t>NOTA 6 INFORMACION REFERENTE</t>
  </si>
  <si>
    <r>
      <t>a)</t>
    </r>
    <r>
      <rPr>
        <b/>
        <sz val="9"/>
        <color indexed="8"/>
        <rFont val="Calibri"/>
        <family val="2"/>
        <scheme val="minor"/>
      </rPr>
      <t>      Valuación en moneda extranjera</t>
    </r>
  </si>
  <si>
    <r>
      <t>b)</t>
    </r>
    <r>
      <rPr>
        <b/>
        <sz val="9"/>
        <color indexed="8"/>
        <rFont val="Calibri"/>
        <family val="2"/>
        <scheme val="minor"/>
      </rPr>
      <t>       Posición en moneda extranjera</t>
    </r>
  </si>
  <si>
    <r>
      <t>C)</t>
    </r>
    <r>
      <rPr>
        <b/>
        <sz val="9"/>
        <color indexed="8"/>
        <rFont val="Calibri"/>
        <family val="2"/>
        <scheme val="minor"/>
      </rPr>
      <t>      Diferencia de cambio en moneda extranjera.</t>
    </r>
  </si>
  <si>
    <r>
      <t>n)</t>
    </r>
    <r>
      <rPr>
        <b/>
        <sz val="9"/>
        <color indexed="8"/>
        <rFont val="Calibri"/>
        <family val="2"/>
        <scheme val="minor"/>
      </rPr>
      <t>       Administración de Cartera (Corto y Largo Plazo)</t>
    </r>
  </si>
  <si>
    <r>
      <t>p)</t>
    </r>
    <r>
      <rPr>
        <b/>
        <sz val="9"/>
        <color indexed="8"/>
        <rFont val="Calibri"/>
        <family val="2"/>
        <scheme val="minor"/>
      </rPr>
      <t>       Obligaciones por contrato de Underwriting (Corto y Largo Plazo)</t>
    </r>
  </si>
  <si>
    <r>
      <t>S)</t>
    </r>
    <r>
      <rPr>
        <b/>
        <sz val="9"/>
        <color indexed="8"/>
        <rFont val="Calibri"/>
        <family val="2"/>
        <scheme val="minor"/>
      </rPr>
      <t>       Resultados con Personas y Empresas Vinculadas</t>
    </r>
  </si>
  <si>
    <r>
      <t>u)</t>
    </r>
    <r>
      <rPr>
        <b/>
        <sz val="9"/>
        <color indexed="8"/>
        <rFont val="Calibri"/>
        <family val="2"/>
        <scheme val="minor"/>
      </rPr>
      <t xml:space="preserve">       Previsiones </t>
    </r>
  </si>
  <si>
    <t>INVERSIONES TEMPORARIAS</t>
  </si>
  <si>
    <t>Ingresos por Administracion de Carteras</t>
  </si>
  <si>
    <t>Ingresos por Custodia de Valores</t>
  </si>
  <si>
    <r>
      <t>2.1</t>
    </r>
    <r>
      <rPr>
        <b/>
        <sz val="9"/>
        <color indexed="8"/>
        <rFont val="Calibri"/>
        <family val="2"/>
        <scheme val="minor"/>
      </rPr>
      <t>              Naturaleza jurídica de las actividades de la sociedad</t>
    </r>
  </si>
  <si>
    <r>
      <t>2.2</t>
    </r>
    <r>
      <rPr>
        <b/>
        <sz val="9"/>
        <color indexed="8"/>
        <rFont val="Calibri"/>
        <family val="2"/>
        <scheme val="minor"/>
      </rPr>
      <t>   Participación en empresas vinculadas</t>
    </r>
  </si>
  <si>
    <r>
      <t>3.4.</t>
    </r>
    <r>
      <rPr>
        <sz val="9"/>
        <color indexed="8"/>
        <rFont val="Calibri"/>
        <family val="2"/>
        <scheme val="minor"/>
      </rPr>
      <t xml:space="preserve"> </t>
    </r>
    <r>
      <rPr>
        <b/>
        <sz val="9"/>
        <color indexed="8"/>
        <rFont val="Calibri"/>
        <family val="2"/>
        <scheme val="minor"/>
      </rPr>
      <t>Depreciación de bienes de uso</t>
    </r>
  </si>
  <si>
    <t xml:space="preserve"> -   </t>
  </si>
  <si>
    <t>Acreedores por Intermediación. Nota 5 m</t>
  </si>
  <si>
    <t>Cuentas por Pagar a Personas y Emp. Relacionadas. Nota o</t>
  </si>
  <si>
    <r>
      <t>a)</t>
    </r>
    <r>
      <rPr>
        <b/>
        <sz val="9"/>
        <color indexed="8"/>
        <rFont val="Calibri"/>
        <family val="2"/>
        <scheme val="minor"/>
      </rPr>
      <t>        Compromisos Directos</t>
    </r>
  </si>
  <si>
    <r>
      <t>b)</t>
    </r>
    <r>
      <rPr>
        <b/>
        <sz val="9"/>
        <color indexed="8"/>
        <rFont val="Calibri"/>
        <family val="2"/>
        <scheme val="minor"/>
      </rPr>
      <t>        Contingencias Legales</t>
    </r>
  </si>
  <si>
    <r>
      <t>c)</t>
    </r>
    <r>
      <rPr>
        <b/>
        <sz val="9"/>
        <color indexed="8"/>
        <rFont val="Calibri"/>
        <family val="2"/>
        <scheme val="minor"/>
      </rPr>
      <t>        Garantías Constituidas</t>
    </r>
  </si>
  <si>
    <r>
      <t>NOTA 8.</t>
    </r>
    <r>
      <rPr>
        <sz val="9"/>
        <color indexed="8"/>
        <rFont val="Calibri"/>
        <family val="2"/>
        <scheme val="minor"/>
      </rPr>
      <t xml:space="preserve"> </t>
    </r>
    <r>
      <rPr>
        <b/>
        <sz val="9"/>
        <color indexed="8"/>
        <rFont val="Calibri"/>
        <family val="2"/>
        <scheme val="minor"/>
      </rPr>
      <t>LIMITACION A LA LIBRE DISPONIBILIDAD DE LOS ACTIVOS O DEL PATRIMONIO Y DE CUALQUIER RESTRICCION AL DERECHO DE PROPIEDAD.</t>
    </r>
  </si>
  <si>
    <t>Ana Cristina Neffa Persano</t>
  </si>
  <si>
    <t>Otros Activos</t>
  </si>
  <si>
    <t>Otros Costos de Operaciones</t>
  </si>
  <si>
    <t>Los Bienes de Uso se expresan a su valor de adquisición. Ya no se revaluan a partir del Ejercicio 2020.</t>
  </si>
  <si>
    <t>Seguros a Vencer M/L</t>
  </si>
  <si>
    <t>Intereses a Vencer M/L</t>
  </si>
  <si>
    <t>Intereses a Vencer M/E</t>
  </si>
  <si>
    <t>La composición de los fondos disponibles en Bancos, es como sigue:</t>
  </si>
  <si>
    <t xml:space="preserve">Otros Activos </t>
  </si>
  <si>
    <t>TRADERS PRO CASA DE BOLSA S.A.</t>
  </si>
  <si>
    <t>INFORMACION GENERAL DE LA ENTIDAD</t>
  </si>
  <si>
    <t>1. IDENTIFICACIÓN:</t>
  </si>
  <si>
    <t>Nombre o Razón social</t>
  </si>
  <si>
    <t>Traders Pro Casa de Bolsa S.A.</t>
  </si>
  <si>
    <t>Registro CNV</t>
  </si>
  <si>
    <t>CERTIFICADO DE REGISTRO N° 062 _03082021</t>
  </si>
  <si>
    <t>Código Bolsa</t>
  </si>
  <si>
    <t>Dirección oficina principal</t>
  </si>
  <si>
    <t>Avda. Brasilia 764. Edificio Investor. 1er. Piso</t>
  </si>
  <si>
    <t>Teléfono</t>
  </si>
  <si>
    <t>E-mail</t>
  </si>
  <si>
    <t>directorio@traderspro.com.py</t>
  </si>
  <si>
    <t>Sitio página web</t>
  </si>
  <si>
    <t>www.traderspro.com.py</t>
  </si>
  <si>
    <t>Domicilio legal</t>
  </si>
  <si>
    <t>2. ANTECEDENTES DE CONSTITUCIÓN DE LA SOCIEDAD</t>
  </si>
  <si>
    <t>Escritura Nº 10 Fecha 16 de Abril del 2021</t>
  </si>
  <si>
    <t xml:space="preserve">Inscripción en el registro público de personas jurídicas matricula Nº 34473 y de la sección comercio matricula Nº 34475 ambas en fecha 07 de Mayo del 2021 </t>
  </si>
  <si>
    <t>3. ADMINISTRACIÓN</t>
  </si>
  <si>
    <t>CARGO</t>
  </si>
  <si>
    <t>NOMBRE Y APELLIDO</t>
  </si>
  <si>
    <t>Presidente</t>
  </si>
  <si>
    <t>Giuseppe Antonio Saurini Buey</t>
  </si>
  <si>
    <t>Vicepresidente</t>
  </si>
  <si>
    <t>Mayra Antonella Roux Miranda</t>
  </si>
  <si>
    <t>Director titular</t>
  </si>
  <si>
    <t>Diego Benjamin Barboza Clari</t>
  </si>
  <si>
    <t>Cesar Fernando Godoy Gimenez</t>
  </si>
  <si>
    <t>María Verónica Porro Acosta</t>
  </si>
  <si>
    <t xml:space="preserve">Síndico </t>
  </si>
  <si>
    <t>Ysaias Lopez Gomez</t>
  </si>
  <si>
    <t>4. CAPITAL Y PROPIEDAD</t>
  </si>
  <si>
    <t xml:space="preserve">Capital Social (de acuerdo al artículo 6 de los estatutos sociales) Gs.15.000.000.000 </t>
  </si>
  <si>
    <t>Representado por Gs.1.000.000 cada acción nominativa ordinaria</t>
  </si>
  <si>
    <t>Capital Emitido G.5.000.000.000 (cinco mil millones)</t>
  </si>
  <si>
    <t>Capital Suscripto G.5.000.000.000 (cinco mil millones)</t>
  </si>
  <si>
    <t>Valor nominal de las acciones G.1.000.000</t>
  </si>
  <si>
    <t>CUADRO DE CAPITAL INTEGRADO</t>
  </si>
  <si>
    <t>Nº</t>
  </si>
  <si>
    <t>ACCIONISTA</t>
  </si>
  <si>
    <t>SERIE</t>
  </si>
  <si>
    <t>NÚMERO DE ACCIONES</t>
  </si>
  <si>
    <t>CANTIDAD DE ACCIONES</t>
  </si>
  <si>
    <t>CLASE</t>
  </si>
  <si>
    <t>VOTO</t>
  </si>
  <si>
    <t>MONTO</t>
  </si>
  <si>
    <t>% DE PARTICIPACIÓN DEL CAPITAL INTEGRADO</t>
  </si>
  <si>
    <t>INCUBATE S.A.</t>
  </si>
  <si>
    <t>---</t>
  </si>
  <si>
    <t>Ordinaria</t>
  </si>
  <si>
    <t>1 por acción</t>
  </si>
  <si>
    <t>4751-4800</t>
  </si>
  <si>
    <t>4801-4850</t>
  </si>
  <si>
    <t>4851-4900</t>
  </si>
  <si>
    <t>Celso Ivan Casamayouret Genes</t>
  </si>
  <si>
    <t>4901-4950</t>
  </si>
  <si>
    <t>Adrian Aponte Rivas</t>
  </si>
  <si>
    <t>4951-5000</t>
  </si>
  <si>
    <t>Patricia Raquel Boettner Friedmann</t>
  </si>
  <si>
    <t>2435-2484</t>
  </si>
  <si>
    <t>CUADRO DEL CAPITAL SUSCRIPTO</t>
  </si>
  <si>
    <t>% DE PARTICIPACIÓN DEL CAPITAL SUSCRIPTO</t>
  </si>
  <si>
    <t>4551-4750</t>
  </si>
  <si>
    <t>5. AUDITOR EXTERNO INDEPENDIENTE</t>
  </si>
  <si>
    <t>1. Auditor externo independiente designado: HP Auditores &amp; Contadores</t>
  </si>
  <si>
    <t>2. Número de inscripción en le registro de la CNV: AE052, según Res CNV Nº 15 E/17</t>
  </si>
  <si>
    <t xml:space="preserve">          Personas Vinculadas</t>
  </si>
  <si>
    <t>Síndico</t>
  </si>
  <si>
    <t>Auditor interno</t>
  </si>
  <si>
    <t>Mirtha Patricia Páez Gonzalez</t>
  </si>
  <si>
    <t xml:space="preserve">          Vinculada controlante</t>
  </si>
  <si>
    <t>Denominación</t>
  </si>
  <si>
    <t>Domicilio</t>
  </si>
  <si>
    <t>Av. Brasilia 764. 1º Piso</t>
  </si>
  <si>
    <t>Actividad principal</t>
  </si>
  <si>
    <t>Otras actividades de servicio de apoyo a empresas</t>
  </si>
  <si>
    <t>Participación en el capital</t>
  </si>
  <si>
    <t>Porcentaje de votos</t>
  </si>
  <si>
    <t>Honorarios Profesionales</t>
  </si>
  <si>
    <t>Corrientes</t>
  </si>
  <si>
    <t>No Corrientes</t>
  </si>
  <si>
    <t>Diego Barboza</t>
  </si>
  <si>
    <t>BVPASA</t>
  </si>
  <si>
    <t>VALOR DE COSTO</t>
  </si>
  <si>
    <t>VALOR NOMINAL UNITARIO</t>
  </si>
  <si>
    <t>VALOR DE COTIZACION</t>
  </si>
  <si>
    <t>Inversiones Corrientes</t>
  </si>
  <si>
    <t>Títulos de Renta Fija</t>
  </si>
  <si>
    <t>Inversiones No Corrientes</t>
  </si>
  <si>
    <t>VALOR DE MERCADO</t>
  </si>
  <si>
    <t>Asesoramiento Legal y Juridico</t>
  </si>
  <si>
    <t>Los saldos de la cuenta se componen de la siguiente manera;</t>
  </si>
  <si>
    <t>i)   Intangibles,</t>
  </si>
  <si>
    <t xml:space="preserve"> Los saldos de las cuentas que la componen son las siguientes;</t>
  </si>
  <si>
    <t>DOCUMENTOS Y CUENTAS A PAGAR</t>
  </si>
  <si>
    <t>Menos: Amortización Acumulada</t>
  </si>
  <si>
    <t>Dividendos  Cobrados</t>
  </si>
  <si>
    <t>Ingreso en efectivo de comisiones y otros ingresos operativos</t>
  </si>
  <si>
    <t>Inversiones Temporarias/Permanentes</t>
  </si>
  <si>
    <t>Provenientes de Préstamos y Otras Deudas</t>
  </si>
  <si>
    <t>SALDO AL CIERE DEL EJERCICIO ACTUAL GUARANIES</t>
  </si>
  <si>
    <t>SALDO AL CIERE DEL EJERCICIO ANTERIOR GUARANIES</t>
  </si>
  <si>
    <t>Saldos por Operaciones pendientes de cobro - M/L</t>
  </si>
  <si>
    <t>Saldos por Operaciones pendientes de cobro - M/E</t>
  </si>
  <si>
    <t>PLAZO DE VENCIMIENTO DEL CONTRATO</t>
  </si>
  <si>
    <t>No Aplicable</t>
  </si>
  <si>
    <t>Deducidas del Activo</t>
  </si>
  <si>
    <t>Creditos</t>
  </si>
  <si>
    <t>Incluidas en el Pasivo</t>
  </si>
  <si>
    <t>Prevision por Indemnizaciones</t>
  </si>
  <si>
    <t>De acuerdo a lo previsto en el artículo 111 de la Ley 5810/17, la entidad tiene constituida como garantía la suma de Gs 600.000,000- ( guaranies seiscientos millonesl), representados por 1 Certificado de Deposito de Ahorro, de Gs. 600.000.000 cada uno, emitidos por Banco Familiar SAECA, corresponden a la serie del titulo ND N°8052.</t>
  </si>
  <si>
    <t>Gastos administrativos</t>
  </si>
  <si>
    <t>l)       Acreedores Varios (Corto y largo plazo)</t>
  </si>
  <si>
    <t>INVERSIONES TEMPORARIAS  Nota 5 e</t>
  </si>
  <si>
    <t>TOTAL ACTIVOS NO CORRIENTES</t>
  </si>
  <si>
    <t>TOTAL ACTIVOS</t>
  </si>
  <si>
    <t>TOTAL PASIVO Y PATRIMONIO NETO</t>
  </si>
  <si>
    <t>TOTAL PATRIMONIO NETO</t>
  </si>
  <si>
    <t>TOTAL PASIVO</t>
  </si>
  <si>
    <t>TOTAL PASIVO NO CORRIENTE</t>
  </si>
  <si>
    <t>TOTAL PASIVO CORRIENTE</t>
  </si>
  <si>
    <t>TOTAL ACTIVO CORRIENTE</t>
  </si>
  <si>
    <t xml:space="preserve">Intereses a Vencer - </t>
  </si>
  <si>
    <t xml:space="preserve">Seguros a Vencer  </t>
  </si>
  <si>
    <t>GASTOS NO DEVENGADOS - Nota 5 h</t>
  </si>
  <si>
    <t xml:space="preserve">Garantía de Alquiler  </t>
  </si>
  <si>
    <t>GASTOS NO DEVENGADOS - Nota 5 j</t>
  </si>
  <si>
    <t>j)       Otros Activos Corrientes y No Corrientes</t>
  </si>
  <si>
    <t xml:space="preserve">ACTIVO CORRIENTE </t>
  </si>
  <si>
    <t>d)       Disponibilidades</t>
  </si>
  <si>
    <t>f)       Créditos</t>
  </si>
  <si>
    <t>h)       Cargos Diferidos</t>
  </si>
  <si>
    <t xml:space="preserve">m)       Acreedores por Intermediación. Corto y Largo Plazo. </t>
  </si>
  <si>
    <t>k)       Préstamos Financieros a corto y a largo plazo.</t>
  </si>
  <si>
    <t>Interes a devengar por Repos</t>
  </si>
  <si>
    <t>PROVISIONES.</t>
  </si>
  <si>
    <t>OTROS PASIVOS - Nota 5 q</t>
  </si>
  <si>
    <t>Obligaciones  por Contratos de Underwriting -Nota 5 p</t>
  </si>
  <si>
    <t>Obligaciones por Administracion de Carteras Nota 5 n</t>
  </si>
  <si>
    <t>Ingresos Operativos -Nota v</t>
  </si>
  <si>
    <t>Gastos Operativos -Nota w</t>
  </si>
  <si>
    <t>Otros ingresos y Egresos - Nota x</t>
  </si>
  <si>
    <t>Resultados financieros - Nota y</t>
  </si>
  <si>
    <t>v)       Ingresos Operativos</t>
  </si>
  <si>
    <t>x)       Otros Ingresos y Egresos</t>
  </si>
  <si>
    <t>y)       Resultados Financieros</t>
  </si>
  <si>
    <t xml:space="preserve">z)  Resultados Extraordinarios </t>
  </si>
  <si>
    <t xml:space="preserve">NOTAS A LOS ESTADOS CONTABLES </t>
  </si>
  <si>
    <t>Resultados  extraordinarias Nota z</t>
  </si>
  <si>
    <t>ANEXO F DE LA RESOLUCION Nº 30/21</t>
  </si>
  <si>
    <t>2385-2434</t>
  </si>
  <si>
    <t>1-2384 y 2485-4550</t>
  </si>
  <si>
    <t>Total al 31/12/2021</t>
  </si>
  <si>
    <t>Telefonía, Internet y Licencia MO</t>
  </si>
  <si>
    <t>Gastos de escribanía</t>
  </si>
  <si>
    <t>Gasto a favor del personal</t>
  </si>
  <si>
    <t>NUCLEO S.A.</t>
  </si>
  <si>
    <t>Sueldos Y Jornales</t>
  </si>
  <si>
    <t>Otros Beneficios Al Personal</t>
  </si>
  <si>
    <t>Servicios Prestados Por Terceros</t>
  </si>
  <si>
    <t>Servicios Contratados Ire</t>
  </si>
  <si>
    <t>Servicios Personales Irp</t>
  </si>
  <si>
    <t>Agua, Luz, Teléfono E Internet</t>
  </si>
  <si>
    <t>Comunicaciones Y Progagandas</t>
  </si>
  <si>
    <t>Papeleria E Impresos</t>
  </si>
  <si>
    <t>Gastos De Escribania</t>
  </si>
  <si>
    <t>Gastos De Impuestos</t>
  </si>
  <si>
    <t>Impuestos, Patentes, Tasas Y Otras Contr</t>
  </si>
  <si>
    <t>SALDO AL 31/12/2021</t>
  </si>
  <si>
    <r>
      <t>TRADERS PRO CASA DE BOLSA S.A</t>
    </r>
    <r>
      <rPr>
        <sz val="9"/>
        <color indexed="8"/>
        <rFont val="Calibri"/>
        <family val="2"/>
        <scheme val="minor"/>
      </rPr>
      <t xml:space="preserve">. </t>
    </r>
    <r>
      <rPr>
        <b/>
        <i/>
        <sz val="9"/>
        <color rgb="FF000000"/>
        <rFont val="Calibri"/>
        <family val="2"/>
        <scheme val="minor"/>
      </rPr>
      <t>fue constituida bajo la forma jurídica de Sociedad Anónima, el 16 de Abril de 2021,</t>
    </r>
    <r>
      <rPr>
        <sz val="9"/>
        <color indexed="8"/>
        <rFont val="Calibri"/>
        <family val="2"/>
        <scheme val="minor"/>
      </rPr>
      <t xml:space="preserve"> según escritura Pública Nº 10 e inscripta en el Registro Público de Comercio en el Libro Seccional respectivo y bajo en Nº 1 Y el folio Nº 9 y siguiente de fecha 07 de Mayo de 2021. La Sociedad se halla regida por las disposiciones de sus Estatutos, las Normas Legales y Reglamentarias relativas a la Sociedad y al Código Civil. La duración inicial de la Sociedad es de noventa y nueve años.</t>
    </r>
  </si>
  <si>
    <t>CAMBIO CIERRE PERIODO ACTUAL</t>
  </si>
  <si>
    <t>CAMBIO CIERRE PERIODO ANTERIOR</t>
  </si>
  <si>
    <t>Bancos De Operaciones</t>
  </si>
  <si>
    <t>Bancos Operaciones - Moneda Extranjera</t>
  </si>
  <si>
    <t>Banco Operaciones M/E</t>
  </si>
  <si>
    <t>Bancos Operaciones - Moneda Local</t>
  </si>
  <si>
    <t>Banco Operaciones M/L</t>
  </si>
  <si>
    <t>Bancos Administrativas</t>
  </si>
  <si>
    <t>Bancos Moneda Extranjera</t>
  </si>
  <si>
    <t>Banco Familiar SAECA - M/E</t>
  </si>
  <si>
    <t>Bancos Moneda Local</t>
  </si>
  <si>
    <t>Moneda: Guaraníes</t>
  </si>
  <si>
    <t>Banco</t>
  </si>
  <si>
    <t>Nro. de Cuenta</t>
  </si>
  <si>
    <t>00-2955072</t>
  </si>
  <si>
    <t>Banco Familiar Saeca</t>
  </si>
  <si>
    <t>Banco Itaú Paraguay S.A</t>
  </si>
  <si>
    <t>Banco Nacional De Fomento</t>
  </si>
  <si>
    <t>Financiera Cefisa</t>
  </si>
  <si>
    <t>Finexpar</t>
  </si>
  <si>
    <t>Fic S.A. De Finanzas</t>
  </si>
  <si>
    <t>Moneda: Dólares Americanos</t>
  </si>
  <si>
    <t>Ysaias López Gómez</t>
  </si>
  <si>
    <t>Sindico</t>
  </si>
  <si>
    <t>Incubate S.A.</t>
  </si>
  <si>
    <t>Saldos al 31/12/2021</t>
  </si>
  <si>
    <t>Ingresos Por Intermediacion</t>
  </si>
  <si>
    <t>Comisiones Por Intermediacion</t>
  </si>
  <si>
    <t>Bursatiles</t>
  </si>
  <si>
    <t>Extrabursatiles</t>
  </si>
  <si>
    <t>Utilidad Por Venta De Inversiones/Cartera Propia</t>
  </si>
  <si>
    <t>Instrumentos Financieros</t>
  </si>
  <si>
    <t>Titulos De Deuda Bonos</t>
  </si>
  <si>
    <t>g)      Bienes de Uso.</t>
  </si>
  <si>
    <t>Detalle De Bancos de Operaciones</t>
  </si>
  <si>
    <t>Las 25 notas que acompañan forman parte integrante de los Estados Financieros.</t>
  </si>
  <si>
    <t>PERIODO ANT 31/12/ 2021</t>
  </si>
  <si>
    <t>PERIODO ANT  31/12/ 2021</t>
  </si>
  <si>
    <t>Son aplicados los criterios de valuación y exposición estipulados en la reglamentación general del Mercado de Valores, atendiendo el Capitulo 9, de la Resolución 30/21 de la CNV.</t>
  </si>
  <si>
    <t xml:space="preserve">BALANCE GENERAL </t>
  </si>
  <si>
    <t>Notas</t>
  </si>
  <si>
    <t>Descripción</t>
  </si>
  <si>
    <t>Saldo</t>
  </si>
  <si>
    <t>Activo</t>
  </si>
  <si>
    <t>Activo Corriente</t>
  </si>
  <si>
    <t>Disponibilidades</t>
  </si>
  <si>
    <t>Bancos Operaciones'!A1</t>
  </si>
  <si>
    <t>Bancos Administración'!A1</t>
  </si>
  <si>
    <t>Diferencias con Administracion y Contabilidad</t>
  </si>
  <si>
    <t>BANCO FAMILIAR SAECA CTA CTE 00-2906458 M/L</t>
  </si>
  <si>
    <t>Según Contab</t>
  </si>
  <si>
    <t>Según TP</t>
  </si>
  <si>
    <t>Diferencia</t>
  </si>
  <si>
    <t>BANCO FAMILIAR SAECA CAJA DE AHORRO 0-2986139 M/L</t>
  </si>
  <si>
    <t>Inventario Valuado 31 12 2021'!A1</t>
  </si>
  <si>
    <t>Inversiones Temporarias</t>
  </si>
  <si>
    <t>Inversiones Financieras Temporales -Moneda Local</t>
  </si>
  <si>
    <t>Títulos Representativos De Deuda -M/L</t>
  </si>
  <si>
    <t>Bonos M/L</t>
  </si>
  <si>
    <t>Certificado De Ahorro (CDA) M/L</t>
  </si>
  <si>
    <t>Otras Inversiones a Corto Plazo</t>
  </si>
  <si>
    <t>Repos al 31 12 21'!A1</t>
  </si>
  <si>
    <t xml:space="preserve">Instrumentos Financieros Cedidos En Prestamos M/L - </t>
  </si>
  <si>
    <t>Instrumentos Financieros Cedidos en garantía - BVPASA</t>
  </si>
  <si>
    <t>Ajuste por Valuación de Inversiones Temporales</t>
  </si>
  <si>
    <t>(+) Ajuste por Valor de Compra Inversiones Temporales</t>
  </si>
  <si>
    <t>Intereses, Regalías Y Otros Rendimientos</t>
  </si>
  <si>
    <t>Intereses y Rendimientos a Cobrar por Instrumentos Financ.M/L</t>
  </si>
  <si>
    <t>Créditos</t>
  </si>
  <si>
    <t>Deudores Por Intermediacion De Valores</t>
  </si>
  <si>
    <t>Clientes!A1</t>
  </si>
  <si>
    <t>Clientes Locales M/L</t>
  </si>
  <si>
    <t>IVA Crédito'!A1</t>
  </si>
  <si>
    <t>Documentos Y Cuentas Cobrar</t>
  </si>
  <si>
    <t>Créditos Por Impuestos Corrientes</t>
  </si>
  <si>
    <t xml:space="preserve">IVA - Crédito a favor - DDJJ </t>
  </si>
  <si>
    <t>Cuentas A Cobrar Entidades Relacionadas</t>
  </si>
  <si>
    <t>Prestamo a Accionista '!A1</t>
  </si>
  <si>
    <t>Cuentas A Cobrar a Directores y Accionistas M/L</t>
  </si>
  <si>
    <t>Intereses a Cobrar a Directores y Accionistas M/L</t>
  </si>
  <si>
    <t>Gastos Pagados Por Adelantado</t>
  </si>
  <si>
    <t>Activo No Corriente</t>
  </si>
  <si>
    <t>Inversiones A Largo Plazo</t>
  </si>
  <si>
    <t>Otras Inversiones Permanentes</t>
  </si>
  <si>
    <t>ACCION BVPASA'!A1</t>
  </si>
  <si>
    <t>Acción en la BVPASA</t>
  </si>
  <si>
    <t>Propiedad, Planta Y Equipo</t>
  </si>
  <si>
    <t>Equipo de Informatica'!A1</t>
  </si>
  <si>
    <t>Equipos De Informaticas</t>
  </si>
  <si>
    <t>Cargos Diferidos</t>
  </si>
  <si>
    <t>Amortizac Gastos Constituc'!A1</t>
  </si>
  <si>
    <t>Gastos De Constitución</t>
  </si>
  <si>
    <t>Pasivo</t>
  </si>
  <si>
    <t>Pasivo Corriente</t>
  </si>
  <si>
    <t>Acreedores Por Operaciones</t>
  </si>
  <si>
    <t>Acreedores por Intermed 31 12 '!A1</t>
  </si>
  <si>
    <t>Acreedores Por Operaciones M/L</t>
  </si>
  <si>
    <t>Acreedores Por Intermediacion De Valores M/L</t>
  </si>
  <si>
    <t>Acreedores Por Operaciones M/E</t>
  </si>
  <si>
    <t>Acreedores Por Intermediacion De Valores M/E</t>
  </si>
  <si>
    <t>Deudas Financieras</t>
  </si>
  <si>
    <t>Intereses A Pagar</t>
  </si>
  <si>
    <t>Intereses sobre REPOS a Pagar - M/L</t>
  </si>
  <si>
    <t>Otros Prestamos A Pagar - Repos</t>
  </si>
  <si>
    <t>Operaciones de Repo - Prestamos Repos M/L</t>
  </si>
  <si>
    <t>Otras Cuentas Por Pagar</t>
  </si>
  <si>
    <t>Cuentas a Pagar Administración</t>
  </si>
  <si>
    <t>Proveedores!A1</t>
  </si>
  <si>
    <t>Proveedores Locales M/L</t>
  </si>
  <si>
    <t>Proveedores Locales M/E</t>
  </si>
  <si>
    <t>Provisiones</t>
  </si>
  <si>
    <t>Ips A Pagar</t>
  </si>
  <si>
    <t>Ingresos Diferidos</t>
  </si>
  <si>
    <t>Patrimonio Neto</t>
  </si>
  <si>
    <t>Capital</t>
  </si>
  <si>
    <t>Conformaciión Capital'!A1</t>
  </si>
  <si>
    <t>Capital Suscripto</t>
  </si>
  <si>
    <t>(-) Capital a Integrar</t>
  </si>
  <si>
    <t>Resultados</t>
  </si>
  <si>
    <t>Resultados Acumulados 2021</t>
  </si>
  <si>
    <t>Resultado Del Ejercicio</t>
  </si>
  <si>
    <t>RESUMEN</t>
  </si>
  <si>
    <t>+Tabla1[[#Encabezados];[+Datos!B3]]</t>
  </si>
  <si>
    <t>RESULTADO DEL EJERCICIO</t>
  </si>
  <si>
    <t xml:space="preserve">Resultado Del Ejercicio </t>
  </si>
  <si>
    <t>Perdida Por Diferencia De Cambio</t>
  </si>
  <si>
    <t>Utilidad Por Diferencia De Cambio</t>
  </si>
  <si>
    <t>Diferencia De Cambio</t>
  </si>
  <si>
    <t>Intereses Devengados - Otros</t>
  </si>
  <si>
    <t>Gastos Bancarios Y Financieros</t>
  </si>
  <si>
    <t>Intereses Pagados A Entidades Bancarias</t>
  </si>
  <si>
    <t>Gastos No Deducibles</t>
  </si>
  <si>
    <t>Refrigerio Y Cafeteria</t>
  </si>
  <si>
    <t>Sueldos Y Otras Remuneraciones Al Personal</t>
  </si>
  <si>
    <t>Gastos De Administración</t>
  </si>
  <si>
    <t>Comisiones Pagadas a Otras entidades por intermediación</t>
  </si>
  <si>
    <t xml:space="preserve">Comisiones Pagadas Asesores Independientes </t>
  </si>
  <si>
    <t>Aranceles pagados a CNV</t>
  </si>
  <si>
    <t>Intereses Pagados sobre REPOS - Recompra</t>
  </si>
  <si>
    <t>Otros Gastos De Operaciones</t>
  </si>
  <si>
    <t>Costo de Venta de Bonos</t>
  </si>
  <si>
    <t>Aranceles Pagados Bvpasa</t>
  </si>
  <si>
    <t>Fondo De Garantia Bvpasa</t>
  </si>
  <si>
    <t>Costo de Venta de Valores</t>
  </si>
  <si>
    <t>Gastos De Gestión De Operaciones</t>
  </si>
  <si>
    <t>Egresos Operativos</t>
  </si>
  <si>
    <t>Otros Ingresos Administrativos</t>
  </si>
  <si>
    <t>Ingresos No Operativos</t>
  </si>
  <si>
    <t>Intereses  Por Instrumentos Financieros - Bursatiles -</t>
  </si>
  <si>
    <t>Intereses caja de ahorro en entidades bancarias</t>
  </si>
  <si>
    <t>Ingresos Financieros</t>
  </si>
  <si>
    <t>Ingresos Operativos</t>
  </si>
  <si>
    <t>OBSERVACIONES</t>
  </si>
  <si>
    <t>%</t>
  </si>
  <si>
    <t>31/3/2022</t>
  </si>
  <si>
    <t xml:space="preserve">ESTADOS DE RESULTADOS AL </t>
  </si>
  <si>
    <t>e)   Inversiones  Temporales y Permanentes</t>
  </si>
  <si>
    <t xml:space="preserve"> INFORMACION SOBRE EL EMISOR </t>
  </si>
  <si>
    <t>Imperial Compañía Distribuidora de Petróleo y Derivados S.A.E.</t>
  </si>
  <si>
    <t>TECNOLOGIA DEL SUR S.A.E.</t>
  </si>
  <si>
    <t>INTERFISA BANCO S.A.E.C.A.</t>
  </si>
  <si>
    <t>Banco Familiar SAECA</t>
  </si>
  <si>
    <t>Accion</t>
  </si>
  <si>
    <t>1 Acción BVPASA</t>
  </si>
  <si>
    <t>Aranceles, Garantias BVPASA</t>
  </si>
  <si>
    <t>60 dias</t>
  </si>
  <si>
    <t>Auditores</t>
  </si>
  <si>
    <t>Servicios de Auditoria</t>
  </si>
  <si>
    <t>30 dias</t>
  </si>
  <si>
    <t>Hp Auditores &amp; Contadores</t>
  </si>
  <si>
    <t>Prestamos e intereses a cobrar</t>
  </si>
  <si>
    <t>6. PERSONAS VINCULAS</t>
  </si>
  <si>
    <t xml:space="preserve"> +59521 7289737 Int 510 / +595981977094</t>
  </si>
  <si>
    <t>HP Auditores</t>
  </si>
  <si>
    <t>Corresponde a cuentas por cobrar a diversos clientes. Su composición del periodo actual  comparado con el ejercicio anterior, es como sigue:</t>
  </si>
  <si>
    <r>
      <t xml:space="preserve">Incubate . S.A. posee Acciones de la Empresa Traders Pro CBSA , constituida en Asunción-Paraguay, por valor de </t>
    </r>
    <r>
      <rPr>
        <b/>
        <sz val="9"/>
        <color theme="1"/>
        <rFont val="Calibri"/>
        <family val="2"/>
        <scheme val="minor"/>
      </rPr>
      <t>Gs.4.450.000.000</t>
    </r>
    <r>
      <rPr>
        <sz val="9"/>
        <color theme="1"/>
        <rFont val="Calibri"/>
        <family val="2"/>
        <scheme val="minor"/>
      </rPr>
      <t xml:space="preserve"> que representan el </t>
    </r>
    <r>
      <rPr>
        <b/>
        <sz val="9"/>
        <color theme="1"/>
        <rFont val="Calibri"/>
        <family val="2"/>
        <scheme val="minor"/>
      </rPr>
      <t xml:space="preserve">89% </t>
    </r>
    <r>
      <rPr>
        <sz val="9"/>
        <color theme="1"/>
        <rFont val="Calibri"/>
        <family val="2"/>
        <scheme val="minor"/>
      </rPr>
      <t>del Capital Social. –</t>
    </r>
  </si>
  <si>
    <r>
      <t xml:space="preserve">Los estados Contables han sido preparados de acuerdo a la Resolución Nro. 30/21 de la Comisión Nacional de Valores, </t>
    </r>
    <r>
      <rPr>
        <b/>
        <sz val="9"/>
        <color theme="1"/>
        <rFont val="Calibri"/>
        <family val="2"/>
        <scheme val="minor"/>
      </rPr>
      <t>Capitulo 9 del reglamento general del Mercado de Valores</t>
    </r>
    <r>
      <rPr>
        <sz val="9"/>
        <color theme="1"/>
        <rFont val="Calibri"/>
        <family val="2"/>
        <scheme val="minor"/>
      </rPr>
      <t xml:space="preserve">. </t>
    </r>
  </si>
  <si>
    <t>N/A</t>
  </si>
  <si>
    <t>Cuentas a Cobrar a Empresas y Personas Relacionadas M/L</t>
  </si>
  <si>
    <t>Intereses Diferidos M/L -Cupones en Repos</t>
  </si>
  <si>
    <t>Ingresos Diferidos Administración - M/L</t>
  </si>
  <si>
    <t>30/06/2022</t>
  </si>
  <si>
    <t>Aranceles Cobrados BVPASA</t>
  </si>
  <si>
    <t>Utilidad Por Operaciones Extrabursátiles</t>
  </si>
  <si>
    <t>Aranceles Pagados SEPRELAD</t>
  </si>
  <si>
    <t>Remuneración Personal Superior</t>
  </si>
  <si>
    <t xml:space="preserve">Servicios Personales Independientes </t>
  </si>
  <si>
    <t>Dominios Y Suscripciones</t>
  </si>
  <si>
    <t>Gastos Informaticos</t>
  </si>
  <si>
    <t>Multas Y Sanciones</t>
  </si>
  <si>
    <t>CORRESPONDIENTE AL 30 DE JUNIO DE 2022 PRESENTADO EN FORMA COMPARATIVA CON EL EJERCICIO ECONOMICO ANTERIOR  AL  31 DE DICIEMBRE DE  2021.</t>
  </si>
  <si>
    <t>PERIODO ACTUAL 30/06/ 2022</t>
  </si>
  <si>
    <t>CORRESPONDIENTE AL 30 DE JUNIO DE 2022 PRESENTADO EN FORMA COMPARATIVA CON EL 30 DE JUNIO DE 2021</t>
  </si>
  <si>
    <t>PERIODO ANTERIOR 30/06/2021</t>
  </si>
  <si>
    <t>SALDO AL 30/06/2021</t>
  </si>
  <si>
    <t>FLUJO DE EFECTIVO</t>
  </si>
  <si>
    <t>(+) Debe</t>
  </si>
  <si>
    <t>(+) Entrada Efectivo</t>
  </si>
  <si>
    <t>(-) Haber</t>
  </si>
  <si>
    <t>(-) Salida de Dinero</t>
  </si>
  <si>
    <t>ACTIVIDADES</t>
  </si>
  <si>
    <t>ACTIVIDADES DE</t>
  </si>
  <si>
    <t>BALANCE   Y</t>
  </si>
  <si>
    <t>ELIMINACIONES</t>
  </si>
  <si>
    <t>VARIACIÓN</t>
  </si>
  <si>
    <t>ACTIVIDADES DE OPERACIÓN</t>
  </si>
  <si>
    <t>DE INVERSION</t>
  </si>
  <si>
    <t>FINANCIAMIENTOS</t>
  </si>
  <si>
    <t>TOTAL</t>
  </si>
  <si>
    <t>DEBITOS</t>
  </si>
  <si>
    <t>RECIBIDO DE</t>
  </si>
  <si>
    <t>OTROS</t>
  </si>
  <si>
    <t>PAGOS PROVEED.</t>
  </si>
  <si>
    <t>PAGOS IMP</t>
  </si>
  <si>
    <t xml:space="preserve">PAGO A </t>
  </si>
  <si>
    <t>COBROS (PAGOS)</t>
  </si>
  <si>
    <t>(USADOS)</t>
  </si>
  <si>
    <t>AL  31/03/2022</t>
  </si>
  <si>
    <t>AL  31/12/2021</t>
  </si>
  <si>
    <t>(CREDITOS)</t>
  </si>
  <si>
    <t>CLIENTES</t>
  </si>
  <si>
    <t>BENEFICIOS</t>
  </si>
  <si>
    <t>P/MERCAD.</t>
  </si>
  <si>
    <t>RENTA</t>
  </si>
  <si>
    <t>EMPLEADOS</t>
  </si>
  <si>
    <t>ENTES RELACIONADOS</t>
  </si>
  <si>
    <t>PROVISTOS</t>
  </si>
  <si>
    <t xml:space="preserve">ACTIVO </t>
  </si>
  <si>
    <t xml:space="preserve">CREDITOS FISCALES </t>
  </si>
  <si>
    <t>ANTICIPO DE IRACIS</t>
  </si>
  <si>
    <t>DEUDORES VARIOS Y OTROS CREDITOS</t>
  </si>
  <si>
    <t xml:space="preserve">(PREVISIÓN P/ INCOBRABLES)   </t>
  </si>
  <si>
    <t>INVERSIONES EN VALORES PUBLICOS Y PRIVADOS</t>
  </si>
  <si>
    <t xml:space="preserve">INVERSIONES EN OTRAS EMPRESAS </t>
  </si>
  <si>
    <t xml:space="preserve">BIENES DE USO                           </t>
  </si>
  <si>
    <t xml:space="preserve">(DEPRE. ACUMULADAS)              </t>
  </si>
  <si>
    <t>BIENES INTANGIBLES</t>
  </si>
  <si>
    <t>(AMORTIZACION DE INTANGIBLES)</t>
  </si>
  <si>
    <t xml:space="preserve">GASTOS DIFERIDOS </t>
  </si>
  <si>
    <t>GASTOS NO DEVENGADOS</t>
  </si>
  <si>
    <t>TOTAL ACTIVO</t>
  </si>
  <si>
    <t xml:space="preserve">PASIVO  </t>
  </si>
  <si>
    <t xml:space="preserve">PRESTAMOS EN BANCOS              </t>
  </si>
  <si>
    <t xml:space="preserve">ACREEDORES POR INTERMEDIACION                               </t>
  </si>
  <si>
    <t>OTRAS DEUDAS (NO INCLUIDAS ANTERIORMENTE)</t>
  </si>
  <si>
    <t>INGRESOS DIFERIDOS NO DEVENGADOS</t>
  </si>
  <si>
    <t>DIVIDENDOS A DISTRIBUIR</t>
  </si>
  <si>
    <t>IMPUESTO A LA RENTA A PAGAR</t>
  </si>
  <si>
    <t>SUELDOS A PAGAR Y EMPRESAS RELACIONADAS</t>
  </si>
  <si>
    <t>CAPITAL INTEGRADO</t>
  </si>
  <si>
    <t>APORTE A FUTURA CAPITALIZACION(EFECTIVO)</t>
  </si>
  <si>
    <t>RESERVA DE REVALUO</t>
  </si>
  <si>
    <t>RESERVA LEGAL</t>
  </si>
  <si>
    <t>REVALUO BVPASA</t>
  </si>
  <si>
    <t>RESULTADOS  ACUMULADOS</t>
  </si>
  <si>
    <t>RETIRO A CTA DE UTILIDADES</t>
  </si>
  <si>
    <t>UTILIDADES DEL EJERCICIO</t>
  </si>
  <si>
    <t>ESTADO DE RESUTADO</t>
  </si>
  <si>
    <t>INGRESOS POR INTERMEDIACION Y COMISIONES (OPERATIVOS)</t>
  </si>
  <si>
    <t>OTROS INGRESOS OPERATIVOS</t>
  </si>
  <si>
    <t>INTERESES DEVENGADOS POSITIVO</t>
  </si>
  <si>
    <t>DIVIDENDOS COBRADOS</t>
  </si>
  <si>
    <t>COSTO DE VENTAS</t>
  </si>
  <si>
    <t>SUELDOS Y JORNALES</t>
  </si>
  <si>
    <t>DEVENGADOS NEGATIVOS</t>
  </si>
  <si>
    <t>GASTOS GENERALES</t>
  </si>
  <si>
    <t>DEPRECIACIÓN Y AMORTIZACION DEL EJERCICIO</t>
  </si>
  <si>
    <t>SEGUROS</t>
  </si>
  <si>
    <t xml:space="preserve">IMPUESTO A LA RENTA  </t>
  </si>
  <si>
    <t>Producto de la Venta de B. Uso</t>
  </si>
  <si>
    <t>Flujos de Efectivo por Actividades de Operación</t>
  </si>
  <si>
    <t>Efectivo Recibido de Clientes</t>
  </si>
  <si>
    <t>Efectivo Recibido por Otros Beneficios</t>
  </si>
  <si>
    <t xml:space="preserve">Efectivo pagado a Proveedores </t>
  </si>
  <si>
    <t>Efectivo pagado a Empleados</t>
  </si>
  <si>
    <t>Otros pagos y cobros</t>
  </si>
  <si>
    <t>Inversiones en Otras Empresas</t>
  </si>
  <si>
    <t>Producto de la Venta de Bienes de Uso</t>
  </si>
  <si>
    <t>Efectivo neto provisto (usado) por Actividades de inversion</t>
  </si>
  <si>
    <t>Flujos de Efectivo por Actividades de Financiamiento</t>
  </si>
  <si>
    <t>Préstamos bancarios</t>
  </si>
  <si>
    <t>Proveniente de emisión de acciones</t>
  </si>
  <si>
    <t>Efectivo neto provisto (usado) por Actividades de Financiamiento</t>
  </si>
  <si>
    <t>Aumento (disminución) de efectivo y equivalente de efectivo</t>
  </si>
  <si>
    <t>Efectivo y equivalentes de efectivo al inicio</t>
  </si>
  <si>
    <t>Efectivo y equivalentes de efectivo al final de periodo</t>
  </si>
  <si>
    <t>INTERESES PAGADOS Y DEVENGADOS REPOS</t>
  </si>
  <si>
    <r>
      <t xml:space="preserve">Los Estados Contables trimestrales (Balance General, Estado de Resultados, Estado de Flujo de Efectivo y Estado de Variación del Patrimonio Neto) correspondientes </t>
    </r>
    <r>
      <rPr>
        <b/>
        <sz val="9"/>
        <rFont val="Calibri"/>
        <family val="2"/>
        <scheme val="minor"/>
      </rPr>
      <t>al 30 de Junio de 2022</t>
    </r>
    <r>
      <rPr>
        <sz val="9"/>
        <rFont val="Calibri"/>
        <family val="2"/>
        <scheme val="minor"/>
      </rPr>
      <t xml:space="preserve"> han sido considerados y aprobados según </t>
    </r>
    <r>
      <rPr>
        <b/>
        <sz val="9"/>
        <rFont val="Calibri"/>
        <family val="2"/>
        <scheme val="minor"/>
      </rPr>
      <t>Acta de Directorio N° 6/2022, de fecha 16/08/2022.-</t>
    </r>
  </si>
  <si>
    <r>
      <t xml:space="preserve">Inscripta en la Comisión Nacional de Valores según Certificado de Registro N° 062-0308202 </t>
    </r>
    <r>
      <rPr>
        <b/>
        <i/>
        <sz val="9"/>
        <color theme="1"/>
        <rFont val="Calibri"/>
        <family val="2"/>
        <scheme val="minor"/>
      </rPr>
      <t>de fecha 03 de agosto de 2021</t>
    </r>
    <r>
      <rPr>
        <i/>
        <sz val="9"/>
        <color theme="1"/>
        <rFont val="Calibri"/>
        <family val="2"/>
        <scheme val="minor"/>
      </rPr>
      <t xml:space="preserve"> y en la Bolsa de Valores y Productos de Asunción S.A. según resolución 2.261/21 de fecha</t>
    </r>
    <r>
      <rPr>
        <b/>
        <i/>
        <sz val="9"/>
        <color theme="1"/>
        <rFont val="Calibri"/>
        <family val="2"/>
        <scheme val="minor"/>
      </rPr>
      <t xml:space="preserve"> 11 de agosto de 2021</t>
    </r>
    <r>
      <rPr>
        <i/>
        <sz val="9"/>
        <color theme="1"/>
        <rFont val="Calibri"/>
        <family val="2"/>
        <scheme val="minor"/>
      </rPr>
      <t>, bajo el número 021.</t>
    </r>
  </si>
  <si>
    <t>PERIODO PRESENTACION</t>
  </si>
  <si>
    <t>COMPARADO CON</t>
  </si>
  <si>
    <t>Banco Familiar Saeca Cta Cte 00-2906458 M/L</t>
  </si>
  <si>
    <t>Banco Familiar Saeca Caja De Ahorro 0-2986139 M/L</t>
  </si>
  <si>
    <t>Solar Ahorro y Finanzas SAECA</t>
  </si>
  <si>
    <t>Banco Itaڠparaguay S.A</t>
  </si>
  <si>
    <t>Solar Ahorro Y Finanzas Saeca</t>
  </si>
  <si>
    <t>Capital Integrado G.3.805.000.000 (tres mil ochocientos cinco millones)</t>
  </si>
  <si>
    <t>1-2384 y 2485-3355</t>
  </si>
  <si>
    <t>Automaq S.A.E.C.A.</t>
  </si>
  <si>
    <t>BANCO ITAÚ PARAGUAY S.A.</t>
  </si>
  <si>
    <t>Bono Financiero</t>
  </si>
  <si>
    <t>Cementos Concepción S.A.E.</t>
  </si>
  <si>
    <t>COOPERATIVA MULTIACTIVA DE AHORRO, CRÉDITO Y SERVICIOS DE FUNCIONARIOS DE LA ENTIDAD BINACIONAL YACYRETÁ LTDA. (COOFY)</t>
  </si>
  <si>
    <t>ITTI S.A.E.C.A.</t>
  </si>
  <si>
    <t>TELEFONICA CELULAR DEL PARAGUAY S.A.E (TELECEL S.A.E)</t>
  </si>
  <si>
    <t>Renta Fija - Bonos</t>
  </si>
  <si>
    <t>Renta Fija - CDAs</t>
  </si>
  <si>
    <t>Instrumentos Financieros Cedidos en Prestamos (Repos)</t>
  </si>
  <si>
    <t>Total al 30/06/2022</t>
  </si>
  <si>
    <t>Intereses y Rendimientos a cobrar</t>
  </si>
  <si>
    <t xml:space="preserve">Intereses y Rendimientos </t>
  </si>
  <si>
    <t>Cuentas por Cobrar a Accionistas</t>
  </si>
  <si>
    <t>Corresponde a bienes activo fijo utilizados en la empresa. Su composición actual comparativo con el ejercicio anterior, es como sigue:</t>
  </si>
  <si>
    <t>Mercado de valores</t>
  </si>
  <si>
    <t>Intereses a Pagar por Repos</t>
  </si>
  <si>
    <t>* Repos realizados con Bonos de Nucleo y Tigo según constan en el cuadro de Inversiones.</t>
  </si>
  <si>
    <t>Saldo pendientes por Operaciones de Clientes - Cta Cash  -</t>
  </si>
  <si>
    <t>In Positiva SA</t>
  </si>
  <si>
    <t>Contadores</t>
  </si>
  <si>
    <t>Servicios de Contabilidad</t>
  </si>
  <si>
    <t>87 días</t>
  </si>
  <si>
    <t>Incubate SA</t>
  </si>
  <si>
    <t>Accionista</t>
  </si>
  <si>
    <t>Director/Accionista</t>
  </si>
  <si>
    <t>Servicios de Asesoria Legal</t>
  </si>
  <si>
    <t>Saldos al 30/06/2022</t>
  </si>
  <si>
    <t>Al 30/6/2022</t>
  </si>
  <si>
    <t>Al 30/6/2021</t>
  </si>
  <si>
    <t>Saldos 30/6/2022</t>
  </si>
  <si>
    <t>Saldos 30/12/2021</t>
  </si>
  <si>
    <t>Total Creditos/06/2022</t>
  </si>
  <si>
    <t>Total Creditos/06/2021</t>
  </si>
  <si>
    <t>BALANCE GRAL 30_06_22'!A1</t>
  </si>
  <si>
    <t>o)       Cuentas a Pagar a personas y empresas relacionadas (Corto y Largo plazo)</t>
  </si>
  <si>
    <t>q)       Otros Pasivos Corrientes y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</si>
</sst>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4" formatCode="_ &quot;₲&quot;\ * #,##0.00_ ;_ &quot;₲&quot;\ * \-#,##0.00_ ;_ &quot;₲&quot;\ * &quot;-&quot;??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.00_);_(* \(#,##0.00\);_(* &quot;-&quot;??_);_(@_)"/>
    <numFmt numFmtId="168" formatCode="_-* #,##0\ _D_M_-;\-* #,##0\ _D_M_-;_-* &quot;-&quot;??\ _D_M_-;_-@_-"/>
    <numFmt numFmtId="169" formatCode="_-[$Gs.-3C0A]\ * #,##0.00_ ;_-[$Gs.-3C0A]\ * \-#,##0.00\ ;_-[$Gs.-3C0A]\ * &quot;-&quot;??_ ;_-@_ "/>
    <numFmt numFmtId="170" formatCode="_(* #,##0_);_(* \(#,##0\);_(* &quot;-&quot;??_);_(@_)"/>
    <numFmt numFmtId="171" formatCode="dd/mm/yyyy;@"/>
    <numFmt numFmtId="172" formatCode="_ * #,##0.00_ ;_ * \-#,##0.00_ ;_ * &quot;-&quot;_ ;_ @_ "/>
    <numFmt numFmtId="173" formatCode="_ * #,##0_ ;_ * \-#,##0_ ;_ * &quot;-&quot;??_ ;_ @_ "/>
    <numFmt numFmtId="174" formatCode="_ &quot;₲&quot;\ * #,##0_ ;_ &quot;₲&quot;\ * \-#,##0_ ;_ &quot;₲&quot;\ * &quot;-&quot;??_ ;_ @_ "/>
    <numFmt numFmtId="175" formatCode="_ * #,##0.0_ ;_ * \-#,##0.0_ ;_ * &quot;-&quot;_ ;_ @_ "/>
    <numFmt numFmtId="176" formatCode="#,##0;\(#,##0\)"/>
    <numFmt numFmtId="177" formatCode="&quot; &quot;#,##0.00&quot; &quot;;&quot; (&quot;#,##0.00&quot;)&quot;;&quot; -&quot;00&quot; &quot;;&quot; &quot;@&quot; &quot;"/>
  </numFmts>
  <fonts count="9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202124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9"/>
      <color theme="7" tint="-0.249977111117893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5"/>
      <name val="Calibri"/>
      <family val="2"/>
      <scheme val="minor"/>
    </font>
    <font>
      <u/>
      <sz val="9"/>
      <color indexed="8"/>
      <name val="Calibri"/>
      <family val="2"/>
      <scheme val="minor"/>
    </font>
    <font>
      <b/>
      <sz val="10"/>
      <color rgb="FF003F59"/>
      <name val="Calibri"/>
      <family val="2"/>
      <scheme val="minor"/>
    </font>
    <font>
      <sz val="10"/>
      <color rgb="FF003F59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3F59"/>
      <name val="Calibri"/>
      <family val="2"/>
      <scheme val="minor"/>
    </font>
    <font>
      <b/>
      <sz val="9"/>
      <color rgb="FF003F59"/>
      <name val="Calibri"/>
      <family val="2"/>
      <scheme val="minor"/>
    </font>
    <font>
      <b/>
      <sz val="8"/>
      <name val="Arial"/>
      <family val="2"/>
    </font>
    <font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u val="singleAccounting"/>
      <sz val="8"/>
      <color rgb="FF000000"/>
      <name val="Calibri"/>
      <family val="2"/>
      <scheme val="minor"/>
    </font>
    <font>
      <u val="singleAccounting"/>
      <sz val="8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i/>
      <u val="double"/>
      <sz val="11"/>
      <color theme="1"/>
      <name val="Calibri"/>
      <family val="2"/>
      <scheme val="minor"/>
    </font>
    <font>
      <b/>
      <i/>
      <u val="double"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u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8"/>
      <color rgb="FF333333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1"/>
      <color theme="9"/>
      <name val="Arial"/>
      <family val="2"/>
    </font>
    <font>
      <b/>
      <sz val="5"/>
      <name val="Arial"/>
      <family val="2"/>
    </font>
    <font>
      <b/>
      <i/>
      <sz val="9"/>
      <name val="Arial"/>
      <family val="2"/>
    </font>
    <font>
      <b/>
      <sz val="10"/>
      <color indexed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sz val="10"/>
      <color theme="9" tint="-0.249977111117893"/>
      <name val="Arial"/>
      <family val="2"/>
    </font>
    <font>
      <b/>
      <i/>
      <sz val="10"/>
      <name val="Arial"/>
      <family val="2"/>
    </font>
    <font>
      <b/>
      <sz val="10"/>
      <color theme="9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0"/>
      <color theme="9" tint="-0.24997711111789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i/>
      <u val="double"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11E41"/>
        <bgColor indexed="64"/>
      </patternFill>
    </fill>
    <fill>
      <patternFill patternType="solid">
        <fgColor theme="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7"/>
      </top>
      <bottom style="thin">
        <color theme="7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7" borderId="0" applyNumberFormat="0" applyBorder="0" applyAlignment="0" applyProtection="0"/>
    <xf numFmtId="0" fontId="62" fillId="0" borderId="0" applyNumberFormat="0" applyFill="0" applyBorder="0" applyAlignment="0" applyProtection="0"/>
    <xf numFmtId="0" fontId="90" fillId="0" borderId="0"/>
    <xf numFmtId="43" fontId="90" fillId="0" borderId="0" applyFont="0" applyFill="0" applyBorder="0" applyAlignment="0" applyProtection="0"/>
    <xf numFmtId="41" fontId="90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91" fillId="0" borderId="0" applyFont="0" applyFill="0" applyBorder="0" applyAlignment="0" applyProtection="0"/>
  </cellStyleXfs>
  <cellXfs count="723">
    <xf numFmtId="0" fontId="0" fillId="0" borderId="0" xfId="0"/>
    <xf numFmtId="41" fontId="7" fillId="0" borderId="1" xfId="5" applyFont="1" applyFill="1" applyBorder="1"/>
    <xf numFmtId="0" fontId="8" fillId="0" borderId="5" xfId="0" quotePrefix="1" applyFont="1" applyFill="1" applyBorder="1" applyAlignment="1">
      <alignment horizontal="left"/>
    </xf>
    <xf numFmtId="0" fontId="9" fillId="0" borderId="5" xfId="3" quotePrefix="1" applyFont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11" fillId="0" borderId="0" xfId="0" applyFont="1" applyAlignment="1">
      <alignment horizontal="center" vertical="center"/>
    </xf>
    <xf numFmtId="0" fontId="8" fillId="0" borderId="9" xfId="0" applyFont="1" applyBorder="1"/>
    <xf numFmtId="0" fontId="12" fillId="3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8" fillId="0" borderId="6" xfId="0" applyFont="1" applyBorder="1"/>
    <xf numFmtId="0" fontId="10" fillId="0" borderId="5" xfId="0" applyFont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5" fillId="0" borderId="5" xfId="3" quotePrefix="1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3" fillId="0" borderId="0" xfId="0" applyFont="1"/>
    <xf numFmtId="0" fontId="8" fillId="0" borderId="4" xfId="0" applyFont="1" applyBorder="1"/>
    <xf numFmtId="0" fontId="8" fillId="0" borderId="3" xfId="0" applyFont="1" applyBorder="1"/>
    <xf numFmtId="0" fontId="5" fillId="0" borderId="2" xfId="3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3" quotePrefix="1" applyFont="1" applyBorder="1" applyAlignment="1">
      <alignment horizontal="left"/>
    </xf>
    <xf numFmtId="0" fontId="16" fillId="0" borderId="0" xfId="3" quotePrefix="1" applyFont="1"/>
    <xf numFmtId="0" fontId="14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171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167" fontId="14" fillId="0" borderId="1" xfId="0" applyNumberFormat="1" applyFont="1" applyBorder="1"/>
    <xf numFmtId="0" fontId="14" fillId="0" borderId="1" xfId="0" applyFont="1" applyBorder="1"/>
    <xf numFmtId="0" fontId="1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41" fontId="14" fillId="0" borderId="0" xfId="5" applyFont="1"/>
    <xf numFmtId="3" fontId="14" fillId="0" borderId="1" xfId="0" applyNumberFormat="1" applyFont="1" applyBorder="1" applyAlignment="1">
      <alignment vertical="center"/>
    </xf>
    <xf numFmtId="172" fontId="14" fillId="0" borderId="1" xfId="5" applyNumberFormat="1" applyFont="1" applyBorder="1" applyAlignment="1">
      <alignment horizontal="center" vertical="center"/>
    </xf>
    <xf numFmtId="167" fontId="14" fillId="0" borderId="1" xfId="4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43" fontId="14" fillId="0" borderId="1" xfId="4" applyFont="1" applyBorder="1" applyAlignment="1">
      <alignment horizontal="center" vertical="center"/>
    </xf>
    <xf numFmtId="0" fontId="7" fillId="0" borderId="1" xfId="0" applyFont="1" applyBorder="1"/>
    <xf numFmtId="0" fontId="7" fillId="0" borderId="7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167" fontId="14" fillId="0" borderId="1" xfId="0" applyNumberFormat="1" applyFont="1" applyBorder="1" applyAlignment="1">
      <alignment horizontal="center" vertical="center"/>
    </xf>
    <xf numFmtId="41" fontId="14" fillId="0" borderId="1" xfId="5" applyFont="1" applyBorder="1" applyAlignment="1">
      <alignment horizontal="right"/>
    </xf>
    <xf numFmtId="167" fontId="14" fillId="0" borderId="1" xfId="4" applyNumberFormat="1" applyFont="1" applyBorder="1" applyAlignment="1">
      <alignment horizontal="right"/>
    </xf>
    <xf numFmtId="41" fontId="14" fillId="0" borderId="0" xfId="0" applyNumberFormat="1" applyFont="1"/>
    <xf numFmtId="3" fontId="7" fillId="0" borderId="1" xfId="0" applyNumberFormat="1" applyFont="1" applyBorder="1" applyAlignment="1">
      <alignment horizontal="right"/>
    </xf>
    <xf numFmtId="41" fontId="14" fillId="0" borderId="0" xfId="5" applyFont="1" applyAlignment="1">
      <alignment horizontal="right"/>
    </xf>
    <xf numFmtId="41" fontId="14" fillId="0" borderId="0" xfId="5" applyFont="1" applyBorder="1"/>
    <xf numFmtId="0" fontId="14" fillId="0" borderId="0" xfId="0" applyFont="1" applyBorder="1"/>
    <xf numFmtId="0" fontId="15" fillId="0" borderId="1" xfId="0" applyFont="1" applyBorder="1" applyAlignment="1">
      <alignment horizontal="center"/>
    </xf>
    <xf numFmtId="171" fontId="15" fillId="0" borderId="1" xfId="5" applyNumberFormat="1" applyFont="1" applyBorder="1" applyAlignment="1">
      <alignment horizontal="center" vertical="center" wrapText="1"/>
    </xf>
    <xf numFmtId="171" fontId="15" fillId="0" borderId="1" xfId="5" applyNumberFormat="1" applyFont="1" applyBorder="1" applyAlignment="1">
      <alignment horizontal="center" wrapText="1"/>
    </xf>
    <xf numFmtId="0" fontId="15" fillId="0" borderId="1" xfId="0" applyFont="1" applyBorder="1"/>
    <xf numFmtId="41" fontId="11" fillId="0" borderId="1" xfId="5" applyFont="1" applyBorder="1" applyAlignment="1">
      <alignment horizontal="right" vertical="center"/>
    </xf>
    <xf numFmtId="41" fontId="11" fillId="0" borderId="1" xfId="5" applyFont="1" applyBorder="1" applyAlignment="1">
      <alignment horizontal="right"/>
    </xf>
    <xf numFmtId="41" fontId="21" fillId="0" borderId="1" xfId="5" applyFont="1" applyBorder="1" applyAlignment="1"/>
    <xf numFmtId="41" fontId="21" fillId="0" borderId="1" xfId="5" applyFont="1" applyBorder="1" applyAlignment="1">
      <alignment horizontal="right"/>
    </xf>
    <xf numFmtId="41" fontId="21" fillId="0" borderId="0" xfId="5" applyFont="1" applyBorder="1" applyAlignment="1"/>
    <xf numFmtId="0" fontId="22" fillId="0" borderId="0" xfId="0" applyFont="1" applyBorder="1"/>
    <xf numFmtId="41" fontId="15" fillId="0" borderId="1" xfId="5" applyFont="1" applyBorder="1" applyAlignment="1">
      <alignment horizontal="right" vertical="center"/>
    </xf>
    <xf numFmtId="173" fontId="14" fillId="0" borderId="0" xfId="4" applyNumberFormat="1" applyFont="1"/>
    <xf numFmtId="0" fontId="24" fillId="0" borderId="7" xfId="0" applyFont="1" applyBorder="1" applyAlignment="1">
      <alignment horizontal="center" vertical="center"/>
    </xf>
    <xf numFmtId="173" fontId="20" fillId="0" borderId="1" xfId="4" applyNumberFormat="1" applyFont="1" applyFill="1" applyBorder="1" applyAlignment="1">
      <alignment vertical="center"/>
    </xf>
    <xf numFmtId="170" fontId="14" fillId="0" borderId="0" xfId="0" applyNumberFormat="1" applyFont="1"/>
    <xf numFmtId="173" fontId="20" fillId="0" borderId="2" xfId="4" applyNumberFormat="1" applyFont="1" applyFill="1" applyBorder="1" applyAlignment="1">
      <alignment vertical="center"/>
    </xf>
    <xf numFmtId="173" fontId="24" fillId="0" borderId="2" xfId="4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173" fontId="24" fillId="0" borderId="1" xfId="4" applyNumberFormat="1" applyFont="1" applyBorder="1" applyAlignment="1">
      <alignment horizontal="right"/>
    </xf>
    <xf numFmtId="0" fontId="24" fillId="0" borderId="0" xfId="0" applyFont="1" applyAlignment="1">
      <alignment vertical="center"/>
    </xf>
    <xf numFmtId="170" fontId="24" fillId="0" borderId="0" xfId="0" applyNumberFormat="1" applyFont="1" applyAlignment="1">
      <alignment vertical="center"/>
    </xf>
    <xf numFmtId="173" fontId="24" fillId="0" borderId="0" xfId="4" applyNumberFormat="1" applyFont="1" applyAlignment="1">
      <alignment vertical="center"/>
    </xf>
    <xf numFmtId="173" fontId="24" fillId="0" borderId="0" xfId="4" applyNumberFormat="1" applyFont="1" applyBorder="1" applyAlignment="1">
      <alignment horizontal="right" vertical="center"/>
    </xf>
    <xf numFmtId="173" fontId="25" fillId="0" borderId="0" xfId="4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70" fontId="14" fillId="0" borderId="0" xfId="0" applyNumberFormat="1" applyFont="1" applyAlignment="1">
      <alignment vertical="center"/>
    </xf>
    <xf numFmtId="173" fontId="14" fillId="0" borderId="0" xfId="4" applyNumberFormat="1" applyFont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1" fontId="14" fillId="0" borderId="0" xfId="5" applyFont="1" applyFill="1" applyAlignment="1">
      <alignment horizontal="right"/>
    </xf>
    <xf numFmtId="41" fontId="14" fillId="0" borderId="1" xfId="5" applyFont="1" applyFill="1" applyBorder="1" applyAlignment="1">
      <alignment horizontal="right"/>
    </xf>
    <xf numFmtId="41" fontId="7" fillId="0" borderId="1" xfId="5" applyFont="1" applyFill="1" applyBorder="1" applyAlignment="1">
      <alignment horizontal="right"/>
    </xf>
    <xf numFmtId="170" fontId="14" fillId="0" borderId="0" xfId="4" applyNumberFormat="1" applyFont="1" applyFill="1"/>
    <xf numFmtId="41" fontId="7" fillId="0" borderId="0" xfId="5" applyFont="1" applyFill="1" applyAlignment="1">
      <alignment horizontal="right"/>
    </xf>
    <xf numFmtId="41" fontId="14" fillId="0" borderId="0" xfId="5" applyFont="1" applyFill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 vertical="center" indent="3"/>
    </xf>
    <xf numFmtId="0" fontId="7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2" xfId="0" applyFont="1" applyBorder="1" applyAlignment="1">
      <alignment horizontal="left"/>
    </xf>
    <xf numFmtId="3" fontId="14" fillId="0" borderId="0" xfId="0" applyNumberFormat="1" applyFont="1"/>
    <xf numFmtId="0" fontId="1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41" fontId="7" fillId="0" borderId="1" xfId="5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6" fontId="14" fillId="0" borderId="0" xfId="0" applyNumberFormat="1" applyFont="1"/>
    <xf numFmtId="0" fontId="24" fillId="0" borderId="1" xfId="0" applyFont="1" applyBorder="1"/>
    <xf numFmtId="0" fontId="19" fillId="0" borderId="0" xfId="0" applyFont="1"/>
    <xf numFmtId="0" fontId="7" fillId="0" borderId="1" xfId="0" applyFont="1" applyBorder="1" applyAlignment="1">
      <alignment horizontal="center" wrapText="1"/>
    </xf>
    <xf numFmtId="167" fontId="14" fillId="0" borderId="1" xfId="9" applyFont="1" applyFill="1" applyBorder="1" applyAlignment="1">
      <alignment horizontal="right"/>
    </xf>
    <xf numFmtId="3" fontId="7" fillId="0" borderId="1" xfId="0" applyNumberFormat="1" applyFont="1" applyBorder="1"/>
    <xf numFmtId="41" fontId="14" fillId="0" borderId="1" xfId="5" applyFont="1" applyBorder="1" applyAlignment="1"/>
    <xf numFmtId="41" fontId="7" fillId="0" borderId="1" xfId="5" applyFont="1" applyBorder="1" applyAlignment="1"/>
    <xf numFmtId="167" fontId="14" fillId="0" borderId="0" xfId="0" applyNumberFormat="1" applyFont="1"/>
    <xf numFmtId="2" fontId="7" fillId="0" borderId="1" xfId="0" applyNumberFormat="1" applyFont="1" applyBorder="1" applyAlignment="1">
      <alignment horizontal="center" vertical="center" wrapText="1"/>
    </xf>
    <xf numFmtId="167" fontId="14" fillId="0" borderId="0" xfId="9" applyFont="1"/>
    <xf numFmtId="174" fontId="14" fillId="0" borderId="0" xfId="12" applyNumberFormat="1" applyFont="1"/>
    <xf numFmtId="0" fontId="14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  <xf numFmtId="170" fontId="14" fillId="0" borderId="1" xfId="0" applyNumberFormat="1" applyFont="1" applyBorder="1" applyAlignment="1">
      <alignment horizontal="right" wrapText="1"/>
    </xf>
    <xf numFmtId="167" fontId="14" fillId="0" borderId="1" xfId="9" applyFont="1" applyBorder="1" applyAlignment="1">
      <alignment horizontal="right" wrapText="1"/>
    </xf>
    <xf numFmtId="0" fontId="24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 wrapText="1"/>
    </xf>
    <xf numFmtId="170" fontId="7" fillId="0" borderId="1" xfId="9" applyNumberFormat="1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0" fontId="24" fillId="0" borderId="0" xfId="0" applyFont="1" applyBorder="1" applyAlignment="1">
      <alignment wrapText="1"/>
    </xf>
    <xf numFmtId="170" fontId="7" fillId="0" borderId="0" xfId="9" applyNumberFormat="1" applyFont="1" applyBorder="1" applyAlignment="1">
      <alignment horizontal="right" wrapText="1"/>
    </xf>
    <xf numFmtId="167" fontId="14" fillId="0" borderId="0" xfId="9" applyFont="1" applyBorder="1" applyAlignment="1">
      <alignment horizontal="right" wrapText="1"/>
    </xf>
    <xf numFmtId="0" fontId="14" fillId="0" borderId="7" xfId="0" applyFont="1" applyBorder="1" applyAlignment="1">
      <alignment wrapText="1"/>
    </xf>
    <xf numFmtId="167" fontId="14" fillId="0" borderId="1" xfId="9" applyFont="1" applyFill="1" applyBorder="1" applyAlignment="1">
      <alignment horizontal="right" wrapText="1"/>
    </xf>
    <xf numFmtId="41" fontId="14" fillId="0" borderId="1" xfId="5" applyFont="1" applyBorder="1" applyAlignment="1">
      <alignment horizontal="right" wrapText="1"/>
    </xf>
    <xf numFmtId="170" fontId="7" fillId="0" borderId="1" xfId="0" applyNumberFormat="1" applyFont="1" applyBorder="1" applyAlignment="1">
      <alignment horizontal="right" wrapText="1"/>
    </xf>
    <xf numFmtId="41" fontId="14" fillId="0" borderId="0" xfId="5" applyFont="1" applyFill="1" applyAlignment="1">
      <alignment wrapText="1"/>
    </xf>
    <xf numFmtId="41" fontId="14" fillId="0" borderId="0" xfId="5" applyFont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41" fontId="7" fillId="0" borderId="2" xfId="5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41" fontId="20" fillId="3" borderId="1" xfId="5" applyFont="1" applyFill="1" applyBorder="1" applyAlignment="1">
      <alignment horizontal="left" wrapText="1"/>
    </xf>
    <xf numFmtId="41" fontId="7" fillId="0" borderId="1" xfId="5" applyFont="1" applyFill="1" applyBorder="1" applyAlignment="1">
      <alignment horizontal="right" wrapText="1"/>
    </xf>
    <xf numFmtId="41" fontId="14" fillId="0" borderId="1" xfId="5" applyFont="1" applyFill="1" applyBorder="1" applyAlignment="1">
      <alignment horizontal="right" wrapText="1"/>
    </xf>
    <xf numFmtId="41" fontId="14" fillId="0" borderId="0" xfId="0" applyNumberFormat="1" applyFont="1" applyAlignment="1">
      <alignment wrapText="1"/>
    </xf>
    <xf numFmtId="41" fontId="24" fillId="0" borderId="1" xfId="5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41" fontId="25" fillId="0" borderId="1" xfId="5" applyFont="1" applyFill="1" applyBorder="1" applyAlignment="1">
      <alignment horizontal="right" vertical="center"/>
    </xf>
    <xf numFmtId="41" fontId="25" fillId="0" borderId="1" xfId="5" applyFont="1" applyBorder="1" applyAlignment="1">
      <alignment horizontal="right" vertical="center"/>
    </xf>
    <xf numFmtId="170" fontId="24" fillId="0" borderId="1" xfId="9" applyNumberFormat="1" applyFont="1" applyBorder="1" applyAlignment="1">
      <alignment horizontal="right" vertical="center"/>
    </xf>
    <xf numFmtId="41" fontId="24" fillId="0" borderId="1" xfId="5" applyFont="1" applyBorder="1" applyAlignment="1">
      <alignment horizontal="right" vertical="center"/>
    </xf>
    <xf numFmtId="171" fontId="14" fillId="0" borderId="0" xfId="0" applyNumberFormat="1" applyFont="1"/>
    <xf numFmtId="170" fontId="14" fillId="0" borderId="0" xfId="9" applyNumberFormat="1" applyFont="1"/>
    <xf numFmtId="170" fontId="7" fillId="0" borderId="0" xfId="9" applyNumberFormat="1" applyFont="1"/>
    <xf numFmtId="0" fontId="7" fillId="0" borderId="0" xfId="0" applyFont="1"/>
    <xf numFmtId="41" fontId="14" fillId="0" borderId="1" xfId="5" applyFont="1" applyBorder="1" applyAlignment="1">
      <alignment horizontal="right" vertical="center"/>
    </xf>
    <xf numFmtId="41" fontId="14" fillId="0" borderId="1" xfId="5" applyFont="1" applyFill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41" fontId="14" fillId="0" borderId="0" xfId="5" applyFont="1" applyFill="1" applyAlignment="1">
      <alignment vertical="center"/>
    </xf>
    <xf numFmtId="3" fontId="14" fillId="0" borderId="0" xfId="0" applyNumberFormat="1" applyFont="1" applyAlignment="1">
      <alignment vertical="center"/>
    </xf>
    <xf numFmtId="41" fontId="7" fillId="0" borderId="1" xfId="5" applyFont="1" applyBorder="1" applyAlignment="1">
      <alignment horizontal="right" vertical="center"/>
    </xf>
    <xf numFmtId="41" fontId="7" fillId="0" borderId="1" xfId="5" applyFont="1" applyFill="1" applyBorder="1" applyAlignment="1">
      <alignment horizontal="right" vertical="center"/>
    </xf>
    <xf numFmtId="41" fontId="14" fillId="0" borderId="0" xfId="5" applyFont="1" applyAlignment="1">
      <alignment vertical="center"/>
    </xf>
    <xf numFmtId="0" fontId="18" fillId="0" borderId="0" xfId="0" applyFont="1"/>
    <xf numFmtId="41" fontId="14" fillId="0" borderId="1" xfId="5" applyFont="1" applyFill="1" applyBorder="1" applyAlignment="1"/>
    <xf numFmtId="0" fontId="27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41" fontId="14" fillId="0" borderId="1" xfId="5" applyFont="1" applyFill="1" applyBorder="1" applyAlignment="1">
      <alignment horizontal="center"/>
    </xf>
    <xf numFmtId="0" fontId="14" fillId="0" borderId="5" xfId="0" applyFont="1" applyBorder="1"/>
    <xf numFmtId="170" fontId="14" fillId="0" borderId="1" xfId="5" applyNumberFormat="1" applyFont="1" applyFill="1" applyBorder="1" applyAlignment="1"/>
    <xf numFmtId="41" fontId="7" fillId="0" borderId="1" xfId="5" applyFont="1" applyFill="1" applyBorder="1" applyAlignment="1">
      <alignment horizontal="center"/>
    </xf>
    <xf numFmtId="170" fontId="14" fillId="0" borderId="1" xfId="5" applyNumberFormat="1" applyFont="1" applyFill="1" applyBorder="1" applyAlignment="1">
      <alignment horizontal="center"/>
    </xf>
    <xf numFmtId="41" fontId="7" fillId="0" borderId="1" xfId="5" applyFont="1" applyBorder="1" applyAlignment="1">
      <alignment horizontal="center"/>
    </xf>
    <xf numFmtId="41" fontId="14" fillId="0" borderId="1" xfId="5" applyFont="1" applyBorder="1" applyAlignment="1">
      <alignment horizontal="center"/>
    </xf>
    <xf numFmtId="41" fontId="14" fillId="0" borderId="1" xfId="5" applyFont="1" applyBorder="1"/>
    <xf numFmtId="41" fontId="7" fillId="0" borderId="1" xfId="0" applyNumberFormat="1" applyFont="1" applyBorder="1"/>
    <xf numFmtId="41" fontId="14" fillId="0" borderId="1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0" xfId="0" quotePrefix="1" applyFill="1"/>
    <xf numFmtId="0" fontId="20" fillId="0" borderId="0" xfId="0" applyFont="1"/>
    <xf numFmtId="0" fontId="23" fillId="0" borderId="10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17" fillId="0" borderId="55" xfId="0" applyFont="1" applyBorder="1" applyAlignment="1">
      <alignment vertical="center"/>
    </xf>
    <xf numFmtId="168" fontId="19" fillId="0" borderId="1" xfId="4" applyNumberFormat="1" applyFont="1" applyFill="1" applyBorder="1" applyAlignment="1">
      <alignment horizontal="center" vertical="center" wrapText="1"/>
    </xf>
    <xf numFmtId="168" fontId="19" fillId="0" borderId="17" xfId="4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73" fontId="17" fillId="0" borderId="12" xfId="4" applyNumberFormat="1" applyFont="1" applyFill="1" applyBorder="1" applyAlignment="1">
      <alignment horizontal="right"/>
    </xf>
    <xf numFmtId="173" fontId="19" fillId="0" borderId="5" xfId="4" applyNumberFormat="1" applyFont="1" applyFill="1" applyBorder="1" applyAlignment="1">
      <alignment horizontal="right"/>
    </xf>
    <xf numFmtId="0" fontId="17" fillId="0" borderId="12" xfId="0" applyFont="1" applyBorder="1"/>
    <xf numFmtId="173" fontId="23" fillId="0" borderId="5" xfId="4" applyNumberFormat="1" applyFont="1" applyFill="1" applyBorder="1" applyAlignment="1">
      <alignment horizontal="right"/>
    </xf>
    <xf numFmtId="173" fontId="20" fillId="0" borderId="5" xfId="4" applyNumberFormat="1" applyFont="1" applyFill="1" applyBorder="1" applyAlignment="1">
      <alignment horizontal="right"/>
    </xf>
    <xf numFmtId="173" fontId="23" fillId="0" borderId="12" xfId="4" applyNumberFormat="1" applyFont="1" applyFill="1" applyBorder="1" applyAlignment="1">
      <alignment horizontal="right"/>
    </xf>
    <xf numFmtId="0" fontId="23" fillId="0" borderId="5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73" fontId="20" fillId="0" borderId="12" xfId="4" applyNumberFormat="1" applyFont="1" applyFill="1" applyBorder="1" applyAlignment="1">
      <alignment horizontal="right"/>
    </xf>
    <xf numFmtId="0" fontId="23" fillId="0" borderId="5" xfId="0" applyFont="1" applyBorder="1"/>
    <xf numFmtId="173" fontId="17" fillId="0" borderId="18" xfId="4" applyNumberFormat="1" applyFont="1" applyFill="1" applyBorder="1" applyAlignment="1">
      <alignment horizontal="right"/>
    </xf>
    <xf numFmtId="0" fontId="28" fillId="0" borderId="5" xfId="0" applyFont="1" applyBorder="1"/>
    <xf numFmtId="173" fontId="23" fillId="0" borderId="57" xfId="4" applyNumberFormat="1" applyFont="1" applyFill="1" applyBorder="1" applyAlignment="1">
      <alignment horizontal="right"/>
    </xf>
    <xf numFmtId="173" fontId="20" fillId="0" borderId="57" xfId="4" applyNumberFormat="1" applyFont="1" applyFill="1" applyBorder="1" applyAlignment="1">
      <alignment horizontal="right"/>
    </xf>
    <xf numFmtId="173" fontId="17" fillId="0" borderId="19" xfId="4" applyNumberFormat="1" applyFont="1" applyFill="1" applyBorder="1" applyAlignment="1">
      <alignment horizontal="right"/>
    </xf>
    <xf numFmtId="0" fontId="23" fillId="0" borderId="12" xfId="0" applyFont="1" applyBorder="1"/>
    <xf numFmtId="173" fontId="17" fillId="0" borderId="58" xfId="4" applyNumberFormat="1" applyFont="1" applyFill="1" applyBorder="1" applyAlignment="1">
      <alignment horizontal="right"/>
    </xf>
    <xf numFmtId="41" fontId="20" fillId="0" borderId="0" xfId="5" applyFont="1" applyAlignment="1">
      <alignment wrapText="1"/>
    </xf>
    <xf numFmtId="41" fontId="20" fillId="0" borderId="0" xfId="0" applyNumberFormat="1" applyFont="1" applyAlignment="1">
      <alignment wrapText="1"/>
    </xf>
    <xf numFmtId="0" fontId="17" fillId="0" borderId="12" xfId="0" applyFont="1" applyBorder="1" applyAlignment="1">
      <alignment horizontal="left"/>
    </xf>
    <xf numFmtId="173" fontId="17" fillId="0" borderId="5" xfId="4" applyNumberFormat="1" applyFont="1" applyFill="1" applyBorder="1" applyAlignment="1">
      <alignment horizontal="right"/>
    </xf>
    <xf numFmtId="173" fontId="17" fillId="0" borderId="1" xfId="4" applyNumberFormat="1" applyFont="1" applyFill="1" applyBorder="1" applyAlignment="1">
      <alignment horizontal="right"/>
    </xf>
    <xf numFmtId="0" fontId="17" fillId="0" borderId="20" xfId="0" applyFont="1" applyBorder="1"/>
    <xf numFmtId="173" fontId="17" fillId="0" borderId="21" xfId="4" applyNumberFormat="1" applyFont="1" applyFill="1" applyBorder="1" applyAlignment="1">
      <alignment horizontal="right"/>
    </xf>
    <xf numFmtId="0" fontId="17" fillId="0" borderId="22" xfId="0" applyFont="1" applyBorder="1"/>
    <xf numFmtId="173" fontId="17" fillId="0" borderId="22" xfId="4" applyNumberFormat="1" applyFont="1" applyFill="1" applyBorder="1" applyAlignment="1">
      <alignment horizontal="right"/>
    </xf>
    <xf numFmtId="173" fontId="17" fillId="0" borderId="23" xfId="4" applyNumberFormat="1" applyFont="1" applyFill="1" applyBorder="1" applyAlignment="1">
      <alignment horizontal="right"/>
    </xf>
    <xf numFmtId="173" fontId="26" fillId="0" borderId="12" xfId="4" applyNumberFormat="1" applyFont="1" applyFill="1" applyBorder="1" applyAlignment="1">
      <alignment horizontal="right"/>
    </xf>
    <xf numFmtId="41" fontId="23" fillId="0" borderId="12" xfId="0" applyNumberFormat="1" applyFont="1" applyBorder="1"/>
    <xf numFmtId="49" fontId="23" fillId="0" borderId="0" xfId="0" applyNumberFormat="1" applyFont="1" applyAlignment="1">
      <alignment wrapText="1"/>
    </xf>
    <xf numFmtId="0" fontId="17" fillId="0" borderId="24" xfId="0" applyFont="1" applyBorder="1"/>
    <xf numFmtId="173" fontId="17" fillId="0" borderId="25" xfId="4" applyNumberFormat="1" applyFont="1" applyFill="1" applyBorder="1" applyAlignment="1">
      <alignment horizontal="right"/>
    </xf>
    <xf numFmtId="173" fontId="23" fillId="0" borderId="58" xfId="4" applyNumberFormat="1" applyFont="1" applyFill="1" applyBorder="1" applyAlignment="1">
      <alignment horizontal="right"/>
    </xf>
    <xf numFmtId="173" fontId="20" fillId="0" borderId="2" xfId="4" applyNumberFormat="1" applyFont="1" applyFill="1" applyBorder="1" applyAlignment="1">
      <alignment horizontal="right"/>
    </xf>
    <xf numFmtId="173" fontId="17" fillId="0" borderId="57" xfId="4" applyNumberFormat="1" applyFont="1" applyFill="1" applyBorder="1" applyAlignment="1">
      <alignment horizontal="right"/>
    </xf>
    <xf numFmtId="0" fontId="17" fillId="0" borderId="11" xfId="0" applyFont="1" applyBorder="1"/>
    <xf numFmtId="173" fontId="17" fillId="0" borderId="26" xfId="4" applyNumberFormat="1" applyFont="1" applyFill="1" applyBorder="1" applyAlignment="1">
      <alignment horizontal="right"/>
    </xf>
    <xf numFmtId="173" fontId="17" fillId="0" borderId="2" xfId="4" applyNumberFormat="1" applyFont="1" applyFill="1" applyBorder="1" applyAlignment="1">
      <alignment horizontal="right"/>
    </xf>
    <xf numFmtId="0" fontId="23" fillId="0" borderId="0" xfId="0" applyFont="1"/>
    <xf numFmtId="173" fontId="19" fillId="0" borderId="17" xfId="4" applyNumberFormat="1" applyFont="1" applyFill="1" applyBorder="1" applyAlignment="1">
      <alignment horizontal="right"/>
    </xf>
    <xf numFmtId="0" fontId="17" fillId="0" borderId="2" xfId="0" applyFont="1" applyBorder="1"/>
    <xf numFmtId="41" fontId="20" fillId="0" borderId="0" xfId="5" applyFont="1"/>
    <xf numFmtId="173" fontId="20" fillId="0" borderId="0" xfId="0" applyNumberFormat="1" applyFont="1"/>
    <xf numFmtId="0" fontId="23" fillId="0" borderId="1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7" fillId="0" borderId="0" xfId="0" applyFont="1"/>
    <xf numFmtId="168" fontId="17" fillId="0" borderId="0" xfId="4" applyNumberFormat="1" applyFont="1" applyFill="1"/>
    <xf numFmtId="168" fontId="20" fillId="0" borderId="0" xfId="0" applyNumberFormat="1" applyFont="1"/>
    <xf numFmtId="168" fontId="20" fillId="0" borderId="0" xfId="4" applyNumberFormat="1" applyFont="1" applyFill="1"/>
    <xf numFmtId="168" fontId="20" fillId="0" borderId="0" xfId="4" applyNumberFormat="1" applyFont="1" applyFill="1" applyProtection="1">
      <protection hidden="1"/>
    </xf>
    <xf numFmtId="3" fontId="20" fillId="0" borderId="0" xfId="0" applyNumberFormat="1" applyFont="1"/>
    <xf numFmtId="0" fontId="20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 indent="5"/>
    </xf>
    <xf numFmtId="0" fontId="29" fillId="0" borderId="0" xfId="0" applyFont="1"/>
    <xf numFmtId="41" fontId="20" fillId="0" borderId="0" xfId="5" applyFont="1" applyFill="1"/>
    <xf numFmtId="169" fontId="20" fillId="0" borderId="0" xfId="0" applyNumberFormat="1" applyFont="1"/>
    <xf numFmtId="169" fontId="20" fillId="0" borderId="0" xfId="4" applyNumberFormat="1" applyFont="1" applyFill="1"/>
    <xf numFmtId="0" fontId="14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0" fontId="17" fillId="0" borderId="34" xfId="0" applyFont="1" applyBorder="1" applyAlignment="1">
      <alignment horizontal="center" wrapText="1"/>
    </xf>
    <xf numFmtId="0" fontId="17" fillId="0" borderId="35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35" xfId="0" applyFont="1" applyBorder="1" applyAlignment="1">
      <alignment horizontal="center" wrapText="1"/>
    </xf>
    <xf numFmtId="168" fontId="23" fillId="0" borderId="29" xfId="4" applyNumberFormat="1" applyFont="1" applyBorder="1"/>
    <xf numFmtId="41" fontId="23" fillId="0" borderId="37" xfId="5" applyFont="1" applyBorder="1" applyAlignment="1">
      <alignment horizontal="right"/>
    </xf>
    <xf numFmtId="41" fontId="23" fillId="0" borderId="38" xfId="5" applyFont="1" applyBorder="1" applyAlignment="1">
      <alignment horizontal="right"/>
    </xf>
    <xf numFmtId="41" fontId="23" fillId="0" borderId="39" xfId="5" applyFont="1" applyBorder="1" applyAlignment="1">
      <alignment horizontal="right"/>
    </xf>
    <xf numFmtId="41" fontId="23" fillId="0" borderId="40" xfId="5" applyFont="1" applyBorder="1" applyAlignment="1">
      <alignment horizontal="right"/>
    </xf>
    <xf numFmtId="41" fontId="17" fillId="0" borderId="37" xfId="5" applyFont="1" applyBorder="1" applyAlignment="1">
      <alignment horizontal="right"/>
    </xf>
    <xf numFmtId="41" fontId="17" fillId="0" borderId="38" xfId="5" applyFont="1" applyBorder="1" applyAlignment="1">
      <alignment horizontal="right"/>
    </xf>
    <xf numFmtId="168" fontId="30" fillId="0" borderId="29" xfId="4" applyNumberFormat="1" applyFont="1" applyBorder="1"/>
    <xf numFmtId="41" fontId="23" fillId="0" borderId="41" xfId="5" applyFont="1" applyBorder="1" applyAlignment="1">
      <alignment horizontal="right"/>
    </xf>
    <xf numFmtId="41" fontId="23" fillId="0" borderId="30" xfId="5" applyFont="1" applyBorder="1" applyAlignment="1">
      <alignment horizontal="right"/>
    </xf>
    <xf numFmtId="41" fontId="23" fillId="0" borderId="12" xfId="5" applyFont="1" applyBorder="1" applyAlignment="1">
      <alignment horizontal="right"/>
    </xf>
    <xf numFmtId="41" fontId="23" fillId="0" borderId="42" xfId="5" applyFont="1" applyBorder="1" applyAlignment="1">
      <alignment horizontal="right"/>
    </xf>
    <xf numFmtId="41" fontId="23" fillId="0" borderId="43" xfId="5" applyFont="1" applyBorder="1" applyAlignment="1">
      <alignment horizontal="right"/>
    </xf>
    <xf numFmtId="41" fontId="23" fillId="0" borderId="44" xfId="5" applyFont="1" applyBorder="1" applyAlignment="1">
      <alignment horizontal="right"/>
    </xf>
    <xf numFmtId="41" fontId="23" fillId="0" borderId="45" xfId="5" applyFont="1" applyBorder="1" applyAlignment="1">
      <alignment horizontal="right"/>
    </xf>
    <xf numFmtId="41" fontId="17" fillId="0" borderId="49" xfId="5" applyFont="1" applyBorder="1" applyAlignment="1">
      <alignment horizontal="right"/>
    </xf>
    <xf numFmtId="0" fontId="17" fillId="0" borderId="34" xfId="0" applyFont="1" applyBorder="1"/>
    <xf numFmtId="41" fontId="17" fillId="0" borderId="46" xfId="5" applyFont="1" applyBorder="1" applyAlignment="1">
      <alignment horizontal="right"/>
    </xf>
    <xf numFmtId="41" fontId="17" fillId="0" borderId="28" xfId="5" applyFont="1" applyBorder="1" applyAlignment="1">
      <alignment horizontal="right"/>
    </xf>
    <xf numFmtId="41" fontId="17" fillId="0" borderId="15" xfId="5" applyFont="1" applyBorder="1" applyAlignment="1">
      <alignment horizontal="right"/>
    </xf>
    <xf numFmtId="41" fontId="17" fillId="0" borderId="47" xfId="5" applyFont="1" applyBorder="1" applyAlignment="1">
      <alignment horizontal="right"/>
    </xf>
    <xf numFmtId="41" fontId="19" fillId="0" borderId="28" xfId="5" applyFont="1" applyBorder="1" applyAlignment="1">
      <alignment horizontal="right"/>
    </xf>
    <xf numFmtId="41" fontId="19" fillId="0" borderId="16" xfId="5" applyFont="1" applyBorder="1" applyAlignment="1">
      <alignment horizontal="right"/>
    </xf>
    <xf numFmtId="0" fontId="17" fillId="0" borderId="50" xfId="0" applyFont="1" applyBorder="1"/>
    <xf numFmtId="41" fontId="17" fillId="0" borderId="51" xfId="5" applyFont="1" applyBorder="1" applyAlignment="1">
      <alignment horizontal="right"/>
    </xf>
    <xf numFmtId="41" fontId="19" fillId="0" borderId="52" xfId="5" applyFont="1" applyBorder="1" applyAlignment="1">
      <alignment horizontal="right"/>
    </xf>
    <xf numFmtId="41" fontId="17" fillId="0" borderId="48" xfId="5" applyFont="1" applyBorder="1" applyAlignment="1">
      <alignment horizontal="right"/>
    </xf>
    <xf numFmtId="0" fontId="0" fillId="0" borderId="0" xfId="0" quotePrefix="1" applyFont="1" applyFill="1"/>
    <xf numFmtId="3" fontId="31" fillId="0" borderId="0" xfId="0" applyNumberFormat="1" applyFont="1"/>
    <xf numFmtId="3" fontId="32" fillId="0" borderId="0" xfId="0" applyNumberFormat="1" applyFont="1"/>
    <xf numFmtId="3" fontId="7" fillId="0" borderId="1" xfId="0" applyNumberFormat="1" applyFont="1" applyBorder="1" applyAlignment="1"/>
    <xf numFmtId="0" fontId="20" fillId="0" borderId="14" xfId="0" applyFont="1" applyBorder="1"/>
    <xf numFmtId="3" fontId="20" fillId="0" borderId="15" xfId="0" applyNumberFormat="1" applyFont="1" applyBorder="1"/>
    <xf numFmtId="14" fontId="19" fillId="0" borderId="28" xfId="5" applyNumberFormat="1" applyFont="1" applyFill="1" applyBorder="1" applyAlignment="1">
      <alignment horizontal="center" wrapText="1"/>
    </xf>
    <xf numFmtId="0" fontId="19" fillId="0" borderId="29" xfId="0" applyFont="1" applyBorder="1"/>
    <xf numFmtId="3" fontId="19" fillId="0" borderId="0" xfId="0" applyNumberFormat="1" applyFont="1" applyBorder="1"/>
    <xf numFmtId="0" fontId="20" fillId="0" borderId="0" xfId="0" applyFont="1" applyBorder="1"/>
    <xf numFmtId="173" fontId="19" fillId="0" borderId="0" xfId="4" applyNumberFormat="1" applyFont="1" applyFill="1" applyBorder="1" applyAlignment="1">
      <alignment horizontal="right"/>
    </xf>
    <xf numFmtId="0" fontId="20" fillId="0" borderId="29" xfId="0" applyFont="1" applyBorder="1"/>
    <xf numFmtId="173" fontId="20" fillId="0" borderId="0" xfId="4" applyNumberFormat="1" applyFont="1" applyFill="1" applyBorder="1" applyAlignment="1">
      <alignment horizontal="right"/>
    </xf>
    <xf numFmtId="49" fontId="20" fillId="0" borderId="29" xfId="0" applyNumberFormat="1" applyFont="1" applyBorder="1"/>
    <xf numFmtId="0" fontId="19" fillId="0" borderId="60" xfId="0" applyFont="1" applyBorder="1"/>
    <xf numFmtId="3" fontId="20" fillId="0" borderId="31" xfId="0" applyNumberFormat="1" applyFont="1" applyBorder="1"/>
    <xf numFmtId="49" fontId="19" fillId="0" borderId="29" xfId="0" applyNumberFormat="1" applyFont="1" applyBorder="1"/>
    <xf numFmtId="3" fontId="20" fillId="0" borderId="3" xfId="0" applyNumberFormat="1" applyFont="1" applyBorder="1"/>
    <xf numFmtId="3" fontId="20" fillId="0" borderId="0" xfId="0" applyNumberFormat="1" applyFont="1" applyBorder="1"/>
    <xf numFmtId="0" fontId="19" fillId="0" borderId="0" xfId="0" applyFont="1" applyBorder="1"/>
    <xf numFmtId="173" fontId="20" fillId="0" borderId="0" xfId="4" applyNumberFormat="1" applyFont="1"/>
    <xf numFmtId="173" fontId="20" fillId="0" borderId="27" xfId="4" applyNumberFormat="1" applyFont="1" applyBorder="1"/>
    <xf numFmtId="41" fontId="20" fillId="0" borderId="0" xfId="0" applyNumberFormat="1" applyFont="1"/>
    <xf numFmtId="0" fontId="23" fillId="0" borderId="7" xfId="0" applyFont="1" applyBorder="1"/>
    <xf numFmtId="168" fontId="17" fillId="0" borderId="17" xfId="4" applyNumberFormat="1" applyFont="1" applyBorder="1" applyAlignment="1">
      <alignment horizontal="center" vertical="center" wrapText="1"/>
    </xf>
    <xf numFmtId="41" fontId="23" fillId="0" borderId="32" xfId="5" applyFont="1" applyBorder="1" applyAlignment="1">
      <alignment horizontal="right"/>
    </xf>
    <xf numFmtId="41" fontId="23" fillId="0" borderId="56" xfId="5" applyFont="1" applyBorder="1" applyAlignment="1">
      <alignment horizontal="right"/>
    </xf>
    <xf numFmtId="41" fontId="23" fillId="0" borderId="5" xfId="5" applyFont="1" applyBorder="1" applyAlignment="1">
      <alignment horizontal="right"/>
    </xf>
    <xf numFmtId="0" fontId="19" fillId="0" borderId="5" xfId="0" applyFont="1" applyBorder="1"/>
    <xf numFmtId="41" fontId="20" fillId="0" borderId="5" xfId="5" applyFont="1" applyBorder="1" applyAlignment="1">
      <alignment horizontal="right"/>
    </xf>
    <xf numFmtId="41" fontId="19" fillId="0" borderId="18" xfId="5" applyFont="1" applyBorder="1" applyAlignment="1">
      <alignment horizontal="right"/>
    </xf>
    <xf numFmtId="0" fontId="20" fillId="0" borderId="5" xfId="0" applyFont="1" applyBorder="1"/>
    <xf numFmtId="41" fontId="19" fillId="0" borderId="5" xfId="5" applyFont="1" applyBorder="1" applyAlignment="1">
      <alignment horizontal="right"/>
    </xf>
    <xf numFmtId="0" fontId="33" fillId="0" borderId="5" xfId="0" applyFont="1" applyBorder="1"/>
    <xf numFmtId="41" fontId="33" fillId="0" borderId="5" xfId="5" applyFont="1" applyBorder="1" applyAlignment="1">
      <alignment horizontal="right"/>
    </xf>
    <xf numFmtId="0" fontId="23" fillId="0" borderId="2" xfId="0" applyFont="1" applyBorder="1"/>
    <xf numFmtId="41" fontId="17" fillId="0" borderId="33" xfId="5" applyFont="1" applyBorder="1" applyAlignment="1">
      <alignment horizontal="right"/>
    </xf>
    <xf numFmtId="3" fontId="34" fillId="0" borderId="0" xfId="0" applyNumberFormat="1" applyFont="1"/>
    <xf numFmtId="3" fontId="35" fillId="0" borderId="0" xfId="0" applyNumberFormat="1" applyFont="1"/>
    <xf numFmtId="0" fontId="7" fillId="0" borderId="0" xfId="0" applyFont="1" applyAlignment="1">
      <alignment vertical="center" wrapText="1"/>
    </xf>
    <xf numFmtId="0" fontId="14" fillId="0" borderId="0" xfId="0" applyFont="1" applyAlignment="1"/>
    <xf numFmtId="0" fontId="14" fillId="0" borderId="0" xfId="0" applyFont="1" applyAlignment="1">
      <alignment horizontal="left" vertical="center"/>
    </xf>
    <xf numFmtId="0" fontId="19" fillId="0" borderId="62" xfId="0" applyFont="1" applyBorder="1"/>
    <xf numFmtId="0" fontId="19" fillId="0" borderId="63" xfId="0" applyFont="1" applyBorder="1"/>
    <xf numFmtId="3" fontId="20" fillId="0" borderId="64" xfId="0" applyNumberFormat="1" applyFont="1" applyBorder="1"/>
    <xf numFmtId="170" fontId="20" fillId="0" borderId="1" xfId="5" applyNumberFormat="1" applyFont="1" applyFill="1" applyBorder="1" applyAlignment="1">
      <alignment horizontal="right" vertical="center"/>
    </xf>
    <xf numFmtId="41" fontId="14" fillId="0" borderId="1" xfId="5" applyFont="1" applyFill="1" applyBorder="1"/>
    <xf numFmtId="41" fontId="36" fillId="0" borderId="18" xfId="5" applyFont="1" applyBorder="1" applyAlignment="1"/>
    <xf numFmtId="41" fontId="7" fillId="0" borderId="1" xfId="5" applyFont="1" applyBorder="1" applyAlignment="1">
      <alignment horizontal="right" wrapText="1"/>
    </xf>
    <xf numFmtId="14" fontId="17" fillId="0" borderId="34" xfId="0" applyNumberFormat="1" applyFont="1" applyBorder="1" applyAlignment="1">
      <alignment horizontal="center" wrapText="1"/>
    </xf>
    <xf numFmtId="14" fontId="17" fillId="0" borderId="35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/>
    </xf>
    <xf numFmtId="173" fontId="20" fillId="0" borderId="30" xfId="4" applyNumberFormat="1" applyFont="1" applyFill="1" applyBorder="1" applyAlignment="1"/>
    <xf numFmtId="41" fontId="19" fillId="0" borderId="30" xfId="5" applyFont="1" applyFill="1" applyBorder="1" applyAlignment="1"/>
    <xf numFmtId="41" fontId="20" fillId="0" borderId="30" xfId="5" applyFont="1" applyFill="1" applyBorder="1" applyAlignment="1"/>
    <xf numFmtId="173" fontId="19" fillId="0" borderId="61" xfId="4" applyNumberFormat="1" applyFont="1" applyFill="1" applyBorder="1" applyAlignment="1"/>
    <xf numFmtId="173" fontId="19" fillId="0" borderId="30" xfId="4" applyNumberFormat="1" applyFont="1" applyFill="1" applyBorder="1" applyAlignment="1"/>
    <xf numFmtId="173" fontId="20" fillId="0" borderId="59" xfId="4" applyNumberFormat="1" applyFont="1" applyFill="1" applyBorder="1" applyAlignment="1"/>
    <xf numFmtId="173" fontId="19" fillId="0" borderId="65" xfId="4" applyNumberFormat="1" applyFont="1" applyFill="1" applyBorder="1" applyAlignment="1"/>
    <xf numFmtId="0" fontId="20" fillId="0" borderId="0" xfId="0" applyFont="1" applyBorder="1" applyAlignment="1">
      <alignment horizontal="right"/>
    </xf>
    <xf numFmtId="41" fontId="19" fillId="0" borderId="31" xfId="5" applyFont="1" applyBorder="1" applyAlignment="1">
      <alignment horizontal="right"/>
    </xf>
    <xf numFmtId="41" fontId="19" fillId="0" borderId="64" xfId="5" applyFont="1" applyBorder="1" applyAlignment="1">
      <alignment horizontal="right"/>
    </xf>
    <xf numFmtId="0" fontId="21" fillId="0" borderId="0" xfId="5" applyNumberFormat="1" applyFont="1" applyBorder="1" applyAlignment="1"/>
    <xf numFmtId="0" fontId="7" fillId="0" borderId="14" xfId="0" applyFont="1" applyBorder="1" applyAlignment="1">
      <alignment wrapText="1"/>
    </xf>
    <xf numFmtId="0" fontId="14" fillId="0" borderId="0" xfId="0" applyFont="1" applyBorder="1" applyAlignment="1">
      <alignment wrapText="1"/>
    </xf>
    <xf numFmtId="41" fontId="7" fillId="0" borderId="0" xfId="5" applyFont="1" applyFill="1" applyBorder="1" applyAlignment="1">
      <alignment horizontal="right" wrapText="1"/>
    </xf>
    <xf numFmtId="41" fontId="14" fillId="0" borderId="1" xfId="5" applyFont="1" applyBorder="1" applyAlignment="1">
      <alignment wrapText="1"/>
    </xf>
    <xf numFmtId="41" fontId="14" fillId="0" borderId="0" xfId="5" applyFont="1" applyAlignment="1"/>
    <xf numFmtId="0" fontId="14" fillId="3" borderId="0" xfId="0" applyFont="1" applyFill="1"/>
    <xf numFmtId="0" fontId="18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 indent="5"/>
    </xf>
    <xf numFmtId="0" fontId="16" fillId="3" borderId="0" xfId="3" applyFont="1" applyFill="1" applyAlignment="1">
      <alignment vertical="center"/>
    </xf>
    <xf numFmtId="0" fontId="7" fillId="3" borderId="0" xfId="0" applyFont="1" applyFill="1"/>
    <xf numFmtId="0" fontId="14" fillId="0" borderId="1" xfId="0" applyFont="1" applyBorder="1" applyAlignment="1">
      <alignment horizontal="center"/>
    </xf>
    <xf numFmtId="0" fontId="37" fillId="6" borderId="2" xfId="0" applyFont="1" applyFill="1" applyBorder="1" applyAlignment="1">
      <alignment horizontal="center" vertical="center" wrapText="1"/>
    </xf>
    <xf numFmtId="0" fontId="37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9" fontId="14" fillId="3" borderId="0" xfId="0" applyNumberFormat="1" applyFont="1" applyFill="1" applyAlignment="1">
      <alignment horizontal="left"/>
    </xf>
    <xf numFmtId="41" fontId="14" fillId="0" borderId="0" xfId="5" applyFont="1" applyBorder="1" applyAlignment="1"/>
    <xf numFmtId="41" fontId="7" fillId="0" borderId="0" xfId="5" applyFont="1" applyBorder="1" applyAlignment="1"/>
    <xf numFmtId="173" fontId="24" fillId="0" borderId="1" xfId="4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0" xfId="0" quotePrefix="1" applyFill="1"/>
    <xf numFmtId="0" fontId="0" fillId="0" borderId="0" xfId="0" applyFill="1"/>
    <xf numFmtId="0" fontId="20" fillId="0" borderId="2" xfId="0" applyFont="1" applyBorder="1" applyAlignment="1">
      <alignment vertical="center"/>
    </xf>
    <xf numFmtId="170" fontId="20" fillId="0" borderId="2" xfId="5" applyNumberFormat="1" applyFont="1" applyFill="1" applyBorder="1" applyAlignment="1">
      <alignment horizontal="right" vertical="center"/>
    </xf>
    <xf numFmtId="41" fontId="20" fillId="0" borderId="2" xfId="5" applyFont="1" applyBorder="1" applyAlignment="1">
      <alignment vertical="center"/>
    </xf>
    <xf numFmtId="41" fontId="20" fillId="0" borderId="2" xfId="5" applyFont="1" applyFill="1" applyBorder="1" applyAlignment="1">
      <alignment horizontal="right" vertical="center"/>
    </xf>
    <xf numFmtId="41" fontId="24" fillId="0" borderId="2" xfId="5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41" fontId="20" fillId="0" borderId="0" xfId="5" applyFont="1" applyFill="1" applyBorder="1" applyAlignment="1">
      <alignment horizontal="right" vertical="center"/>
    </xf>
    <xf numFmtId="0" fontId="24" fillId="0" borderId="66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41" fontId="14" fillId="0" borderId="1" xfId="5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28" fillId="0" borderId="5" xfId="0" applyFont="1" applyBorder="1" applyAlignment="1">
      <alignment horizontal="left"/>
    </xf>
    <xf numFmtId="41" fontId="14" fillId="0" borderId="1" xfId="5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5" xfId="3" applyBorder="1"/>
    <xf numFmtId="0" fontId="5" fillId="0" borderId="5" xfId="3" applyBorder="1" applyAlignment="1">
      <alignment horizontal="left"/>
    </xf>
    <xf numFmtId="0" fontId="5" fillId="0" borderId="12" xfId="3" applyBorder="1" applyAlignment="1">
      <alignment horizontal="left"/>
    </xf>
    <xf numFmtId="0" fontId="5" fillId="0" borderId="12" xfId="3" applyBorder="1"/>
    <xf numFmtId="0" fontId="5" fillId="0" borderId="0" xfId="3" applyAlignment="1">
      <alignment horizontal="justify" vertical="center"/>
    </xf>
    <xf numFmtId="0" fontId="5" fillId="0" borderId="0" xfId="3" applyFill="1"/>
    <xf numFmtId="0" fontId="5" fillId="0" borderId="0" xfId="3" applyAlignment="1">
      <alignment horizontal="left" vertical="center" wrapText="1"/>
    </xf>
    <xf numFmtId="173" fontId="20" fillId="0" borderId="0" xfId="4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7" fillId="0" borderId="1" xfId="5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73" fontId="14" fillId="0" borderId="0" xfId="4" applyNumberFormat="1" applyFont="1" applyBorder="1"/>
    <xf numFmtId="0" fontId="24" fillId="0" borderId="0" xfId="0" applyFont="1" applyAlignment="1">
      <alignment horizontal="center" vertical="center" wrapText="1"/>
    </xf>
    <xf numFmtId="0" fontId="14" fillId="0" borderId="0" xfId="0" quotePrefix="1" applyFont="1"/>
    <xf numFmtId="168" fontId="19" fillId="0" borderId="0" xfId="4" applyNumberFormat="1" applyFont="1" applyFill="1"/>
    <xf numFmtId="3" fontId="39" fillId="0" borderId="0" xfId="0" applyNumberFormat="1" applyFont="1"/>
    <xf numFmtId="168" fontId="39" fillId="0" borderId="0" xfId="4" applyNumberFormat="1" applyFont="1" applyFill="1"/>
    <xf numFmtId="0" fontId="39" fillId="0" borderId="0" xfId="0" applyFont="1"/>
    <xf numFmtId="0" fontId="40" fillId="0" borderId="0" xfId="0" applyFont="1"/>
    <xf numFmtId="41" fontId="43" fillId="0" borderId="1" xfId="5" applyFont="1" applyBorder="1" applyAlignment="1">
      <alignment horizontal="right"/>
    </xf>
    <xf numFmtId="41" fontId="44" fillId="0" borderId="1" xfId="5" applyFont="1" applyBorder="1" applyAlignment="1"/>
    <xf numFmtId="41" fontId="44" fillId="0" borderId="1" xfId="5" applyFont="1" applyBorder="1" applyAlignment="1">
      <alignment horizontal="right"/>
    </xf>
    <xf numFmtId="41" fontId="45" fillId="0" borderId="1" xfId="5" applyFont="1" applyBorder="1" applyAlignment="1"/>
    <xf numFmtId="41" fontId="45" fillId="0" borderId="1" xfId="5" applyFont="1" applyBorder="1" applyAlignment="1">
      <alignment horizontal="right"/>
    </xf>
    <xf numFmtId="0" fontId="7" fillId="0" borderId="0" xfId="0" applyFont="1" applyBorder="1"/>
    <xf numFmtId="41" fontId="7" fillId="0" borderId="0" xfId="5" applyFont="1" applyBorder="1" applyAlignment="1">
      <alignment horizontal="center"/>
    </xf>
    <xf numFmtId="41" fontId="14" fillId="0" borderId="0" xfId="5" applyFont="1" applyAlignment="1">
      <alignment horizontal="center"/>
    </xf>
    <xf numFmtId="41" fontId="20" fillId="0" borderId="2" xfId="5" applyFont="1" applyBorder="1"/>
    <xf numFmtId="170" fontId="14" fillId="0" borderId="0" xfId="0" applyNumberFormat="1" applyFont="1" applyAlignment="1">
      <alignment wrapText="1"/>
    </xf>
    <xf numFmtId="41" fontId="7" fillId="0" borderId="1" xfId="5" applyFont="1" applyFill="1" applyBorder="1" applyAlignment="1"/>
    <xf numFmtId="49" fontId="14" fillId="0" borderId="1" xfId="0" applyNumberFormat="1" applyFont="1" applyBorder="1"/>
    <xf numFmtId="170" fontId="7" fillId="0" borderId="1" xfId="5" applyNumberFormat="1" applyFont="1" applyFill="1" applyBorder="1" applyAlignment="1">
      <alignment horizontal="center"/>
    </xf>
    <xf numFmtId="0" fontId="16" fillId="0" borderId="29" xfId="3" applyFont="1" applyBorder="1"/>
    <xf numFmtId="49" fontId="16" fillId="0" borderId="29" xfId="3" applyNumberFormat="1" applyFont="1" applyBorder="1"/>
    <xf numFmtId="41" fontId="34" fillId="0" borderId="0" xfId="5" applyFont="1"/>
    <xf numFmtId="0" fontId="33" fillId="0" borderId="0" xfId="0" applyFont="1" applyAlignment="1"/>
    <xf numFmtId="0" fontId="14" fillId="0" borderId="0" xfId="0" applyFont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1" fontId="14" fillId="0" borderId="7" xfId="5" applyFont="1" applyBorder="1" applyAlignment="1">
      <alignment wrapText="1"/>
    </xf>
    <xf numFmtId="41" fontId="14" fillId="0" borderId="1" xfId="5" applyFont="1" applyBorder="1" applyAlignment="1">
      <alignment horizontal="left" wrapText="1"/>
    </xf>
    <xf numFmtId="41" fontId="14" fillId="0" borderId="7" xfId="5" applyFont="1" applyBorder="1" applyAlignment="1">
      <alignment horizontal="left" vertical="center" wrapText="1"/>
    </xf>
    <xf numFmtId="0" fontId="37" fillId="6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173" fontId="24" fillId="0" borderId="7" xfId="4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0" fillId="0" borderId="0" xfId="0" applyFont="1"/>
    <xf numFmtId="41" fontId="50" fillId="0" borderId="0" xfId="5" applyFont="1"/>
    <xf numFmtId="41" fontId="0" fillId="0" borderId="0" xfId="5" applyFont="1"/>
    <xf numFmtId="0" fontId="48" fillId="7" borderId="0" xfId="26" applyFont="1" applyAlignment="1">
      <alignment horizontal="center"/>
    </xf>
    <xf numFmtId="49" fontId="48" fillId="7" borderId="0" xfId="26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/>
    <xf numFmtId="41" fontId="51" fillId="0" borderId="0" xfId="0" applyNumberFormat="1" applyFont="1"/>
    <xf numFmtId="0" fontId="5" fillId="0" borderId="0" xfId="3" quotePrefix="1" applyFill="1"/>
    <xf numFmtId="41" fontId="2" fillId="0" borderId="0" xfId="5" applyFont="1"/>
    <xf numFmtId="0" fontId="52" fillId="0" borderId="0" xfId="0" applyFont="1"/>
    <xf numFmtId="0" fontId="53" fillId="0" borderId="0" xfId="0" applyFont="1"/>
    <xf numFmtId="0" fontId="54" fillId="0" borderId="0" xfId="3" quotePrefix="1" applyFont="1"/>
    <xf numFmtId="41" fontId="53" fillId="0" borderId="0" xfId="5" applyFont="1"/>
    <xf numFmtId="49" fontId="50" fillId="0" borderId="0" xfId="5" applyNumberFormat="1" applyFont="1" applyAlignment="1">
      <alignment horizontal="center"/>
    </xf>
    <xf numFmtId="10" fontId="0" fillId="0" borderId="0" xfId="25" applyNumberFormat="1" applyFont="1" applyAlignment="1">
      <alignment horizontal="center"/>
    </xf>
    <xf numFmtId="175" fontId="0" fillId="0" borderId="0" xfId="5" applyNumberFormat="1" applyFont="1"/>
    <xf numFmtId="10" fontId="3" fillId="7" borderId="0" xfId="25" applyNumberFormat="1" applyFont="1" applyFill="1"/>
    <xf numFmtId="0" fontId="55" fillId="0" borderId="0" xfId="0" applyFont="1"/>
    <xf numFmtId="14" fontId="3" fillId="7" borderId="0" xfId="26" applyNumberFormat="1" applyAlignment="1">
      <alignment horizontal="center"/>
    </xf>
    <xf numFmtId="0" fontId="3" fillId="7" borderId="0" xfId="26" applyAlignment="1">
      <alignment horizontal="center"/>
    </xf>
    <xf numFmtId="173" fontId="23" fillId="0" borderId="12" xfId="4" quotePrefix="1" applyNumberFormat="1" applyFont="1" applyFill="1" applyBorder="1" applyAlignment="1">
      <alignment horizontal="right"/>
    </xf>
    <xf numFmtId="0" fontId="0" fillId="0" borderId="0" xfId="0" applyFont="1"/>
    <xf numFmtId="41" fontId="52" fillId="0" borderId="0" xfId="5" applyFont="1"/>
    <xf numFmtId="0" fontId="3" fillId="7" borderId="0" xfId="26" applyFont="1"/>
    <xf numFmtId="41" fontId="3" fillId="7" borderId="0" xfId="26" applyNumberFormat="1" applyFont="1"/>
    <xf numFmtId="10" fontId="50" fillId="0" borderId="0" xfId="25" applyNumberFormat="1" applyFont="1" applyAlignment="1">
      <alignment horizontal="center"/>
    </xf>
    <xf numFmtId="49" fontId="57" fillId="0" borderId="29" xfId="0" applyNumberFormat="1" applyFont="1" applyBorder="1"/>
    <xf numFmtId="3" fontId="58" fillId="0" borderId="0" xfId="0" applyNumberFormat="1" applyFont="1" applyBorder="1"/>
    <xf numFmtId="173" fontId="57" fillId="0" borderId="0" xfId="4" applyNumberFormat="1" applyFont="1" applyFill="1" applyBorder="1" applyAlignment="1">
      <alignment horizontal="right"/>
    </xf>
    <xf numFmtId="3" fontId="57" fillId="0" borderId="0" xfId="0" applyNumberFormat="1" applyFont="1" applyBorder="1"/>
    <xf numFmtId="0" fontId="2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173" fontId="25" fillId="0" borderId="1" xfId="4" applyNumberFormat="1" applyFont="1" applyBorder="1" applyAlignment="1">
      <alignment horizontal="right" vertical="center"/>
    </xf>
    <xf numFmtId="173" fontId="20" fillId="0" borderId="54" xfId="4" applyNumberFormat="1" applyFont="1" applyFill="1" applyBorder="1" applyAlignment="1">
      <alignment vertical="center"/>
    </xf>
    <xf numFmtId="173" fontId="20" fillId="0" borderId="31" xfId="4" applyNumberFormat="1" applyFont="1" applyFill="1" applyBorder="1" applyAlignment="1">
      <alignment vertical="center"/>
    </xf>
    <xf numFmtId="173" fontId="24" fillId="0" borderId="9" xfId="4" applyNumberFormat="1" applyFont="1" applyFill="1" applyBorder="1" applyAlignment="1">
      <alignment horizontal="right" vertical="center"/>
    </xf>
    <xf numFmtId="173" fontId="24" fillId="0" borderId="8" xfId="4" applyNumberFormat="1" applyFont="1" applyFill="1" applyBorder="1" applyAlignment="1">
      <alignment horizontal="right" vertical="center"/>
    </xf>
    <xf numFmtId="173" fontId="25" fillId="0" borderId="6" xfId="4" applyNumberFormat="1" applyFont="1" applyBorder="1" applyAlignment="1">
      <alignment vertical="center"/>
    </xf>
    <xf numFmtId="41" fontId="19" fillId="0" borderId="2" xfId="5" applyFont="1" applyBorder="1" applyAlignment="1">
      <alignment vertical="center"/>
    </xf>
    <xf numFmtId="41" fontId="20" fillId="0" borderId="54" xfId="5" applyFont="1" applyBorder="1" applyAlignment="1">
      <alignment vertical="center"/>
    </xf>
    <xf numFmtId="41" fontId="20" fillId="0" borderId="31" xfId="5" applyFont="1" applyFill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173" fontId="24" fillId="0" borderId="0" xfId="4" applyNumberFormat="1" applyFont="1" applyBorder="1" applyAlignment="1">
      <alignment horizontal="center" vertical="center"/>
    </xf>
    <xf numFmtId="41" fontId="19" fillId="0" borderId="2" xfId="5" applyFont="1" applyFill="1" applyBorder="1" applyAlignment="1">
      <alignment horizontal="right" vertical="center"/>
    </xf>
    <xf numFmtId="171" fontId="7" fillId="0" borderId="1" xfId="5" applyNumberFormat="1" applyFont="1" applyBorder="1" applyAlignment="1">
      <alignment horizontal="center"/>
    </xf>
    <xf numFmtId="171" fontId="7" fillId="0" borderId="1" xfId="0" applyNumberFormat="1" applyFont="1" applyBorder="1" applyAlignment="1">
      <alignment horizontal="center"/>
    </xf>
    <xf numFmtId="41" fontId="14" fillId="3" borderId="2" xfId="0" applyNumberFormat="1" applyFont="1" applyFill="1" applyBorder="1"/>
    <xf numFmtId="10" fontId="14" fillId="0" borderId="1" xfId="0" applyNumberFormat="1" applyFont="1" applyBorder="1" applyAlignment="1">
      <alignment horizontal="center" vertical="center"/>
    </xf>
    <xf numFmtId="41" fontId="14" fillId="0" borderId="1" xfId="5" applyFont="1" applyBorder="1" applyAlignment="1">
      <alignment horizontal="right" vertical="center" wrapText="1"/>
    </xf>
    <xf numFmtId="49" fontId="59" fillId="0" borderId="1" xfId="0" applyNumberFormat="1" applyFont="1" applyBorder="1"/>
    <xf numFmtId="41" fontId="59" fillId="0" borderId="1" xfId="5" applyFont="1" applyFill="1" applyBorder="1" applyAlignment="1">
      <alignment horizontal="center"/>
    </xf>
    <xf numFmtId="41" fontId="20" fillId="0" borderId="1" xfId="5" applyFont="1" applyBorder="1"/>
    <xf numFmtId="41" fontId="20" fillId="0" borderId="31" xfId="5" applyFont="1" applyBorder="1"/>
    <xf numFmtId="41" fontId="19" fillId="0" borderId="2" xfId="5" applyFont="1" applyBorder="1"/>
    <xf numFmtId="0" fontId="60" fillId="0" borderId="0" xfId="0" applyFont="1"/>
    <xf numFmtId="41" fontId="8" fillId="0" borderId="0" xfId="5" applyFont="1" applyFill="1" applyBorder="1"/>
    <xf numFmtId="3" fontId="10" fillId="0" borderId="0" xfId="4" applyNumberFormat="1" applyFont="1" applyFill="1" applyBorder="1" applyAlignment="1">
      <alignment horizontal="center"/>
    </xf>
    <xf numFmtId="41" fontId="0" fillId="0" borderId="0" xfId="0" applyNumberFormat="1" applyFont="1"/>
    <xf numFmtId="0" fontId="5" fillId="0" borderId="0" xfId="3" quotePrefix="1" applyFont="1"/>
    <xf numFmtId="0" fontId="5" fillId="0" borderId="0" xfId="3" quotePrefix="1" applyFont="1" applyFill="1"/>
    <xf numFmtId="0" fontId="0" fillId="0" borderId="0" xfId="0" quotePrefix="1" applyFont="1"/>
    <xf numFmtId="0" fontId="5" fillId="0" borderId="0" xfId="3" applyFont="1"/>
    <xf numFmtId="41" fontId="50" fillId="0" borderId="0" xfId="0" applyNumberFormat="1" applyFont="1"/>
    <xf numFmtId="0" fontId="62" fillId="0" borderId="0" xfId="27" applyAlignment="1">
      <alignment wrapText="1"/>
    </xf>
    <xf numFmtId="49" fontId="33" fillId="0" borderId="29" xfId="0" applyNumberFormat="1" applyFont="1" applyBorder="1"/>
    <xf numFmtId="3" fontId="33" fillId="0" borderId="0" xfId="0" applyNumberFormat="1" applyFont="1" applyBorder="1"/>
    <xf numFmtId="173" fontId="33" fillId="0" borderId="0" xfId="4" applyNumberFormat="1" applyFont="1" applyFill="1" applyBorder="1" applyAlignment="1">
      <alignment horizontal="right"/>
    </xf>
    <xf numFmtId="41" fontId="26" fillId="0" borderId="0" xfId="0" applyNumberFormat="1" applyFont="1"/>
    <xf numFmtId="176" fontId="63" fillId="0" borderId="0" xfId="13" applyNumberFormat="1" applyFont="1"/>
    <xf numFmtId="176" fontId="1" fillId="0" borderId="0" xfId="13" applyNumberFormat="1"/>
    <xf numFmtId="0" fontId="1" fillId="0" borderId="0" xfId="13"/>
    <xf numFmtId="176" fontId="64" fillId="0" borderId="69" xfId="13" applyNumberFormat="1" applyFont="1" applyBorder="1"/>
    <xf numFmtId="176" fontId="64" fillId="0" borderId="70" xfId="13" applyNumberFormat="1" applyFont="1" applyBorder="1"/>
    <xf numFmtId="176" fontId="64" fillId="0" borderId="69" xfId="13" applyNumberFormat="1" applyFont="1" applyBorder="1" applyAlignment="1">
      <alignment horizontal="centerContinuous"/>
    </xf>
    <xf numFmtId="176" fontId="64" fillId="0" borderId="71" xfId="13" applyNumberFormat="1" applyFont="1" applyBorder="1" applyAlignment="1">
      <alignment horizontal="centerContinuous"/>
    </xf>
    <xf numFmtId="176" fontId="64" fillId="0" borderId="68" xfId="13" applyNumberFormat="1" applyFont="1" applyBorder="1"/>
    <xf numFmtId="176" fontId="65" fillId="0" borderId="70" xfId="13" applyNumberFormat="1" applyFont="1" applyBorder="1" applyAlignment="1">
      <alignment horizontal="center"/>
    </xf>
    <xf numFmtId="176" fontId="64" fillId="0" borderId="71" xfId="13" applyNumberFormat="1" applyFont="1" applyBorder="1"/>
    <xf numFmtId="176" fontId="64" fillId="0" borderId="29" xfId="13" applyNumberFormat="1" applyFont="1" applyBorder="1" applyAlignment="1">
      <alignment horizontal="center"/>
    </xf>
    <xf numFmtId="176" fontId="65" fillId="0" borderId="72" xfId="13" applyNumberFormat="1" applyFont="1" applyBorder="1" applyAlignment="1">
      <alignment horizontal="center"/>
    </xf>
    <xf numFmtId="176" fontId="65" fillId="0" borderId="73" xfId="13" applyNumberFormat="1" applyFont="1" applyBorder="1" applyAlignment="1">
      <alignment horizontal="centerContinuous"/>
    </xf>
    <xf numFmtId="176" fontId="64" fillId="0" borderId="74" xfId="13" applyNumberFormat="1" applyFont="1" applyBorder="1" applyAlignment="1">
      <alignment horizontal="centerContinuous"/>
    </xf>
    <xf numFmtId="176" fontId="64" fillId="0" borderId="29" xfId="13" applyNumberFormat="1" applyFont="1" applyBorder="1" applyAlignment="1">
      <alignment horizontal="centerContinuous"/>
    </xf>
    <xf numFmtId="176" fontId="64" fillId="0" borderId="0" xfId="13" applyNumberFormat="1" applyFont="1" applyAlignment="1">
      <alignment horizontal="centerContinuous"/>
    </xf>
    <xf numFmtId="176" fontId="36" fillId="0" borderId="72" xfId="13" applyNumberFormat="1" applyFont="1" applyBorder="1" applyAlignment="1">
      <alignment horizontal="center"/>
    </xf>
    <xf numFmtId="176" fontId="64" fillId="0" borderId="30" xfId="13" applyNumberFormat="1" applyFont="1" applyBorder="1" applyAlignment="1">
      <alignment horizontal="center"/>
    </xf>
    <xf numFmtId="176" fontId="64" fillId="0" borderId="29" xfId="13" applyNumberFormat="1" applyFont="1" applyBorder="1"/>
    <xf numFmtId="176" fontId="65" fillId="0" borderId="71" xfId="13" applyNumberFormat="1" applyFont="1" applyBorder="1" applyAlignment="1">
      <alignment horizontal="center"/>
    </xf>
    <xf numFmtId="176" fontId="65" fillId="0" borderId="69" xfId="13" applyNumberFormat="1" applyFont="1" applyBorder="1" applyAlignment="1">
      <alignment horizontal="center"/>
    </xf>
    <xf numFmtId="176" fontId="36" fillId="0" borderId="70" xfId="13" applyNumberFormat="1" applyFont="1" applyBorder="1" applyAlignment="1">
      <alignment horizontal="center"/>
    </xf>
    <xf numFmtId="176" fontId="36" fillId="0" borderId="71" xfId="13" applyNumberFormat="1" applyFont="1" applyBorder="1" applyAlignment="1">
      <alignment horizontal="center"/>
    </xf>
    <xf numFmtId="176" fontId="66" fillId="0" borderId="71" xfId="13" applyNumberFormat="1" applyFont="1" applyBorder="1" applyAlignment="1">
      <alignment horizontal="center"/>
    </xf>
    <xf numFmtId="176" fontId="64" fillId="0" borderId="73" xfId="13" applyNumberFormat="1" applyFont="1" applyBorder="1" applyAlignment="1">
      <alignment horizontal="center"/>
    </xf>
    <xf numFmtId="176" fontId="67" fillId="0" borderId="75" xfId="13" applyNumberFormat="1" applyFont="1" applyBorder="1" applyAlignment="1">
      <alignment horizontal="center"/>
    </xf>
    <xf numFmtId="176" fontId="65" fillId="0" borderId="75" xfId="13" applyNumberFormat="1" applyFont="1" applyBorder="1" applyAlignment="1">
      <alignment horizontal="center"/>
    </xf>
    <xf numFmtId="176" fontId="65" fillId="0" borderId="74" xfId="13" applyNumberFormat="1" applyFont="1" applyBorder="1" applyAlignment="1">
      <alignment horizontal="center"/>
    </xf>
    <xf numFmtId="176" fontId="65" fillId="0" borderId="73" xfId="13" applyNumberFormat="1" applyFont="1" applyBorder="1" applyAlignment="1">
      <alignment horizontal="center"/>
    </xf>
    <xf numFmtId="176" fontId="36" fillId="0" borderId="75" xfId="13" applyNumberFormat="1" applyFont="1" applyBorder="1" applyAlignment="1">
      <alignment horizontal="center"/>
    </xf>
    <xf numFmtId="176" fontId="36" fillId="0" borderId="74" xfId="13" applyNumberFormat="1" applyFont="1" applyBorder="1" applyAlignment="1">
      <alignment horizontal="center"/>
    </xf>
    <xf numFmtId="176" fontId="68" fillId="0" borderId="74" xfId="13" applyNumberFormat="1" applyFont="1" applyBorder="1" applyAlignment="1">
      <alignment horizontal="center"/>
    </xf>
    <xf numFmtId="176" fontId="64" fillId="0" borderId="74" xfId="13" applyNumberFormat="1" applyFont="1" applyBorder="1"/>
    <xf numFmtId="176" fontId="69" fillId="0" borderId="76" xfId="13" applyNumberFormat="1" applyFont="1" applyBorder="1"/>
    <xf numFmtId="176" fontId="1" fillId="0" borderId="77" xfId="13" applyNumberFormat="1" applyBorder="1"/>
    <xf numFmtId="176" fontId="1" fillId="0" borderId="77" xfId="13" applyNumberFormat="1" applyBorder="1" applyAlignment="1">
      <alignment horizontal="center"/>
    </xf>
    <xf numFmtId="176" fontId="1" fillId="0" borderId="78" xfId="13" applyNumberFormat="1" applyBorder="1"/>
    <xf numFmtId="176" fontId="70" fillId="0" borderId="79" xfId="13" applyNumberFormat="1" applyFont="1" applyBorder="1"/>
    <xf numFmtId="176" fontId="70" fillId="0" borderId="2" xfId="13" applyNumberFormat="1" applyFont="1" applyBorder="1"/>
    <xf numFmtId="176" fontId="70" fillId="0" borderId="2" xfId="13" applyNumberFormat="1" applyFont="1" applyBorder="1" applyAlignment="1">
      <alignment horizontal="center"/>
    </xf>
    <xf numFmtId="176" fontId="70" fillId="0" borderId="80" xfId="13" applyNumberFormat="1" applyFont="1" applyBorder="1"/>
    <xf numFmtId="170" fontId="71" fillId="0" borderId="0" xfId="10" applyNumberFormat="1" applyFont="1"/>
    <xf numFmtId="176" fontId="70" fillId="8" borderId="79" xfId="13" applyNumberFormat="1" applyFont="1" applyFill="1" applyBorder="1"/>
    <xf numFmtId="176" fontId="70" fillId="8" borderId="2" xfId="13" applyNumberFormat="1" applyFont="1" applyFill="1" applyBorder="1"/>
    <xf numFmtId="176" fontId="70" fillId="8" borderId="2" xfId="13" applyNumberFormat="1" applyFont="1" applyFill="1" applyBorder="1" applyAlignment="1">
      <alignment horizontal="center"/>
    </xf>
    <xf numFmtId="176" fontId="1" fillId="0" borderId="81" xfId="13" applyNumberFormat="1" applyBorder="1"/>
    <xf numFmtId="176" fontId="1" fillId="0" borderId="1" xfId="13" applyNumberFormat="1" applyBorder="1"/>
    <xf numFmtId="176" fontId="1" fillId="0" borderId="1" xfId="13" applyNumberFormat="1" applyBorder="1" applyAlignment="1">
      <alignment horizontal="center"/>
    </xf>
    <xf numFmtId="176" fontId="1" fillId="0" borderId="80" xfId="13" applyNumberFormat="1" applyBorder="1"/>
    <xf numFmtId="176" fontId="70" fillId="0" borderId="81" xfId="13" applyNumberFormat="1" applyFont="1" applyBorder="1"/>
    <xf numFmtId="176" fontId="70" fillId="0" borderId="1" xfId="13" applyNumberFormat="1" applyFont="1" applyBorder="1"/>
    <xf numFmtId="176" fontId="1" fillId="9" borderId="1" xfId="13" applyNumberFormat="1" applyFill="1" applyBorder="1"/>
    <xf numFmtId="176" fontId="1" fillId="9" borderId="80" xfId="13" applyNumberFormat="1" applyFill="1" applyBorder="1"/>
    <xf numFmtId="176" fontId="72" fillId="0" borderId="1" xfId="13" applyNumberFormat="1" applyFont="1" applyBorder="1"/>
    <xf numFmtId="176" fontId="70" fillId="10" borderId="81" xfId="13" applyNumberFormat="1" applyFont="1" applyFill="1" applyBorder="1"/>
    <xf numFmtId="176" fontId="70" fillId="10" borderId="1" xfId="13" applyNumberFormat="1" applyFont="1" applyFill="1" applyBorder="1"/>
    <xf numFmtId="176" fontId="72" fillId="10" borderId="1" xfId="13" applyNumberFormat="1" applyFont="1" applyFill="1" applyBorder="1"/>
    <xf numFmtId="176" fontId="70" fillId="10" borderId="2" xfId="13" applyNumberFormat="1" applyFont="1" applyFill="1" applyBorder="1"/>
    <xf numFmtId="176" fontId="70" fillId="8" borderId="81" xfId="13" applyNumberFormat="1" applyFont="1" applyFill="1" applyBorder="1"/>
    <xf numFmtId="41" fontId="49" fillId="0" borderId="82" xfId="0" applyNumberFormat="1" applyFont="1" applyBorder="1" applyAlignment="1">
      <alignment wrapText="1"/>
    </xf>
    <xf numFmtId="176" fontId="73" fillId="0" borderId="1" xfId="13" applyNumberFormat="1" applyFont="1" applyBorder="1"/>
    <xf numFmtId="176" fontId="73" fillId="0" borderId="80" xfId="13" applyNumberFormat="1" applyFont="1" applyBorder="1"/>
    <xf numFmtId="3" fontId="1" fillId="0" borderId="0" xfId="13" applyNumberFormat="1"/>
    <xf numFmtId="0" fontId="1" fillId="11" borderId="0" xfId="13" applyFill="1"/>
    <xf numFmtId="176" fontId="70" fillId="8" borderId="7" xfId="13" applyNumberFormat="1" applyFont="1" applyFill="1" applyBorder="1"/>
    <xf numFmtId="176" fontId="1" fillId="8" borderId="1" xfId="13" applyNumberFormat="1" applyFill="1" applyBorder="1"/>
    <xf numFmtId="176" fontId="70" fillId="8" borderId="1" xfId="13" applyNumberFormat="1" applyFont="1" applyFill="1" applyBorder="1"/>
    <xf numFmtId="176" fontId="73" fillId="9" borderId="1" xfId="13" applyNumberFormat="1" applyFont="1" applyFill="1" applyBorder="1"/>
    <xf numFmtId="176" fontId="73" fillId="9" borderId="80" xfId="13" applyNumberFormat="1" applyFont="1" applyFill="1" applyBorder="1"/>
    <xf numFmtId="176" fontId="74" fillId="0" borderId="81" xfId="13" applyNumberFormat="1" applyFont="1" applyBorder="1" applyAlignment="1">
      <alignment horizontal="center"/>
    </xf>
    <xf numFmtId="176" fontId="64" fillId="0" borderId="83" xfId="13" applyNumberFormat="1" applyFont="1" applyBorder="1"/>
    <xf numFmtId="176" fontId="69" fillId="0" borderId="81" xfId="13" applyNumberFormat="1" applyFont="1" applyBorder="1"/>
    <xf numFmtId="3" fontId="75" fillId="0" borderId="0" xfId="13" applyNumberFormat="1" applyFont="1"/>
    <xf numFmtId="176" fontId="75" fillId="0" borderId="1" xfId="13" applyNumberFormat="1" applyFont="1" applyBorder="1"/>
    <xf numFmtId="176" fontId="75" fillId="0" borderId="2" xfId="13" applyNumberFormat="1" applyFont="1" applyBorder="1"/>
    <xf numFmtId="176" fontId="1" fillId="0" borderId="7" xfId="13" applyNumberFormat="1" applyBorder="1"/>
    <xf numFmtId="176" fontId="76" fillId="0" borderId="1" xfId="13" applyNumberFormat="1" applyFont="1" applyBorder="1"/>
    <xf numFmtId="176" fontId="1" fillId="10" borderId="81" xfId="13" applyNumberFormat="1" applyFill="1" applyBorder="1"/>
    <xf numFmtId="176" fontId="1" fillId="10" borderId="1" xfId="13" applyNumberFormat="1" applyFill="1" applyBorder="1"/>
    <xf numFmtId="176" fontId="76" fillId="10" borderId="1" xfId="13" applyNumberFormat="1" applyFont="1" applyFill="1" applyBorder="1"/>
    <xf numFmtId="176" fontId="70" fillId="10" borderId="7" xfId="13" applyNumberFormat="1" applyFont="1" applyFill="1" applyBorder="1"/>
    <xf numFmtId="0" fontId="1" fillId="9" borderId="0" xfId="13" applyFill="1"/>
    <xf numFmtId="176" fontId="70" fillId="10" borderId="84" xfId="13" applyNumberFormat="1" applyFont="1" applyFill="1" applyBorder="1"/>
    <xf numFmtId="176" fontId="75" fillId="10" borderId="1" xfId="13" applyNumberFormat="1" applyFont="1" applyFill="1" applyBorder="1"/>
    <xf numFmtId="176" fontId="69" fillId="0" borderId="81" xfId="13" applyNumberFormat="1" applyFont="1" applyBorder="1" applyAlignment="1">
      <alignment horizontal="center"/>
    </xf>
    <xf numFmtId="176" fontId="64" fillId="0" borderId="7" xfId="13" applyNumberFormat="1" applyFont="1" applyBorder="1"/>
    <xf numFmtId="176" fontId="77" fillId="0" borderId="1" xfId="13" applyNumberFormat="1" applyFont="1" applyBorder="1"/>
    <xf numFmtId="176" fontId="1" fillId="8" borderId="81" xfId="13" applyNumberFormat="1" applyFill="1" applyBorder="1"/>
    <xf numFmtId="176" fontId="1" fillId="8" borderId="7" xfId="13" applyNumberFormat="1" applyFill="1" applyBorder="1"/>
    <xf numFmtId="176" fontId="77" fillId="8" borderId="1" xfId="13" applyNumberFormat="1" applyFont="1" applyFill="1" applyBorder="1"/>
    <xf numFmtId="176" fontId="76" fillId="8" borderId="81" xfId="13" applyNumberFormat="1" applyFont="1" applyFill="1" applyBorder="1"/>
    <xf numFmtId="176" fontId="76" fillId="8" borderId="7" xfId="13" applyNumberFormat="1" applyFont="1" applyFill="1" applyBorder="1"/>
    <xf numFmtId="176" fontId="78" fillId="8" borderId="81" xfId="13" applyNumberFormat="1" applyFont="1" applyFill="1" applyBorder="1"/>
    <xf numFmtId="176" fontId="1" fillId="0" borderId="5" xfId="13" applyNumberFormat="1" applyBorder="1"/>
    <xf numFmtId="176" fontId="76" fillId="8" borderId="85" xfId="13" applyNumberFormat="1" applyFont="1" applyFill="1" applyBorder="1"/>
    <xf numFmtId="176" fontId="76" fillId="8" borderId="1" xfId="13" applyNumberFormat="1" applyFont="1" applyFill="1" applyBorder="1"/>
    <xf numFmtId="176" fontId="75" fillId="8" borderId="1" xfId="13" applyNumberFormat="1" applyFont="1" applyFill="1" applyBorder="1"/>
    <xf numFmtId="176" fontId="79" fillId="8" borderId="1" xfId="13" applyNumberFormat="1" applyFont="1" applyFill="1" applyBorder="1"/>
    <xf numFmtId="176" fontId="70" fillId="9" borderId="2" xfId="13" applyNumberFormat="1" applyFont="1" applyFill="1" applyBorder="1"/>
    <xf numFmtId="176" fontId="74" fillId="8" borderId="81" xfId="13" applyNumberFormat="1" applyFont="1" applyFill="1" applyBorder="1" applyAlignment="1">
      <alignment horizontal="centerContinuous"/>
    </xf>
    <xf numFmtId="176" fontId="64" fillId="8" borderId="1" xfId="13" applyNumberFormat="1" applyFont="1" applyFill="1" applyBorder="1"/>
    <xf numFmtId="176" fontId="70" fillId="0" borderId="40" xfId="13" applyNumberFormat="1" applyFont="1" applyBorder="1" applyAlignment="1">
      <alignment horizontal="left"/>
    </xf>
    <xf numFmtId="176" fontId="70" fillId="0" borderId="5" xfId="13" applyNumberFormat="1" applyFont="1" applyBorder="1"/>
    <xf numFmtId="176" fontId="1" fillId="0" borderId="86" xfId="13" applyNumberFormat="1" applyBorder="1"/>
    <xf numFmtId="176" fontId="1" fillId="0" borderId="87" xfId="13" applyNumberFormat="1" applyBorder="1"/>
    <xf numFmtId="176" fontId="80" fillId="9" borderId="86" xfId="13" applyNumberFormat="1" applyFont="1" applyFill="1" applyBorder="1"/>
    <xf numFmtId="176" fontId="70" fillId="0" borderId="86" xfId="13" applyNumberFormat="1" applyFont="1" applyBorder="1"/>
    <xf numFmtId="41" fontId="1" fillId="0" borderId="0" xfId="13" applyNumberFormat="1"/>
    <xf numFmtId="176" fontId="64" fillId="0" borderId="0" xfId="13" applyNumberFormat="1" applyFont="1"/>
    <xf numFmtId="176" fontId="81" fillId="9" borderId="0" xfId="13" applyNumberFormat="1" applyFont="1" applyFill="1" applyAlignment="1">
      <alignment horizontal="center"/>
    </xf>
    <xf numFmtId="0" fontId="82" fillId="0" borderId="0" xfId="13" applyFont="1" applyAlignment="1">
      <alignment horizontal="right"/>
    </xf>
    <xf numFmtId="0" fontId="83" fillId="9" borderId="0" xfId="13" applyFont="1" applyFill="1"/>
    <xf numFmtId="0" fontId="84" fillId="9" borderId="0" xfId="13" applyFont="1" applyFill="1" applyAlignment="1">
      <alignment horizontal="right"/>
    </xf>
    <xf numFmtId="0" fontId="85" fillId="9" borderId="0" xfId="13" applyFont="1" applyFill="1"/>
    <xf numFmtId="0" fontId="84" fillId="0" borderId="0" xfId="13" applyFont="1" applyAlignment="1">
      <alignment horizontal="right"/>
    </xf>
    <xf numFmtId="0" fontId="85" fillId="0" borderId="0" xfId="13" applyFont="1"/>
    <xf numFmtId="0" fontId="84" fillId="0" borderId="0" xfId="13" applyFont="1"/>
    <xf numFmtId="3" fontId="84" fillId="0" borderId="0" xfId="13" applyNumberFormat="1" applyFont="1"/>
    <xf numFmtId="3" fontId="84" fillId="0" borderId="0" xfId="13" applyNumberFormat="1" applyFont="1" applyAlignment="1">
      <alignment horizontal="right"/>
    </xf>
    <xf numFmtId="0" fontId="86" fillId="0" borderId="0" xfId="13" applyFont="1"/>
    <xf numFmtId="3" fontId="86" fillId="9" borderId="0" xfId="13" applyNumberFormat="1" applyFont="1" applyFill="1" applyAlignment="1">
      <alignment horizontal="right"/>
    </xf>
    <xf numFmtId="176" fontId="85" fillId="0" borderId="0" xfId="13" applyNumberFormat="1" applyFont="1"/>
    <xf numFmtId="3" fontId="87" fillId="0" borderId="0" xfId="13" applyNumberFormat="1" applyFont="1" applyAlignment="1">
      <alignment horizontal="center"/>
    </xf>
    <xf numFmtId="3" fontId="86" fillId="0" borderId="0" xfId="13" applyNumberFormat="1" applyFont="1" applyAlignment="1">
      <alignment horizontal="right"/>
    </xf>
    <xf numFmtId="3" fontId="85" fillId="0" borderId="0" xfId="13" applyNumberFormat="1" applyFont="1"/>
    <xf numFmtId="0" fontId="14" fillId="0" borderId="0" xfId="0" applyFont="1" applyFill="1"/>
    <xf numFmtId="0" fontId="40" fillId="0" borderId="0" xfId="0" applyFont="1" applyAlignment="1">
      <alignment horizontal="justify" vertical="center"/>
    </xf>
    <xf numFmtId="14" fontId="8" fillId="0" borderId="0" xfId="0" applyNumberFormat="1" applyFont="1"/>
    <xf numFmtId="41" fontId="14" fillId="0" borderId="0" xfId="5" applyFont="1" applyBorder="1" applyAlignment="1">
      <alignment horizontal="right"/>
    </xf>
    <xf numFmtId="0" fontId="38" fillId="12" borderId="1" xfId="0" applyFont="1" applyFill="1" applyBorder="1" applyAlignment="1">
      <alignment vertical="center"/>
    </xf>
    <xf numFmtId="0" fontId="24" fillId="12" borderId="1" xfId="0" applyFont="1" applyFill="1" applyBorder="1" applyAlignment="1">
      <alignment horizontal="center" vertical="center"/>
    </xf>
    <xf numFmtId="173" fontId="24" fillId="12" borderId="1" xfId="4" applyNumberFormat="1" applyFont="1" applyFill="1" applyBorder="1" applyAlignment="1">
      <alignment horizontal="center" vertical="center"/>
    </xf>
    <xf numFmtId="41" fontId="20" fillId="0" borderId="4" xfId="5" applyFont="1" applyBorder="1" applyAlignment="1">
      <alignment vertical="center"/>
    </xf>
    <xf numFmtId="41" fontId="20" fillId="0" borderId="3" xfId="5" applyFont="1" applyBorder="1"/>
    <xf numFmtId="41" fontId="20" fillId="0" borderId="3" xfId="5" applyFont="1" applyFill="1" applyBorder="1" applyAlignment="1">
      <alignment horizontal="righ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41" fontId="20" fillId="0" borderId="13" xfId="5" applyFont="1" applyFill="1" applyBorder="1" applyAlignment="1">
      <alignment horizontal="right" vertical="center"/>
    </xf>
    <xf numFmtId="41" fontId="20" fillId="0" borderId="11" xfId="5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Fill="1"/>
    <xf numFmtId="0" fontId="7" fillId="0" borderId="31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1" fontId="14" fillId="0" borderId="0" xfId="0" applyNumberFormat="1" applyFont="1" applyFill="1"/>
    <xf numFmtId="0" fontId="7" fillId="0" borderId="28" xfId="0" applyFont="1" applyBorder="1" applyAlignment="1">
      <alignment wrapText="1"/>
    </xf>
    <xf numFmtId="0" fontId="92" fillId="0" borderId="1" xfId="0" applyFont="1" applyBorder="1"/>
    <xf numFmtId="41" fontId="92" fillId="0" borderId="1" xfId="5" applyFont="1" applyBorder="1" applyAlignment="1"/>
    <xf numFmtId="14" fontId="7" fillId="0" borderId="1" xfId="0" applyNumberFormat="1" applyFont="1" applyBorder="1" applyAlignment="1">
      <alignment horizontal="center" wrapText="1"/>
    </xf>
    <xf numFmtId="41" fontId="37" fillId="0" borderId="0" xfId="5" applyFont="1"/>
    <xf numFmtId="173" fontId="37" fillId="0" borderId="0" xfId="0" applyNumberFormat="1" applyFont="1"/>
    <xf numFmtId="0" fontId="37" fillId="0" borderId="0" xfId="0" applyFont="1"/>
    <xf numFmtId="173" fontId="37" fillId="0" borderId="0" xfId="4" applyNumberFormat="1" applyFont="1"/>
    <xf numFmtId="173" fontId="37" fillId="0" borderId="0" xfId="4" applyNumberFormat="1" applyFont="1" applyFill="1" applyBorder="1"/>
    <xf numFmtId="0" fontId="7" fillId="0" borderId="69" xfId="0" applyFont="1" applyBorder="1"/>
    <xf numFmtId="41" fontId="7" fillId="0" borderId="71" xfId="5" applyFont="1" applyFill="1" applyBorder="1" applyAlignment="1">
      <alignment horizontal="right"/>
    </xf>
    <xf numFmtId="0" fontId="7" fillId="0" borderId="73" xfId="0" applyFont="1" applyBorder="1"/>
    <xf numFmtId="41" fontId="7" fillId="0" borderId="74" xfId="5" applyFont="1" applyFill="1" applyBorder="1" applyAlignment="1">
      <alignment horizontal="right"/>
    </xf>
    <xf numFmtId="0" fontId="5" fillId="0" borderId="0" xfId="3" quotePrefix="1"/>
    <xf numFmtId="0" fontId="0" fillId="0" borderId="0" xfId="0" applyFont="1" applyAlignment="1">
      <alignment horizontal="center"/>
    </xf>
    <xf numFmtId="14" fontId="61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54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3" borderId="0" xfId="0" applyFont="1" applyFill="1" applyAlignment="1">
      <alignment horizontal="center"/>
    </xf>
    <xf numFmtId="0" fontId="37" fillId="6" borderId="54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14" fillId="0" borderId="4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3" fontId="24" fillId="0" borderId="7" xfId="4" applyNumberFormat="1" applyFont="1" applyBorder="1" applyAlignment="1">
      <alignment horizontal="center" vertical="center"/>
    </xf>
    <xf numFmtId="173" fontId="24" fillId="0" borderId="5" xfId="4" applyNumberFormat="1" applyFont="1" applyBorder="1" applyAlignment="1">
      <alignment horizontal="center" vertical="center"/>
    </xf>
    <xf numFmtId="173" fontId="24" fillId="0" borderId="2" xfId="4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41" fontId="7" fillId="0" borderId="1" xfId="5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54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quotePrefix="1" applyFont="1" applyFill="1"/>
    <xf numFmtId="0" fontId="14" fillId="0" borderId="0" xfId="0" applyFont="1" applyFill="1"/>
  </cellXfs>
  <cellStyles count="35">
    <cellStyle name="Comma [0] 11" xfId="33" xr:uid="{E581B672-B907-41BA-896B-8CE035333FBB}"/>
    <cellStyle name="Énfasis2 2" xfId="1" xr:uid="{00000000-0005-0000-0000-000000000000}"/>
    <cellStyle name="Énfasis4" xfId="26" builtinId="41"/>
    <cellStyle name="Excel Built-in Normal" xfId="2" xr:uid="{00000000-0005-0000-0000-000001000000}"/>
    <cellStyle name="Hipervínculo" xfId="3" builtinId="8"/>
    <cellStyle name="Hipervínculo visitado" xfId="27" builtinId="9"/>
    <cellStyle name="Millares" xfId="4" builtinId="3"/>
    <cellStyle name="Millares [0]" xfId="5" builtinId="6"/>
    <cellStyle name="Millares [0] 2" xfId="6" xr:uid="{00000000-0005-0000-0000-000005000000}"/>
    <cellStyle name="Millares [0] 2 2" xfId="7" xr:uid="{00000000-0005-0000-0000-000006000000}"/>
    <cellStyle name="Millares [0] 2 3" xfId="20" xr:uid="{00000000-0005-0000-0000-000007000000}"/>
    <cellStyle name="Millares [0] 2 4" xfId="32" xr:uid="{DBF281ED-3A9F-4BA8-9B9C-B07C90A160AF}"/>
    <cellStyle name="Millares [0] 3" xfId="8" xr:uid="{00000000-0005-0000-0000-000008000000}"/>
    <cellStyle name="Millares [0] 3 2" xfId="24" xr:uid="{00000000-0005-0000-0000-000009000000}"/>
    <cellStyle name="Millares [0] 4" xfId="19" xr:uid="{00000000-0005-0000-0000-00000A000000}"/>
    <cellStyle name="Millares [0] 5" xfId="30" xr:uid="{188A77C5-005B-4614-A009-6340CA13F4A2}"/>
    <cellStyle name="Millares 2" xfId="9" xr:uid="{00000000-0005-0000-0000-00000B000000}"/>
    <cellStyle name="Millares 2 2" xfId="10" xr:uid="{00000000-0005-0000-0000-00000C000000}"/>
    <cellStyle name="Millares 2 2 3" xfId="17" xr:uid="{00000000-0005-0000-0000-00000D000000}"/>
    <cellStyle name="Millares 2 3" xfId="21" xr:uid="{00000000-0005-0000-0000-00000E000000}"/>
    <cellStyle name="Millares 3" xfId="18" xr:uid="{00000000-0005-0000-0000-00000F000000}"/>
    <cellStyle name="Millares 4" xfId="11" xr:uid="{00000000-0005-0000-0000-000010000000}"/>
    <cellStyle name="Millares 4 2" xfId="23" xr:uid="{00000000-0005-0000-0000-000011000000}"/>
    <cellStyle name="Millares 5" xfId="22" xr:uid="{00000000-0005-0000-0000-000012000000}"/>
    <cellStyle name="Millares 6" xfId="34" xr:uid="{C5AC26F4-6670-47BE-92CA-850CAA4B5E12}"/>
    <cellStyle name="Millares 7" xfId="29" xr:uid="{87FFDB17-BEA0-41B4-8EB3-FDC4934E8C85}"/>
    <cellStyle name="Moneda" xfId="12" builtinId="4"/>
    <cellStyle name="Normal" xfId="0" builtinId="0"/>
    <cellStyle name="Normal 2" xfId="13" xr:uid="{00000000-0005-0000-0000-000015000000}"/>
    <cellStyle name="Normal 3" xfId="31" xr:uid="{2E3E0C4C-C453-47BD-8C2F-F6F035B93A84}"/>
    <cellStyle name="Normal 4" xfId="14" xr:uid="{00000000-0005-0000-0000-000016000000}"/>
    <cellStyle name="Normal 5" xfId="28" xr:uid="{6F5CC2AB-CC0A-4F8A-8D6D-75DED97976D3}"/>
    <cellStyle name="Porcentaje" xfId="25" builtinId="5"/>
    <cellStyle name="Porcentaje 2" xfId="15" xr:uid="{00000000-0005-0000-0000-000017000000}"/>
    <cellStyle name="Porcentaje 3" xfId="16" xr:uid="{00000000-0005-0000-0000-000018000000}"/>
  </cellStyles>
  <dxfs count="19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</font>
    </dxf>
    <dxf>
      <font>
        <b val="0"/>
        <i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</font>
    </dxf>
    <dxf>
      <font>
        <b val="0"/>
        <i/>
      </font>
    </dxf>
    <dxf>
      <font>
        <b val="0"/>
        <i/>
      </font>
      <alignment horizontal="center" vertical="bottom" textRotation="0" wrapText="0" indent="0" justifyLastLine="0" shrinkToFit="0" readingOrder="0"/>
    </dxf>
    <dxf>
      <font>
        <b val="0"/>
        <i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1773327</xdr:colOff>
      <xdr:row>0</xdr:row>
      <xdr:rowOff>707197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521E2-942D-4F4F-AA12-930AFE6A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3327" cy="707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73327" cy="714817"/>
    <xdr:pic>
      <xdr:nvPicPr>
        <xdr:cNvPr id="2" name="Imagen 1">
          <a:extLst>
            <a:ext uri="{FF2B5EF4-FFF2-40B4-BE49-F238E27FC236}">
              <a16:creationId xmlns:a16="http://schemas.microsoft.com/office/drawing/2014/main" id="{A9CC02F2-F5EF-472D-AAA8-01D5FFB9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3327" cy="7148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301397</xdr:colOff>
      <xdr:row>1</xdr:row>
      <xdr:rowOff>16509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DDA94B-97D9-4D18-994D-3805A055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1897" cy="708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712367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15FB250B-3309-4ED0-BECE-210E1B10F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0"/>
          <a:ext cx="1712367" cy="7238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265043</xdr:colOff>
      <xdr:row>0</xdr:row>
      <xdr:rowOff>0</xdr:rowOff>
    </xdr:from>
    <xdr:to>
      <xdr:col>2</xdr:col>
      <xdr:colOff>1761897</xdr:colOff>
      <xdr:row>1</xdr:row>
      <xdr:rowOff>12920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1AE8E6-DE7C-4A8F-838C-1C156009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043" y="0"/>
          <a:ext cx="1761897" cy="708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1761897</xdr:colOff>
      <xdr:row>1</xdr:row>
      <xdr:rowOff>15044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5E318-3DDE-4603-8452-81D2DB2F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85" y="0"/>
          <a:ext cx="1761897" cy="7086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1761897</xdr:colOff>
      <xdr:row>1</xdr:row>
      <xdr:rowOff>16509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454A2-DC47-4045-8BB0-BEB091EC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750" y="0"/>
          <a:ext cx="1761897" cy="7086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1761897</xdr:colOff>
      <xdr:row>1</xdr:row>
      <xdr:rowOff>13183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77BE0D-2CFC-4B45-A30E-48BCDBCE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857" y="0"/>
          <a:ext cx="1761897" cy="7086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175846</xdr:colOff>
      <xdr:row>0</xdr:row>
      <xdr:rowOff>0</xdr:rowOff>
    </xdr:from>
    <xdr:to>
      <xdr:col>3</xdr:col>
      <xdr:colOff>1761897</xdr:colOff>
      <xdr:row>1</xdr:row>
      <xdr:rowOff>15932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5C9967-D54A-4D62-A3C6-649ED4AA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538" y="0"/>
          <a:ext cx="1761897" cy="7086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sady_pereira_inpositiva_com_py/Documents/Investor%20SA/Contabilidad/Conformaciones%20de%20Cuentas%20Contables/Conformacion%202019/Segundo%20Semestre%202019/Plantilla%20Exel%20EEFF%20cnv_SET_19.xlsx?17C11E68" TargetMode="External"/><Relationship Id="rId1" Type="http://schemas.openxmlformats.org/officeDocument/2006/relationships/externalLinkPath" Target="file:///\\17C11E68\Plantilla%20Exel%20EEFF%20cnv_SET_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C11E68\Plantilla%20Exel%20EEFF%20cnv_SET_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CIO-INV/Desktop/Informe%201er%20Semestre%2006-2018/Res%20173%20INVESTOR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ROCIO-INV/Desktop/Informe%201er%20Semestre%2006-2018/Res%20173%20INVESTOR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lugo\Denise_\BDT\BDT%202016\BDT%20Cuadro%20Revaluo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personal/sady_pereira_inpositiva_com_py/Documents/18.Trader%20Pro%20SA/Contabilidad/Conformaciones%20de%20Cuentas%20Contables/Controles%20mensuales/CONTROL%2022/Conformacion%20de%20EEFF%20de%20Traders%20Pro%20SA%20al%2031%2003%202022.xlsx?0805CD68" TargetMode="External"/><Relationship Id="rId1" Type="http://schemas.openxmlformats.org/officeDocument/2006/relationships/externalLinkPath" Target="file:///\\0805CD68\Conformacion%20de%20EEFF%20de%20Traders%20Pro%20SA%20al%2031%2003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personal/sady_pereira_inpositiva_com_py/Documents/10.Investor%20SA/Contabilidad/CNV_EEFF_Informes/2020/EEFF%20a%20presentar/Plantillas%20utilizadas/Copia%20de%202.%20EEFF%20AL%2031.03.20%20FINAL_Plantilla.xlsx?DD05067B" TargetMode="External"/><Relationship Id="rId1" Type="http://schemas.openxmlformats.org/officeDocument/2006/relationships/externalLinkPath" Target="file:///\\DD05067B\Copia%20de%202.%20EEFF%20AL%2031.03.20%20FINAL_Plantilla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personal/sady_pereira_inpositiva_com_py/Documents/18.Trader%20Pro%20SA/Contabilidad/Conformaciones%20de%20Cuentas%20Contables/Controles%20mensuales/CONTROL%202022/06.2022.Conformaci&#243;n%20de%20EEFF%20de%20Traders%20Pro.xlsx?FB4FE54D" TargetMode="External"/><Relationship Id="rId1" Type="http://schemas.openxmlformats.org/officeDocument/2006/relationships/externalLinkPath" Target="file:///\\FB4FE54D\06.2022.Conformaci&#243;n%20de%20EEFF%20de%20Traders%20P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Resol 950"/>
      <sheetName val="Estado de Resultados Resol 950"/>
      <sheetName val="Flujos de efectivo (950)"/>
      <sheetName val="Estado variacion PN (2)"/>
      <sheetName val="BalanceSistema_Set_19"/>
      <sheetName val="CR Sistema_Set_19"/>
      <sheetName val="activo pasivo"/>
      <sheetName val="2018 (2)"/>
      <sheetName val="anex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Resol 950"/>
      <sheetName val="Estado de Resultados Resol 950"/>
      <sheetName val="Flujos de efectivo (950)"/>
      <sheetName val="Estado variacion PN (2)"/>
      <sheetName val="BalanceSistema_Set_19"/>
      <sheetName val="CR Sistema_Set_19"/>
      <sheetName val="activo pasivo"/>
      <sheetName val="2018 (2)"/>
      <sheetName val="anex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istema_Dic_13"/>
      <sheetName val="CR Sistema_DIC_13"/>
      <sheetName val="Balance General"/>
      <sheetName val="Estado de Resultados"/>
      <sheetName val="Flujos de efectivo"/>
      <sheetName val="Estado variacion PN"/>
      <sheetName val="anexos"/>
      <sheetName val="2012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istema_Dic_13"/>
      <sheetName val="CR Sistema_DIC_13"/>
      <sheetName val="Balance General"/>
      <sheetName val="Estado de Resultados"/>
      <sheetName val="Flujos de efectivo"/>
      <sheetName val="Estado variacion PN"/>
      <sheetName val="anexos"/>
      <sheetName val="2012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Estado de Resultados"/>
      <sheetName val="Flujos de efectivo"/>
      <sheetName val="Estado variacion PN"/>
      <sheetName val="anexos"/>
      <sheetName val="2007 (06)"/>
      <sheetName val="2008"/>
      <sheetName val="1346 2008 "/>
      <sheetName val="1346 2009 "/>
      <sheetName val="1346 2010"/>
      <sheetName val="1346 2011"/>
      <sheetName val="1346 2012"/>
      <sheetName val="1346 2013"/>
      <sheetName val="1346 2014"/>
      <sheetName val="1346 2015"/>
      <sheetName val="1346 2016 P"/>
      <sheetName val="1346 2016 P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alance Gral 31 03 2022"/>
      <sheetName val="CALCULO DE IMP.RENTA"/>
      <sheetName val="EERR al 31 03 2022"/>
      <sheetName val="Bancos Operaciones"/>
      <sheetName val="Bancos Administración"/>
      <sheetName val="Inventario"/>
      <sheetName val="Repos"/>
      <sheetName val="Clientes"/>
      <sheetName val="IVA Crédito"/>
      <sheetName val="Prestamo a Accionista "/>
      <sheetName val="Accion BVPASA"/>
      <sheetName val="Amortizac Gastos Constituc"/>
      <sheetName val="Equipo de Informatica"/>
      <sheetName val="Prestamos y Amortiz Repos"/>
      <sheetName val="Acreedores por Intermed ML - ME"/>
      <sheetName val="Proveedores"/>
      <sheetName val="Conformación Capital"/>
      <sheetName val="Acta Dir Gtos Const."/>
    </sheetNames>
    <sheetDataSet>
      <sheetData sheetId="0"/>
      <sheetData sheetId="1">
        <row r="80">
          <cell r="B80">
            <v>-9529901</v>
          </cell>
        </row>
      </sheetData>
      <sheetData sheetId="2"/>
      <sheetData sheetId="3"/>
      <sheetData sheetId="4"/>
      <sheetData sheetId="5"/>
      <sheetData sheetId="6">
        <row r="5">
          <cell r="E5">
            <v>10513000000</v>
          </cell>
        </row>
        <row r="15">
          <cell r="E15">
            <v>600000000</v>
          </cell>
        </row>
        <row r="16">
          <cell r="E16">
            <v>900000000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Balance Gral. Resol. 6"/>
      <sheetName val="Estado de Resultado Resol. 6"/>
      <sheetName val="Flujo de Efectivo Resol. Res 6"/>
      <sheetName val="Estado de Variacion PN "/>
      <sheetName val="NOTA A LOS ESTADOS CONTA. 1-4"/>
      <sheetName val="NOTA 5 A-C CRITERIOS ESPECIF."/>
      <sheetName val="NOTA D - DISPONIBILIDADES"/>
      <sheetName val="NOTA E - INVERSIONES"/>
      <sheetName val="NOTA F - CREDITOS"/>
      <sheetName val="NOTA G BIENES DE USO"/>
      <sheetName val="NOTA H CARGOS DIFERIDOS"/>
      <sheetName val=" NOTA I INTANGIBLES"/>
      <sheetName val="NOTA J OTROS ACTIVOS CTES Y NO "/>
      <sheetName val="NOTA K PRESTAMOS"/>
      <sheetName val="NOTA L DOCUMENTOS Y CTAS A PAGA"/>
      <sheetName val="NOTAS M-Q ACREEDORES CTO PLAZO"/>
      <sheetName val="NOTA R SALDOS Y TRANSACCIONES "/>
      <sheetName val="NOTA S RESULTADOS CON PERSONAS"/>
      <sheetName val=" NOTA T PATRIMONIO"/>
      <sheetName val="NOTA V INGRESOS OPERATIVOS"/>
      <sheetName val="NOTA W OTROS GASTOS OPERATIVOS"/>
      <sheetName val="NOTA X OTROS INGRESOS Y EGRESOS"/>
      <sheetName val="NOTA Y RESULTADOS FINANCIEROS"/>
      <sheetName val="NOTA Z RESULT EXTRAORD"/>
      <sheetName val="NOTA 6 INFORMACION REFERENTE"/>
      <sheetName val="2018 (2)"/>
    </sheetNames>
    <sheetDataSet>
      <sheetData sheetId="0"/>
      <sheetData sheetId="1">
        <row r="22">
          <cell r="G22">
            <v>0</v>
          </cell>
        </row>
        <row r="23">
          <cell r="G2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ral 2022"/>
      <sheetName val="EERR 2022"/>
      <sheetName val="BANCO OPERAC GS"/>
      <sheetName val="BANCOS OPERAC $"/>
      <sheetName val="BANCO ADM  FAMILIAR $"/>
      <sheetName val="PORTAFOLIO BY PENKA"/>
      <sheetName val="REPOS PENDIENTES 30 06"/>
      <sheetName val="Clientes Locales "/>
      <sheetName val="Prestamo a Accionista "/>
      <sheetName val="IVA"/>
      <sheetName val="Amortizac Gastos Constituc"/>
      <sheetName val="ACCION BVA"/>
      <sheetName val="GARANTIA BVA"/>
      <sheetName val="Equipo de Informatica"/>
      <sheetName val="Acreedores por Intermed GS"/>
      <sheetName val="Acreedores por Intermed $"/>
      <sheetName val="Proveedores"/>
    </sheetNames>
    <sheetDataSet>
      <sheetData sheetId="0"/>
      <sheetData sheetId="1">
        <row r="26">
          <cell r="B26">
            <v>2370125832</v>
          </cell>
        </row>
      </sheetData>
      <sheetData sheetId="2"/>
      <sheetData sheetId="3">
        <row r="21">
          <cell r="F21">
            <v>507.82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7DC6F5-E8D8-456A-AAC7-A8A43933ED8E}" name="Tabla1" displayName="Tabla1" ref="A2:C82" totalsRowShown="0" headerRowDxfId="18" dataDxfId="17">
  <autoFilter ref="A2:C82" xr:uid="{17DDE52E-69A5-4CC2-A04B-0941965302FC}"/>
  <tableColumns count="3">
    <tableColumn id="1" xr3:uid="{B03E6371-CB40-4BB9-8C46-B34C201AF3FF}" name="BALANCE GENERAL " dataDxfId="16">
      <calculatedColumnFormula>+E3</calculatedColumnFormula>
    </tableColumn>
    <tableColumn id="2" xr3:uid="{DDE8B176-8D05-49B9-BD6A-1A20A1D5C6B2}" name="30/06/2022" dataDxfId="15">
      <calculatedColumnFormula>+F3</calculatedColumnFormula>
    </tableColumn>
    <tableColumn id="3" xr3:uid="{55EE8B58-4E33-44ED-9A0D-8614260B627D}" name="Notas" dataDxfId="14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3FCDD6-16F5-4791-A370-123A3594E032}" name="Tabla9" displayName="Tabla9" ref="A87:B92" totalsRowShown="0" headerRowDxfId="13" dataDxfId="12">
  <autoFilter ref="A87:B92" xr:uid="{7EDFAA1B-C751-4AC0-AB8E-AA4E0235A3CB}"/>
  <tableColumns count="2">
    <tableColumn id="1" xr3:uid="{D42E97AA-FF78-4835-B370-59C1B0AA4EAA}" name="RESUMEN" dataDxfId="11"/>
    <tableColumn id="2" xr3:uid="{7E06575A-EBDE-4DF6-B5BB-C4B0F08AAB81}" name="+Tabla1[[#Encabezados];[+Datos!B3]]" dataDxfId="10" dataCellStyle="Millares [0]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93DA3A-AEA5-4B59-B2FE-9F0F758A86D0}" name="Tabla15" displayName="Tabla15" ref="G17:I20" totalsRowShown="0" headerRowDxfId="9" dataDxfId="8">
  <autoFilter ref="G17:I20" xr:uid="{F5CD79E1-2C01-4314-8773-B6E3F1ED7C65}"/>
  <tableColumns count="3">
    <tableColumn id="1" xr3:uid="{DC2D4AB5-F70F-4066-9698-B2B806D17EDF}" name="Según Contab" dataDxfId="7"/>
    <tableColumn id="2" xr3:uid="{EC14043C-AA64-4BF8-ADEA-45A3212059A5}" name="Según TP" dataDxfId="6"/>
    <tableColumn id="3" xr3:uid="{54786CAB-B168-46E1-8F03-60C8AAE43722}" name="Diferencia" dataDxfId="5">
      <calculatedColumnFormula>+G18-H18</calculatedColumnFormula>
    </tableColumn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ECD746-8EEA-44C1-9E22-9703C96CBF6B}" name="Tabla2" displayName="Tabla2" ref="A2:D64" totalsRowShown="0" dataDxfId="4">
  <autoFilter ref="A2:D64" xr:uid="{207BA5BA-2222-49EC-A6EF-5D88F7A62D2A}"/>
  <tableColumns count="4">
    <tableColumn id="1" xr3:uid="{8AC0A366-1CE9-4C03-B299-30D5BEDB2F62}" name="ESTADOS DE RESULTADOS AL " dataDxfId="3">
      <calculatedColumnFormula>+F3</calculatedColumnFormula>
    </tableColumn>
    <tableColumn id="2" xr3:uid="{76854CC2-F17A-44FC-A70F-C48326927F93}" name="31/3/2022" dataDxfId="2">
      <calculatedColumnFormula>+G3</calculatedColumnFormula>
    </tableColumn>
    <tableColumn id="3" xr3:uid="{5E698702-4354-4E55-83AD-1952DBAFB682}" name="%" dataDxfId="1" dataCellStyle="Porcentaje">
      <calculatedColumnFormula>+Tabla2[[#This Row],[31/3/2022]]/$B$3</calculatedColumnFormula>
    </tableColumn>
    <tableColumn id="4" xr3:uid="{6D20FF1F-FC51-4142-89BE-BDFC3993482A}" name="OBSERVACIONES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traderspro.com.py/" TargetMode="External"/><Relationship Id="rId1" Type="http://schemas.openxmlformats.org/officeDocument/2006/relationships/hyperlink" Target="mailto:directorio@traderspro.com.p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F059-E89C-4F08-8A57-D3766289A187}">
  <sheetPr>
    <tabColor theme="7" tint="0.59999389629810485"/>
    <pageSetUpPr fitToPage="1"/>
  </sheetPr>
  <dimension ref="A1:I92"/>
  <sheetViews>
    <sheetView workbookViewId="0">
      <pane ySplit="2" topLeftCell="A33" activePane="bottomLeft" state="frozen"/>
      <selection activeCell="C84" sqref="C84"/>
      <selection pane="bottomLeft" activeCell="A44" sqref="A44"/>
    </sheetView>
  </sheetViews>
  <sheetFormatPr baseColWidth="10" defaultColWidth="8.85546875" defaultRowHeight="15" x14ac:dyDescent="0.25"/>
  <cols>
    <col min="1" max="1" width="65.85546875" style="444" customWidth="1"/>
    <col min="2" max="2" width="25.7109375" style="445" customWidth="1"/>
    <col min="3" max="3" width="36.28515625" customWidth="1"/>
    <col min="5" max="5" width="58.28515625" bestFit="1" customWidth="1"/>
    <col min="6" max="6" width="15.140625" style="446" bestFit="1" customWidth="1"/>
    <col min="7" max="7" width="15.7109375" customWidth="1"/>
    <col min="8" max="8" width="14.5703125" bestFit="1" customWidth="1"/>
    <col min="9" max="9" width="15.28515625" bestFit="1" customWidth="1"/>
  </cols>
  <sheetData>
    <row r="1" spans="1:9" ht="60.75" customHeight="1" x14ac:dyDescent="0.25"/>
    <row r="2" spans="1:9" s="450" customFormat="1" x14ac:dyDescent="0.25">
      <c r="A2" s="447" t="s">
        <v>753</v>
      </c>
      <c r="B2" s="448" t="s">
        <v>895</v>
      </c>
      <c r="C2" s="449" t="s">
        <v>754</v>
      </c>
      <c r="E2" s="444" t="s">
        <v>755</v>
      </c>
      <c r="F2" s="445" t="s">
        <v>756</v>
      </c>
    </row>
    <row r="3" spans="1:9" s="466" customFormat="1" x14ac:dyDescent="0.25">
      <c r="A3" s="466" t="str">
        <f>+E3</f>
        <v>Activo</v>
      </c>
      <c r="B3" s="453">
        <f>+F3</f>
        <v>11770994837</v>
      </c>
      <c r="C3" s="444"/>
      <c r="E3" s="444" t="s">
        <v>757</v>
      </c>
      <c r="F3" s="445">
        <v>11770994837</v>
      </c>
      <c r="G3" s="502">
        <f>+Tabla1[[#This Row],[30/06/2022]]-F3</f>
        <v>0</v>
      </c>
    </row>
    <row r="4" spans="1:9" s="466" customFormat="1" x14ac:dyDescent="0.25">
      <c r="A4" s="466" t="str">
        <f t="shared" ref="A4:B67" si="0">+E4</f>
        <v>Activo Corriente</v>
      </c>
      <c r="B4" s="453">
        <f t="shared" si="0"/>
        <v>10807978683</v>
      </c>
      <c r="C4" s="444"/>
      <c r="E4" s="444" t="s">
        <v>758</v>
      </c>
      <c r="F4" s="445">
        <v>10807978683</v>
      </c>
    </row>
    <row r="5" spans="1:9" s="466" customFormat="1" x14ac:dyDescent="0.25">
      <c r="A5" s="466" t="str">
        <f t="shared" si="0"/>
        <v>Disponibilidades</v>
      </c>
      <c r="B5" s="453">
        <f t="shared" si="0"/>
        <v>227627665</v>
      </c>
      <c r="C5" s="444"/>
      <c r="E5" s="444" t="s">
        <v>759</v>
      </c>
      <c r="F5" s="445">
        <v>227627665</v>
      </c>
    </row>
    <row r="6" spans="1:9" s="466" customFormat="1" x14ac:dyDescent="0.25">
      <c r="A6" s="444" t="str">
        <f t="shared" si="0"/>
        <v>Bancos De Operaciones</v>
      </c>
      <c r="B6" s="445">
        <f t="shared" si="0"/>
        <v>194342745</v>
      </c>
      <c r="C6" s="444"/>
      <c r="E6" s="444" t="s">
        <v>716</v>
      </c>
      <c r="F6" s="445">
        <v>194342745</v>
      </c>
      <c r="G6" s="502"/>
    </row>
    <row r="7" spans="1:9" s="466" customFormat="1" x14ac:dyDescent="0.25">
      <c r="A7" s="444" t="str">
        <f t="shared" si="0"/>
        <v>Bancos Operaciones - Moneda Extranjera</v>
      </c>
      <c r="B7" s="445">
        <f t="shared" si="0"/>
        <v>3472422</v>
      </c>
      <c r="C7" s="444"/>
      <c r="E7" s="444" t="s">
        <v>717</v>
      </c>
      <c r="F7" s="445">
        <v>3472422</v>
      </c>
    </row>
    <row r="8" spans="1:9" s="466" customFormat="1" x14ac:dyDescent="0.25">
      <c r="A8" s="444" t="str">
        <f t="shared" si="0"/>
        <v>Banco Operaciones M/E</v>
      </c>
      <c r="B8" s="445">
        <f t="shared" si="0"/>
        <v>3472422</v>
      </c>
      <c r="C8" s="503" t="s">
        <v>760</v>
      </c>
      <c r="E8" s="444" t="s">
        <v>718</v>
      </c>
      <c r="F8" s="445">
        <v>3472422</v>
      </c>
    </row>
    <row r="9" spans="1:9" s="466" customFormat="1" x14ac:dyDescent="0.25">
      <c r="A9" s="444" t="str">
        <f t="shared" si="0"/>
        <v>Bancos Operaciones - Moneda Local</v>
      </c>
      <c r="B9" s="445">
        <f t="shared" si="0"/>
        <v>190870323</v>
      </c>
      <c r="C9" s="444"/>
      <c r="E9" s="444" t="s">
        <v>719</v>
      </c>
      <c r="F9" s="445">
        <v>190870323</v>
      </c>
    </row>
    <row r="10" spans="1:9" s="466" customFormat="1" x14ac:dyDescent="0.25">
      <c r="A10" s="444" t="str">
        <f t="shared" si="0"/>
        <v>Banco Operaciones M/L</v>
      </c>
      <c r="B10" s="445">
        <f t="shared" si="0"/>
        <v>190870323</v>
      </c>
      <c r="C10" s="444"/>
      <c r="E10" s="444" t="s">
        <v>720</v>
      </c>
      <c r="F10" s="445">
        <v>190870323</v>
      </c>
    </row>
    <row r="11" spans="1:9" s="466" customFormat="1" x14ac:dyDescent="0.25">
      <c r="A11" s="444" t="str">
        <f t="shared" si="0"/>
        <v>Bancos Administrativas</v>
      </c>
      <c r="B11" s="445">
        <f t="shared" si="0"/>
        <v>33284920</v>
      </c>
      <c r="C11" s="503" t="s">
        <v>761</v>
      </c>
      <c r="E11" s="444" t="s">
        <v>721</v>
      </c>
      <c r="F11" s="445">
        <v>33284920</v>
      </c>
    </row>
    <row r="12" spans="1:9" s="466" customFormat="1" x14ac:dyDescent="0.25">
      <c r="A12" s="444" t="str">
        <f t="shared" si="0"/>
        <v>Bancos Moneda Extranjera</v>
      </c>
      <c r="B12" s="445">
        <f t="shared" si="0"/>
        <v>12082569</v>
      </c>
      <c r="C12" s="444"/>
      <c r="E12" s="444" t="s">
        <v>722</v>
      </c>
      <c r="F12" s="445">
        <v>12082569</v>
      </c>
    </row>
    <row r="13" spans="1:9" s="466" customFormat="1" x14ac:dyDescent="0.25">
      <c r="A13" s="444" t="str">
        <f t="shared" si="0"/>
        <v>Banco Familiar SAECA - M/E</v>
      </c>
      <c r="B13" s="445">
        <f t="shared" si="0"/>
        <v>12082569</v>
      </c>
      <c r="C13" s="444"/>
      <c r="E13" s="444" t="s">
        <v>723</v>
      </c>
      <c r="F13" s="445">
        <v>12082569</v>
      </c>
    </row>
    <row r="14" spans="1:9" s="466" customFormat="1" x14ac:dyDescent="0.25">
      <c r="A14" s="444" t="str">
        <f t="shared" si="0"/>
        <v>Bancos Moneda Local</v>
      </c>
      <c r="B14" s="445">
        <f t="shared" si="0"/>
        <v>21202351</v>
      </c>
      <c r="C14" s="444"/>
      <c r="E14" s="444" t="s">
        <v>724</v>
      </c>
      <c r="F14" s="445">
        <v>21202351</v>
      </c>
    </row>
    <row r="15" spans="1:9" s="466" customFormat="1" x14ac:dyDescent="0.25">
      <c r="A15" s="444" t="str">
        <f t="shared" si="0"/>
        <v>BANCO FAMILIAR SAECA CTA CTE 00-2906458 M/L</v>
      </c>
      <c r="B15" s="445">
        <f t="shared" si="0"/>
        <v>5000000</v>
      </c>
      <c r="C15" s="444"/>
      <c r="E15" s="444" t="s">
        <v>763</v>
      </c>
      <c r="F15" s="445">
        <v>5000000</v>
      </c>
    </row>
    <row r="16" spans="1:9" s="466" customFormat="1" x14ac:dyDescent="0.25">
      <c r="A16" s="444" t="str">
        <f t="shared" si="0"/>
        <v>BANCO FAMILIAR SAECA CAJA DE AHORRO 0-2986139 M/L</v>
      </c>
      <c r="B16" s="445">
        <f t="shared" si="0"/>
        <v>16202351</v>
      </c>
      <c r="C16" s="444"/>
      <c r="E16" s="444" t="s">
        <v>767</v>
      </c>
      <c r="F16" s="445">
        <v>16202351</v>
      </c>
      <c r="G16" s="676" t="s">
        <v>762</v>
      </c>
      <c r="H16" s="676"/>
      <c r="I16" s="676"/>
    </row>
    <row r="17" spans="1:9" s="466" customFormat="1" x14ac:dyDescent="0.25">
      <c r="A17" s="444" t="str">
        <f t="shared" si="0"/>
        <v>Inversiones Temporarias</v>
      </c>
      <c r="B17" s="445">
        <f t="shared" si="0"/>
        <v>9355081144</v>
      </c>
      <c r="C17" s="444"/>
      <c r="E17" s="444" t="s">
        <v>769</v>
      </c>
      <c r="F17" s="445">
        <v>9355081144</v>
      </c>
      <c r="G17" s="466" t="s">
        <v>764</v>
      </c>
      <c r="H17" s="466" t="s">
        <v>765</v>
      </c>
      <c r="I17" s="466" t="s">
        <v>766</v>
      </c>
    </row>
    <row r="18" spans="1:9" s="466" customFormat="1" ht="17.25" x14ac:dyDescent="0.4">
      <c r="A18" s="444" t="str">
        <f t="shared" si="0"/>
        <v>Inversiones Financieras Temporales -Moneda Local</v>
      </c>
      <c r="B18" s="445">
        <f t="shared" si="0"/>
        <v>1102000000</v>
      </c>
      <c r="C18" s="444"/>
      <c r="E18" s="444" t="s">
        <v>770</v>
      </c>
      <c r="F18" s="445">
        <v>1102000000</v>
      </c>
      <c r="G18" s="451">
        <f>SUM(G19:G20)</f>
        <v>725276772</v>
      </c>
      <c r="H18" s="451">
        <f>SUM(H19:H20)</f>
        <v>12013000000</v>
      </c>
      <c r="I18" s="451">
        <f t="shared" ref="I18" si="1">SUM(I19:I20)</f>
        <v>-11287723228</v>
      </c>
    </row>
    <row r="19" spans="1:9" s="466" customFormat="1" x14ac:dyDescent="0.25">
      <c r="A19" s="444" t="str">
        <f t="shared" si="0"/>
        <v>Títulos Representativos De Deuda -M/L</v>
      </c>
      <c r="B19" s="445">
        <f t="shared" si="0"/>
        <v>1102000000</v>
      </c>
      <c r="C19" s="504" t="s">
        <v>768</v>
      </c>
      <c r="E19" s="444" t="s">
        <v>771</v>
      </c>
      <c r="F19" s="445">
        <v>1102000000</v>
      </c>
      <c r="G19" s="502">
        <f>+B21+B24</f>
        <v>720000000</v>
      </c>
      <c r="H19" s="453">
        <f>+[6]Inventario!E5+[6]Inventario!E15</f>
        <v>11113000000</v>
      </c>
      <c r="I19" s="502">
        <f>+G19-H19</f>
        <v>-10393000000</v>
      </c>
    </row>
    <row r="20" spans="1:9" s="466" customFormat="1" x14ac:dyDescent="0.25">
      <c r="A20" s="444" t="str">
        <f t="shared" si="0"/>
        <v>Bonos M/L</v>
      </c>
      <c r="B20" s="445">
        <f t="shared" si="0"/>
        <v>982000000</v>
      </c>
      <c r="C20" s="444"/>
      <c r="E20" s="444" t="s">
        <v>772</v>
      </c>
      <c r="F20" s="445">
        <v>982000000</v>
      </c>
      <c r="G20" s="502">
        <f>+B45</f>
        <v>5276772</v>
      </c>
      <c r="H20" s="453">
        <f>+[6]Inventario!E16</f>
        <v>900000000</v>
      </c>
      <c r="I20" s="502">
        <f>+G20-H20</f>
        <v>-894723228</v>
      </c>
    </row>
    <row r="21" spans="1:9" s="466" customFormat="1" x14ac:dyDescent="0.25">
      <c r="A21" s="444" t="str">
        <f t="shared" si="0"/>
        <v>Certificado De Ahorro (CDA) M/L</v>
      </c>
      <c r="B21" s="445">
        <f t="shared" si="0"/>
        <v>120000000</v>
      </c>
      <c r="C21" s="444"/>
      <c r="E21" s="444" t="s">
        <v>773</v>
      </c>
      <c r="F21" s="445">
        <v>120000000</v>
      </c>
      <c r="H21" s="453"/>
    </row>
    <row r="22" spans="1:9" s="466" customFormat="1" x14ac:dyDescent="0.25">
      <c r="A22" s="444" t="str">
        <f t="shared" si="0"/>
        <v>Otras Inversiones a Corto Plazo</v>
      </c>
      <c r="B22" s="445">
        <f t="shared" si="0"/>
        <v>8100000000</v>
      </c>
      <c r="C22" s="444"/>
      <c r="E22" s="444" t="s">
        <v>774</v>
      </c>
      <c r="F22" s="445">
        <v>8100000000</v>
      </c>
      <c r="H22" s="453"/>
    </row>
    <row r="23" spans="1:9" s="466" customFormat="1" x14ac:dyDescent="0.25">
      <c r="A23" s="444" t="str">
        <f t="shared" si="0"/>
        <v xml:space="preserve">Instrumentos Financieros Cedidos En Prestamos M/L - </v>
      </c>
      <c r="B23" s="445">
        <f t="shared" si="0"/>
        <v>7500000000</v>
      </c>
      <c r="C23" s="505"/>
      <c r="E23" s="444" t="s">
        <v>776</v>
      </c>
      <c r="F23" s="445">
        <v>7500000000</v>
      </c>
      <c r="H23" s="453"/>
    </row>
    <row r="24" spans="1:9" s="466" customFormat="1" x14ac:dyDescent="0.25">
      <c r="A24" s="444" t="str">
        <f t="shared" si="0"/>
        <v>Instrumentos Financieros Cedidos en garantía - BVPASA</v>
      </c>
      <c r="B24" s="445">
        <f t="shared" si="0"/>
        <v>600000000</v>
      </c>
      <c r="C24" s="444"/>
      <c r="E24" s="444" t="s">
        <v>777</v>
      </c>
      <c r="F24" s="445">
        <v>600000000</v>
      </c>
      <c r="H24" s="453"/>
    </row>
    <row r="25" spans="1:9" s="466" customFormat="1" x14ac:dyDescent="0.25">
      <c r="A25" s="444" t="str">
        <f t="shared" si="0"/>
        <v>Ajuste por Valuación de Inversiones Temporales</v>
      </c>
      <c r="B25" s="445">
        <f t="shared" si="0"/>
        <v>18753730</v>
      </c>
      <c r="C25" s="503" t="s">
        <v>775</v>
      </c>
      <c r="E25" s="444" t="s">
        <v>778</v>
      </c>
      <c r="F25" s="445">
        <v>18753730</v>
      </c>
      <c r="G25" s="502"/>
      <c r="H25" s="453"/>
    </row>
    <row r="26" spans="1:9" s="466" customFormat="1" x14ac:dyDescent="0.25">
      <c r="A26" s="444" t="str">
        <f t="shared" si="0"/>
        <v>(+) Ajuste por Valor de Compra Inversiones Temporales</v>
      </c>
      <c r="B26" s="445">
        <f t="shared" si="0"/>
        <v>18753730</v>
      </c>
      <c r="C26" s="444"/>
      <c r="E26" s="444" t="s">
        <v>779</v>
      </c>
      <c r="F26" s="445">
        <v>18753730</v>
      </c>
      <c r="G26" s="502"/>
      <c r="H26" s="453"/>
    </row>
    <row r="27" spans="1:9" s="466" customFormat="1" x14ac:dyDescent="0.25">
      <c r="A27" s="444" t="str">
        <f t="shared" si="0"/>
        <v>Intereses, Regalías Y Otros Rendimientos</v>
      </c>
      <c r="B27" s="445">
        <f t="shared" si="0"/>
        <v>134327414</v>
      </c>
      <c r="C27" s="444"/>
      <c r="E27" s="444" t="s">
        <v>780</v>
      </c>
      <c r="F27" s="445">
        <v>134327414</v>
      </c>
      <c r="G27" s="502"/>
      <c r="H27" s="453"/>
    </row>
    <row r="28" spans="1:9" s="466" customFormat="1" x14ac:dyDescent="0.25">
      <c r="A28" s="444" t="str">
        <f t="shared" si="0"/>
        <v>Intereses y Rendimientos a Cobrar por Instrumentos Financ.M/L</v>
      </c>
      <c r="B28" s="445">
        <f t="shared" si="0"/>
        <v>134327414</v>
      </c>
      <c r="C28" s="444"/>
      <c r="E28" s="444" t="s">
        <v>781</v>
      </c>
      <c r="F28" s="445">
        <v>134327414</v>
      </c>
      <c r="G28" s="502"/>
      <c r="H28" s="453"/>
    </row>
    <row r="29" spans="1:9" s="466" customFormat="1" x14ac:dyDescent="0.25">
      <c r="A29" s="444" t="str">
        <f t="shared" si="0"/>
        <v>Créditos</v>
      </c>
      <c r="B29" s="445">
        <f t="shared" si="0"/>
        <v>227164326</v>
      </c>
      <c r="C29" s="444"/>
      <c r="E29" s="444" t="s">
        <v>782</v>
      </c>
      <c r="F29" s="445">
        <v>227164326</v>
      </c>
      <c r="H29" s="453"/>
    </row>
    <row r="30" spans="1:9" s="466" customFormat="1" x14ac:dyDescent="0.25">
      <c r="A30" s="444" t="str">
        <f t="shared" si="0"/>
        <v>Deudores Por Intermediacion De Valores</v>
      </c>
      <c r="B30" s="445">
        <f t="shared" si="0"/>
        <v>18320000</v>
      </c>
      <c r="C30" s="444"/>
      <c r="E30" s="444" t="s">
        <v>783</v>
      </c>
      <c r="F30" s="445">
        <v>18320000</v>
      </c>
      <c r="H30" s="453"/>
    </row>
    <row r="31" spans="1:9" s="466" customFormat="1" x14ac:dyDescent="0.25">
      <c r="A31" s="444" t="str">
        <f t="shared" si="0"/>
        <v>Clientes Locales M/L</v>
      </c>
      <c r="B31" s="445">
        <f t="shared" si="0"/>
        <v>18320000</v>
      </c>
      <c r="C31" s="444"/>
      <c r="E31" s="444" t="s">
        <v>785</v>
      </c>
      <c r="F31" s="445">
        <v>18320000</v>
      </c>
    </row>
    <row r="32" spans="1:9" s="466" customFormat="1" x14ac:dyDescent="0.25">
      <c r="A32" s="444" t="str">
        <f t="shared" si="0"/>
        <v>Documentos Y Cuentas Cobrar</v>
      </c>
      <c r="B32" s="445">
        <f t="shared" si="0"/>
        <v>49724326</v>
      </c>
      <c r="C32" s="444"/>
      <c r="E32" s="444" t="s">
        <v>787</v>
      </c>
      <c r="F32" s="445">
        <v>49724326</v>
      </c>
    </row>
    <row r="33" spans="1:8" s="466" customFormat="1" x14ac:dyDescent="0.25">
      <c r="A33" s="444" t="str">
        <f t="shared" si="0"/>
        <v>Créditos Por Impuestos Corrientes</v>
      </c>
      <c r="B33" s="445">
        <f t="shared" si="0"/>
        <v>49724326</v>
      </c>
      <c r="C33" s="506" t="s">
        <v>784</v>
      </c>
      <c r="E33" s="444" t="s">
        <v>788</v>
      </c>
      <c r="F33" s="445">
        <v>49724326</v>
      </c>
    </row>
    <row r="34" spans="1:8" s="466" customFormat="1" x14ac:dyDescent="0.25">
      <c r="A34" s="444" t="str">
        <f t="shared" si="0"/>
        <v xml:space="preserve">IVA - Crédito a favor - DDJJ </v>
      </c>
      <c r="B34" s="445">
        <f t="shared" si="0"/>
        <v>49724326</v>
      </c>
      <c r="C34" s="503" t="s">
        <v>786</v>
      </c>
      <c r="E34" s="444" t="s">
        <v>789</v>
      </c>
      <c r="F34" s="445">
        <v>49724326</v>
      </c>
    </row>
    <row r="35" spans="1:8" s="466" customFormat="1" x14ac:dyDescent="0.25">
      <c r="A35" s="444" t="str">
        <f t="shared" si="0"/>
        <v>Cuentas A Cobrar Entidades Relacionadas</v>
      </c>
      <c r="B35" s="445">
        <f t="shared" si="0"/>
        <v>159120000</v>
      </c>
      <c r="C35" s="444"/>
      <c r="E35" s="444" t="s">
        <v>790</v>
      </c>
      <c r="F35" s="445">
        <v>159120000</v>
      </c>
      <c r="H35" s="502"/>
    </row>
    <row r="36" spans="1:8" s="466" customFormat="1" x14ac:dyDescent="0.25">
      <c r="A36" s="444" t="str">
        <f t="shared" si="0"/>
        <v>Cuentas A Cobrar a Directores y Accionistas M/L</v>
      </c>
      <c r="B36" s="445">
        <f t="shared" si="0"/>
        <v>23000000</v>
      </c>
      <c r="C36" s="444"/>
      <c r="E36" s="444" t="s">
        <v>792</v>
      </c>
      <c r="F36" s="445">
        <v>23000000</v>
      </c>
    </row>
    <row r="37" spans="1:8" s="466" customFormat="1" x14ac:dyDescent="0.25">
      <c r="A37" s="444" t="str">
        <f t="shared" si="0"/>
        <v>Intereses a Cobrar a Directores y Accionistas M/L</v>
      </c>
      <c r="B37" s="445">
        <f t="shared" si="0"/>
        <v>5520000</v>
      </c>
      <c r="C37" s="444"/>
      <c r="E37" s="444" t="s">
        <v>793</v>
      </c>
      <c r="F37" s="445">
        <v>5520000</v>
      </c>
    </row>
    <row r="38" spans="1:8" s="466" customFormat="1" x14ac:dyDescent="0.25">
      <c r="A38" s="444" t="str">
        <f t="shared" si="0"/>
        <v>Cuentas a Cobrar a Empresas y Personas Relacionadas M/L</v>
      </c>
      <c r="B38" s="445">
        <f t="shared" si="0"/>
        <v>130600000</v>
      </c>
      <c r="C38" s="503" t="s">
        <v>791</v>
      </c>
      <c r="E38" s="444" t="s">
        <v>892</v>
      </c>
      <c r="F38" s="445">
        <v>130600000</v>
      </c>
    </row>
    <row r="39" spans="1:8" s="466" customFormat="1" x14ac:dyDescent="0.25">
      <c r="A39" s="444" t="str">
        <f t="shared" si="0"/>
        <v>Gastos Pagados Por Adelantado</v>
      </c>
      <c r="B39" s="445">
        <f t="shared" si="0"/>
        <v>998105548</v>
      </c>
      <c r="C39" s="444"/>
      <c r="E39" s="444" t="s">
        <v>794</v>
      </c>
      <c r="F39" s="445">
        <v>998105548</v>
      </c>
    </row>
    <row r="40" spans="1:8" s="466" customFormat="1" x14ac:dyDescent="0.25">
      <c r="A40" s="444" t="str">
        <f t="shared" si="0"/>
        <v>Intereses a Vencer M/L</v>
      </c>
      <c r="B40" s="445">
        <f t="shared" si="0"/>
        <v>998105548</v>
      </c>
      <c r="C40" s="444"/>
      <c r="E40" s="444" t="s">
        <v>539</v>
      </c>
      <c r="F40" s="445">
        <v>998105548</v>
      </c>
    </row>
    <row r="41" spans="1:8" s="466" customFormat="1" x14ac:dyDescent="0.25">
      <c r="A41" s="444" t="str">
        <f t="shared" si="0"/>
        <v>Activo No Corriente</v>
      </c>
      <c r="B41" s="445">
        <f t="shared" si="0"/>
        <v>963016154</v>
      </c>
      <c r="C41" s="444"/>
      <c r="E41" s="444" t="s">
        <v>795</v>
      </c>
      <c r="F41" s="445">
        <v>963016154</v>
      </c>
    </row>
    <row r="42" spans="1:8" s="466" customFormat="1" x14ac:dyDescent="0.25">
      <c r="A42" s="444" t="str">
        <f t="shared" si="0"/>
        <v>Inversiones A Largo Plazo</v>
      </c>
      <c r="B42" s="445">
        <f t="shared" si="0"/>
        <v>900000000</v>
      </c>
      <c r="C42" s="444"/>
      <c r="E42" s="444" t="s">
        <v>796</v>
      </c>
      <c r="F42" s="445">
        <v>900000000</v>
      </c>
    </row>
    <row r="43" spans="1:8" s="466" customFormat="1" x14ac:dyDescent="0.25">
      <c r="A43" s="444" t="str">
        <f t="shared" si="0"/>
        <v>Otras Inversiones Permanentes</v>
      </c>
      <c r="B43" s="445">
        <f t="shared" si="0"/>
        <v>900000000</v>
      </c>
      <c r="C43" s="444"/>
      <c r="E43" s="444" t="s">
        <v>797</v>
      </c>
      <c r="F43" s="445">
        <v>900000000</v>
      </c>
    </row>
    <row r="44" spans="1:8" s="466" customFormat="1" x14ac:dyDescent="0.25">
      <c r="A44" s="444" t="str">
        <f t="shared" si="0"/>
        <v>Acción en la BVPASA</v>
      </c>
      <c r="B44" s="445">
        <f t="shared" si="0"/>
        <v>900000000</v>
      </c>
      <c r="C44" s="444"/>
      <c r="E44" s="444" t="s">
        <v>799</v>
      </c>
      <c r="F44" s="445">
        <v>900000000</v>
      </c>
    </row>
    <row r="45" spans="1:8" s="466" customFormat="1" x14ac:dyDescent="0.25">
      <c r="A45" s="444" t="str">
        <f t="shared" si="0"/>
        <v>Propiedad, Planta Y Equipo</v>
      </c>
      <c r="B45" s="445">
        <f t="shared" si="0"/>
        <v>5276772</v>
      </c>
      <c r="C45" s="503" t="s">
        <v>798</v>
      </c>
      <c r="E45" s="444" t="s">
        <v>800</v>
      </c>
      <c r="F45" s="445">
        <v>5276772</v>
      </c>
    </row>
    <row r="46" spans="1:8" s="466" customFormat="1" x14ac:dyDescent="0.25">
      <c r="A46" s="444" t="str">
        <f t="shared" si="0"/>
        <v>Equipos De Informaticas</v>
      </c>
      <c r="B46" s="445">
        <f t="shared" si="0"/>
        <v>5276772</v>
      </c>
      <c r="C46" s="444"/>
      <c r="E46" s="444" t="s">
        <v>802</v>
      </c>
      <c r="F46" s="445">
        <v>5276772</v>
      </c>
    </row>
    <row r="47" spans="1:8" s="466" customFormat="1" x14ac:dyDescent="0.25">
      <c r="A47" s="444" t="str">
        <f t="shared" si="0"/>
        <v>Cargos Diferidos</v>
      </c>
      <c r="B47" s="445">
        <f t="shared" si="0"/>
        <v>57739382</v>
      </c>
      <c r="C47" s="503" t="s">
        <v>801</v>
      </c>
      <c r="E47" s="444" t="s">
        <v>803</v>
      </c>
      <c r="F47" s="445">
        <v>57739382</v>
      </c>
    </row>
    <row r="48" spans="1:8" s="466" customFormat="1" x14ac:dyDescent="0.25">
      <c r="A48" s="444" t="str">
        <f t="shared" si="0"/>
        <v>Gastos De Constitución</v>
      </c>
      <c r="B48" s="445">
        <f t="shared" si="0"/>
        <v>57739382</v>
      </c>
      <c r="C48" s="444"/>
      <c r="E48" s="444" t="s">
        <v>805</v>
      </c>
      <c r="F48" s="445">
        <v>57739382</v>
      </c>
    </row>
    <row r="49" spans="1:6" s="466" customFormat="1" x14ac:dyDescent="0.25">
      <c r="A49" s="444" t="str">
        <f t="shared" si="0"/>
        <v>Pasivo</v>
      </c>
      <c r="B49" s="445">
        <f t="shared" si="0"/>
        <v>7963139487</v>
      </c>
      <c r="C49" s="503" t="s">
        <v>804</v>
      </c>
      <c r="E49" s="444" t="s">
        <v>806</v>
      </c>
      <c r="F49" s="445">
        <v>7963139487</v>
      </c>
    </row>
    <row r="50" spans="1:6" s="466" customFormat="1" x14ac:dyDescent="0.25">
      <c r="A50" s="444" t="str">
        <f t="shared" si="0"/>
        <v>Pasivo Corriente</v>
      </c>
      <c r="B50" s="445">
        <f t="shared" si="0"/>
        <v>7963139487</v>
      </c>
      <c r="C50" s="444"/>
      <c r="E50" s="444" t="s">
        <v>807</v>
      </c>
      <c r="F50" s="445">
        <v>7963139487</v>
      </c>
    </row>
    <row r="51" spans="1:6" s="466" customFormat="1" x14ac:dyDescent="0.25">
      <c r="A51" s="444" t="str">
        <f t="shared" si="0"/>
        <v>Acreedores Por Operaciones</v>
      </c>
      <c r="B51" s="445">
        <f t="shared" si="0"/>
        <v>179575179</v>
      </c>
      <c r="C51" s="444"/>
      <c r="E51" s="444" t="s">
        <v>808</v>
      </c>
      <c r="F51" s="445">
        <v>179575179</v>
      </c>
    </row>
    <row r="52" spans="1:6" s="466" customFormat="1" x14ac:dyDescent="0.25">
      <c r="A52" s="444" t="str">
        <f t="shared" si="0"/>
        <v>Acreedores Por Operaciones M/L</v>
      </c>
      <c r="B52" s="445">
        <f t="shared" si="0"/>
        <v>178468964</v>
      </c>
      <c r="C52" s="444"/>
      <c r="E52" s="444" t="s">
        <v>810</v>
      </c>
      <c r="F52" s="445">
        <v>178468964</v>
      </c>
    </row>
    <row r="53" spans="1:6" s="466" customFormat="1" x14ac:dyDescent="0.25">
      <c r="A53" s="444" t="str">
        <f t="shared" si="0"/>
        <v>Acreedores Por Intermediacion De Valores M/L</v>
      </c>
      <c r="B53" s="445">
        <f t="shared" si="0"/>
        <v>178468964</v>
      </c>
      <c r="C53" s="504" t="s">
        <v>809</v>
      </c>
      <c r="E53" s="444" t="s">
        <v>811</v>
      </c>
      <c r="F53" s="445">
        <v>178468964</v>
      </c>
    </row>
    <row r="54" spans="1:6" s="466" customFormat="1" x14ac:dyDescent="0.25">
      <c r="A54" s="444" t="str">
        <f t="shared" si="0"/>
        <v>Acreedores Por Operaciones M/E</v>
      </c>
      <c r="B54" s="445">
        <f t="shared" si="0"/>
        <v>1106215</v>
      </c>
      <c r="C54" s="444"/>
      <c r="E54" s="444" t="s">
        <v>812</v>
      </c>
      <c r="F54" s="445">
        <v>1106215</v>
      </c>
    </row>
    <row r="55" spans="1:6" s="466" customFormat="1" x14ac:dyDescent="0.25">
      <c r="A55" s="444" t="str">
        <f t="shared" si="0"/>
        <v>Acreedores Por Intermediacion De Valores M/E</v>
      </c>
      <c r="B55" s="445">
        <f t="shared" si="0"/>
        <v>1106215</v>
      </c>
      <c r="C55" s="444"/>
      <c r="E55" s="444" t="s">
        <v>813</v>
      </c>
      <c r="F55" s="445">
        <v>1106215</v>
      </c>
    </row>
    <row r="56" spans="1:6" s="466" customFormat="1" x14ac:dyDescent="0.25">
      <c r="A56" s="444" t="str">
        <f t="shared" si="0"/>
        <v>Deudas Financieras</v>
      </c>
      <c r="B56" s="445">
        <f t="shared" si="0"/>
        <v>7170492534</v>
      </c>
      <c r="C56" s="444"/>
      <c r="E56" s="444" t="s">
        <v>814</v>
      </c>
      <c r="F56" s="445">
        <v>7170492534</v>
      </c>
    </row>
    <row r="57" spans="1:6" s="466" customFormat="1" x14ac:dyDescent="0.25">
      <c r="A57" s="444" t="str">
        <f t="shared" si="0"/>
        <v>Intereses A Pagar</v>
      </c>
      <c r="B57" s="445">
        <f t="shared" si="0"/>
        <v>416084999</v>
      </c>
      <c r="C57" s="444"/>
      <c r="E57" s="444" t="s">
        <v>815</v>
      </c>
      <c r="F57" s="445">
        <v>416084999</v>
      </c>
    </row>
    <row r="58" spans="1:6" s="466" customFormat="1" x14ac:dyDescent="0.25">
      <c r="A58" s="444" t="str">
        <f t="shared" si="0"/>
        <v>Intereses sobre REPOS a Pagar - M/L</v>
      </c>
      <c r="B58" s="445">
        <f t="shared" si="0"/>
        <v>416084999</v>
      </c>
      <c r="C58" s="444"/>
      <c r="E58" s="444" t="s">
        <v>816</v>
      </c>
      <c r="F58" s="445">
        <v>416084999</v>
      </c>
    </row>
    <row r="59" spans="1:6" s="466" customFormat="1" x14ac:dyDescent="0.25">
      <c r="A59" s="444" t="str">
        <f t="shared" si="0"/>
        <v>Otros Prestamos A Pagar - Repos</v>
      </c>
      <c r="B59" s="445">
        <f t="shared" si="0"/>
        <v>6754407535</v>
      </c>
      <c r="C59" s="444"/>
      <c r="E59" s="444" t="s">
        <v>817</v>
      </c>
      <c r="F59" s="445">
        <v>6754407535</v>
      </c>
    </row>
    <row r="60" spans="1:6" s="466" customFormat="1" x14ac:dyDescent="0.25">
      <c r="A60" s="444" t="str">
        <f t="shared" si="0"/>
        <v>Operaciones de Repo - Prestamos Repos M/L</v>
      </c>
      <c r="B60" s="445">
        <f t="shared" si="0"/>
        <v>6754407535</v>
      </c>
      <c r="C60" s="444"/>
      <c r="E60" s="444" t="s">
        <v>818</v>
      </c>
      <c r="F60" s="445">
        <v>6754407535</v>
      </c>
    </row>
    <row r="61" spans="1:6" s="466" customFormat="1" x14ac:dyDescent="0.25">
      <c r="A61" s="444" t="str">
        <f t="shared" si="0"/>
        <v>Otras Cuentas Por Pagar</v>
      </c>
      <c r="B61" s="445">
        <f t="shared" si="0"/>
        <v>24891404</v>
      </c>
      <c r="C61" s="444"/>
      <c r="E61" s="444" t="s">
        <v>819</v>
      </c>
      <c r="F61" s="445">
        <v>24891404</v>
      </c>
    </row>
    <row r="62" spans="1:6" s="466" customFormat="1" x14ac:dyDescent="0.25">
      <c r="A62" s="444" t="str">
        <f t="shared" si="0"/>
        <v>Cuentas a Pagar Administración</v>
      </c>
      <c r="B62" s="445">
        <f t="shared" si="0"/>
        <v>24891405</v>
      </c>
      <c r="C62" s="504" t="s">
        <v>775</v>
      </c>
      <c r="E62" s="444" t="s">
        <v>820</v>
      </c>
      <c r="F62" s="445">
        <v>24891405</v>
      </c>
    </row>
    <row r="63" spans="1:6" s="466" customFormat="1" x14ac:dyDescent="0.25">
      <c r="A63" s="444" t="str">
        <f t="shared" si="0"/>
        <v>Proveedores Locales M/L</v>
      </c>
      <c r="B63" s="445">
        <f t="shared" si="0"/>
        <v>21909167</v>
      </c>
      <c r="C63" s="505"/>
      <c r="E63" s="444" t="s">
        <v>822</v>
      </c>
      <c r="F63" s="445">
        <v>21909167</v>
      </c>
    </row>
    <row r="64" spans="1:6" s="466" customFormat="1" x14ac:dyDescent="0.25">
      <c r="A64" s="444" t="str">
        <f t="shared" si="0"/>
        <v>Proveedores Locales M/E</v>
      </c>
      <c r="B64" s="445">
        <f t="shared" si="0"/>
        <v>2982238</v>
      </c>
      <c r="C64" s="444"/>
      <c r="E64" s="444" t="s">
        <v>823</v>
      </c>
      <c r="F64" s="445">
        <v>2982238</v>
      </c>
    </row>
    <row r="65" spans="1:6" s="466" customFormat="1" x14ac:dyDescent="0.25">
      <c r="A65" s="444" t="str">
        <f t="shared" si="0"/>
        <v>Provisiones</v>
      </c>
      <c r="B65" s="445">
        <f t="shared" si="0"/>
        <v>1275000</v>
      </c>
      <c r="C65" s="444"/>
      <c r="E65" s="444" t="s">
        <v>824</v>
      </c>
      <c r="F65" s="445">
        <v>1275000</v>
      </c>
    </row>
    <row r="66" spans="1:6" s="466" customFormat="1" x14ac:dyDescent="0.25">
      <c r="A66" s="444" t="str">
        <f t="shared" si="0"/>
        <v>Ips A Pagar</v>
      </c>
      <c r="B66" s="445">
        <f t="shared" si="0"/>
        <v>1275000</v>
      </c>
      <c r="C66" s="444"/>
      <c r="E66" s="444" t="s">
        <v>825</v>
      </c>
      <c r="F66" s="445">
        <v>1275000</v>
      </c>
    </row>
    <row r="67" spans="1:6" s="466" customFormat="1" x14ac:dyDescent="0.25">
      <c r="A67" s="444" t="str">
        <f t="shared" si="0"/>
        <v>Ingresos Diferidos</v>
      </c>
      <c r="B67" s="445">
        <f t="shared" si="0"/>
        <v>586905370</v>
      </c>
      <c r="C67" s="506" t="s">
        <v>821</v>
      </c>
      <c r="E67" s="444" t="s">
        <v>826</v>
      </c>
      <c r="F67" s="445">
        <v>586905370</v>
      </c>
    </row>
    <row r="68" spans="1:6" s="466" customFormat="1" x14ac:dyDescent="0.25">
      <c r="A68" s="444" t="str">
        <f t="shared" ref="A68:B79" si="2">+E68</f>
        <v>Intereses Diferidos M/L -Cupones en Repos</v>
      </c>
      <c r="B68" s="445">
        <f t="shared" si="2"/>
        <v>582020548</v>
      </c>
      <c r="C68" s="444"/>
      <c r="E68" s="444" t="s">
        <v>893</v>
      </c>
      <c r="F68" s="445">
        <v>582020548</v>
      </c>
    </row>
    <row r="69" spans="1:6" s="466" customFormat="1" x14ac:dyDescent="0.25">
      <c r="A69" s="444" t="str">
        <f t="shared" si="2"/>
        <v>Ingresos Diferidos Administración - M/L</v>
      </c>
      <c r="B69" s="445">
        <f t="shared" si="2"/>
        <v>4884822</v>
      </c>
      <c r="C69" s="444"/>
      <c r="E69" s="444" t="s">
        <v>894</v>
      </c>
      <c r="F69" s="445">
        <v>4884822</v>
      </c>
    </row>
    <row r="70" spans="1:6" s="466" customFormat="1" x14ac:dyDescent="0.25">
      <c r="A70" s="444" t="str">
        <f t="shared" si="2"/>
        <v>Patrimonio Neto</v>
      </c>
      <c r="B70" s="445">
        <f t="shared" si="2"/>
        <v>3807855349.7199998</v>
      </c>
      <c r="C70" s="444"/>
      <c r="E70" s="444" t="s">
        <v>827</v>
      </c>
      <c r="F70" s="445">
        <v>3807855349.7199998</v>
      </c>
    </row>
    <row r="71" spans="1:6" s="454" customFormat="1" x14ac:dyDescent="0.25">
      <c r="A71" s="444" t="str">
        <f t="shared" si="2"/>
        <v>Capital</v>
      </c>
      <c r="B71" s="445">
        <f t="shared" si="2"/>
        <v>3805000000</v>
      </c>
      <c r="E71" s="444" t="s">
        <v>828</v>
      </c>
      <c r="F71" s="445">
        <v>3805000000</v>
      </c>
    </row>
    <row r="72" spans="1:6" s="454" customFormat="1" x14ac:dyDescent="0.25">
      <c r="A72" s="444" t="str">
        <f t="shared" si="2"/>
        <v>Capital Integrado</v>
      </c>
      <c r="B72" s="445">
        <f t="shared" si="2"/>
        <v>3805000000</v>
      </c>
      <c r="C72" s="456"/>
      <c r="E72" s="444" t="s">
        <v>454</v>
      </c>
      <c r="F72" s="445">
        <v>3805000000</v>
      </c>
    </row>
    <row r="73" spans="1:6" s="454" customFormat="1" x14ac:dyDescent="0.25">
      <c r="A73" s="444" t="str">
        <f t="shared" si="2"/>
        <v>Capital Suscripto</v>
      </c>
      <c r="B73" s="445">
        <f t="shared" si="2"/>
        <v>5000000000</v>
      </c>
      <c r="C73" s="456"/>
      <c r="E73" s="444" t="s">
        <v>830</v>
      </c>
      <c r="F73" s="445">
        <v>5000000000</v>
      </c>
    </row>
    <row r="74" spans="1:6" s="454" customFormat="1" x14ac:dyDescent="0.25">
      <c r="A74" s="444" t="str">
        <f t="shared" si="2"/>
        <v>(-) Capital a Integrar</v>
      </c>
      <c r="B74" s="445">
        <f t="shared" si="2"/>
        <v>-1195000000</v>
      </c>
      <c r="C74" s="456"/>
      <c r="E74" s="444" t="s">
        <v>831</v>
      </c>
      <c r="F74" s="445">
        <v>-1195000000</v>
      </c>
    </row>
    <row r="75" spans="1:6" s="454" customFormat="1" x14ac:dyDescent="0.25">
      <c r="A75" s="444" t="str">
        <f t="shared" si="2"/>
        <v>Resultados</v>
      </c>
      <c r="B75" s="445">
        <f t="shared" si="2"/>
        <v>2855349.72</v>
      </c>
      <c r="C75" s="503" t="s">
        <v>829</v>
      </c>
      <c r="E75" s="444" t="s">
        <v>832</v>
      </c>
      <c r="F75" s="445">
        <v>2855349.72</v>
      </c>
    </row>
    <row r="76" spans="1:6" s="454" customFormat="1" x14ac:dyDescent="0.25">
      <c r="A76" s="444" t="str">
        <f t="shared" si="2"/>
        <v>Resultados Acumulados</v>
      </c>
      <c r="B76" s="445">
        <f t="shared" si="2"/>
        <v>-9529901</v>
      </c>
      <c r="C76" s="456"/>
      <c r="E76" s="444" t="s">
        <v>144</v>
      </c>
      <c r="F76" s="445">
        <v>-9529901</v>
      </c>
    </row>
    <row r="77" spans="1:6" s="454" customFormat="1" x14ac:dyDescent="0.25">
      <c r="A77" s="444" t="str">
        <f t="shared" si="2"/>
        <v>Resultados Acumulados 2021</v>
      </c>
      <c r="B77" s="445">
        <f t="shared" si="2"/>
        <v>-9529901</v>
      </c>
      <c r="C77" s="456"/>
      <c r="E77" s="444" t="s">
        <v>833</v>
      </c>
      <c r="F77" s="445">
        <v>-9529901</v>
      </c>
    </row>
    <row r="78" spans="1:6" s="454" customFormat="1" x14ac:dyDescent="0.25">
      <c r="A78" s="444" t="str">
        <f t="shared" si="2"/>
        <v>Resultado Del Ejercicio</v>
      </c>
      <c r="B78" s="445">
        <f t="shared" si="2"/>
        <v>12385250.720000001</v>
      </c>
      <c r="C78" s="456"/>
      <c r="E78" s="444" t="s">
        <v>834</v>
      </c>
      <c r="F78" s="445">
        <v>12385250.720000001</v>
      </c>
    </row>
    <row r="79" spans="1:6" s="454" customFormat="1" x14ac:dyDescent="0.25">
      <c r="A79" s="444" t="str">
        <f t="shared" si="2"/>
        <v>Resultado Del Ejercicio</v>
      </c>
      <c r="B79" s="445">
        <f t="shared" si="2"/>
        <v>12385250.720000001</v>
      </c>
      <c r="C79" s="456"/>
      <c r="E79" s="444" t="s">
        <v>834</v>
      </c>
      <c r="F79" s="445">
        <v>12385250.720000001</v>
      </c>
    </row>
    <row r="80" spans="1:6" s="454" customFormat="1" x14ac:dyDescent="0.25">
      <c r="A80" s="444"/>
      <c r="B80" s="445"/>
      <c r="C80" s="456"/>
      <c r="E80" s="444"/>
      <c r="F80" s="445"/>
    </row>
    <row r="81" spans="1:6" s="454" customFormat="1" x14ac:dyDescent="0.25">
      <c r="A81" s="444"/>
      <c r="B81" s="445"/>
      <c r="C81" s="456"/>
      <c r="E81" s="444"/>
      <c r="F81" s="445"/>
    </row>
    <row r="82" spans="1:6" s="455" customFormat="1" x14ac:dyDescent="0.25">
      <c r="A82" s="454"/>
      <c r="B82" s="467"/>
      <c r="C82" s="452"/>
      <c r="F82" s="457"/>
    </row>
    <row r="83" spans="1:6" x14ac:dyDescent="0.25">
      <c r="E83" s="444"/>
      <c r="F83" s="445"/>
    </row>
    <row r="84" spans="1:6" x14ac:dyDescent="0.25">
      <c r="E84" s="444"/>
      <c r="F84" s="445"/>
    </row>
    <row r="85" spans="1:6" x14ac:dyDescent="0.25">
      <c r="E85" s="444"/>
      <c r="F85" s="445"/>
    </row>
    <row r="86" spans="1:6" x14ac:dyDescent="0.25">
      <c r="E86" s="444"/>
      <c r="F86" s="445"/>
    </row>
    <row r="87" spans="1:6" x14ac:dyDescent="0.25">
      <c r="A87" s="449" t="s">
        <v>835</v>
      </c>
      <c r="B87" s="458" t="s">
        <v>836</v>
      </c>
    </row>
    <row r="88" spans="1:6" x14ac:dyDescent="0.25">
      <c r="A88" s="444" t="s">
        <v>58</v>
      </c>
      <c r="B88" s="445">
        <f>+B3</f>
        <v>11770994837</v>
      </c>
    </row>
    <row r="89" spans="1:6" x14ac:dyDescent="0.25">
      <c r="A89" s="444" t="s">
        <v>59</v>
      </c>
      <c r="B89" s="445">
        <f>+B49</f>
        <v>7963139487</v>
      </c>
    </row>
    <row r="90" spans="1:6" x14ac:dyDescent="0.25">
      <c r="A90" s="444" t="s">
        <v>267</v>
      </c>
      <c r="B90" s="445">
        <f>+B70</f>
        <v>3807855349.7199998</v>
      </c>
    </row>
    <row r="91" spans="1:6" x14ac:dyDescent="0.25">
      <c r="B91" s="445">
        <f>+B88-B89-B90</f>
        <v>0.28000020980834961</v>
      </c>
    </row>
    <row r="92" spans="1:6" x14ac:dyDescent="0.25">
      <c r="A92" s="444" t="s">
        <v>837</v>
      </c>
      <c r="B92" s="445">
        <f>+B78</f>
        <v>12385250.720000001</v>
      </c>
    </row>
  </sheetData>
  <mergeCells count="1">
    <mergeCell ref="G16:I16"/>
  </mergeCells>
  <hyperlinks>
    <hyperlink ref="C8" location="'Bancos Operaciones'!A1" display="'Bancos Operaciones'!A1" xr:uid="{861A3C27-9623-4443-95DB-F8966789FBFA}"/>
    <hyperlink ref="C11" location="'Bancos Administración'!A1" display="'Bancos Administración'!A1" xr:uid="{3862CEC3-7671-48E6-9AD5-DA2992EDEC2E}"/>
    <hyperlink ref="C25" location="'Repos al 31 12 21'!A1" display="'Repos al 31 12 21'!A1" xr:uid="{0365BB2E-F3A0-448C-B03E-53EE77ABFA17}"/>
    <hyperlink ref="C33" location="Clientes!A1" display="Clientes!A1" xr:uid="{BA326645-11F0-4FA7-A8E4-71F3A714C6D5}"/>
    <hyperlink ref="C34" location="'IVA Crédito'!A1" display="'IVA Crédito'!A1" xr:uid="{C89A153D-B5AB-43DE-92B1-10E9B50BE64C}"/>
    <hyperlink ref="C38" location="'Prestamo a Accionista '!A1" display="'Prestamo a Accionista '!A1" xr:uid="{369E12F2-5AE7-473C-94F7-97B99AF3997A}"/>
    <hyperlink ref="C49" location="'Amortizac Gastos Constituc'!A1" display="'Amortizac Gastos Constituc'!A1" xr:uid="{1F9AEB88-1CF9-4D85-8383-544D9FE42E45}"/>
    <hyperlink ref="C67" location="Proveedores!A1" display="Proveedores!A1" xr:uid="{F477187A-BF9B-4CA2-A602-BC53F1CFFF03}"/>
    <hyperlink ref="C75" location="'Conformaciión Capital'!A1" display="'Conformaciión Capital'!A1" xr:uid="{28F00D24-0168-46BE-A523-DB1E3780B165}"/>
    <hyperlink ref="C45" location="'ACCION BVPASA'!A1" display="'ACCION BVPASA'!A1" xr:uid="{0AD706C3-279D-4CCC-B195-BF4171A1AB11}"/>
    <hyperlink ref="C47" location="'Equipo de Informatica'!A1" display="'Equipo de Informatica'!A1" xr:uid="{0D00B209-BDF8-4077-96B7-E2C8F965888C}"/>
    <hyperlink ref="C19" location="Inventario!A1" display="Inventario Valuado 31 12 2021'!A1" xr:uid="{D6D31892-2FE5-4803-A2F8-85667E930573}"/>
    <hyperlink ref="C53" location="'Acreedores por Intermed ML - ME'!A1" display="Acreedores por Intermed 31 12 '!A1" xr:uid="{E6826967-88DD-4D0F-A35D-86459CA1BB03}"/>
    <hyperlink ref="C62" location="'Prestamos e Intereses generados'!A1" display="Repos al 31 12 21'!A1" xr:uid="{09472A20-F11A-4FA7-8727-F107DB67F7A9}"/>
  </hyperlinks>
  <pageMargins left="0.7" right="0.7" top="0.75" bottom="0.75" header="0.3" footer="0.3"/>
  <pageSetup paperSize="9" scale="95" fitToHeight="0" orientation="portrait" horizontalDpi="0" verticalDpi="0" r:id="rId1"/>
  <drawing r:id="rId2"/>
  <tableParts count="3"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002060"/>
  </sheetPr>
  <dimension ref="C1:F56"/>
  <sheetViews>
    <sheetView showGridLines="0" topLeftCell="A6" zoomScale="143" workbookViewId="0">
      <selection activeCell="E77" sqref="E77"/>
    </sheetView>
  </sheetViews>
  <sheetFormatPr baseColWidth="10" defaultColWidth="9.140625" defaultRowHeight="12" x14ac:dyDescent="0.2"/>
  <cols>
    <col min="1" max="3" width="2.5703125" style="29" customWidth="1"/>
    <col min="4" max="4" width="74.42578125" style="29" customWidth="1"/>
    <col min="5" max="257" width="11.42578125" style="29" customWidth="1"/>
    <col min="258" max="16384" width="9.140625" style="29"/>
  </cols>
  <sheetData>
    <row r="1" spans="3:6" ht="55.15" customHeight="1" x14ac:dyDescent="0.2"/>
    <row r="3" spans="3:6" x14ac:dyDescent="0.2">
      <c r="D3" s="182" t="s">
        <v>691</v>
      </c>
    </row>
    <row r="4" spans="3:6" x14ac:dyDescent="0.2">
      <c r="C4" s="182"/>
      <c r="D4" s="30"/>
    </row>
    <row r="5" spans="3:6" x14ac:dyDescent="0.2">
      <c r="C5" s="30"/>
      <c r="D5" s="182" t="s">
        <v>283</v>
      </c>
      <c r="E5" s="30"/>
      <c r="F5" s="30"/>
    </row>
    <row r="6" spans="3:6" x14ac:dyDescent="0.2">
      <c r="C6" s="30"/>
      <c r="D6" s="30"/>
    </row>
    <row r="7" spans="3:6" ht="48" x14ac:dyDescent="0.2">
      <c r="C7" s="30"/>
      <c r="D7" s="249" t="s">
        <v>1001</v>
      </c>
    </row>
    <row r="8" spans="3:6" x14ac:dyDescent="0.2">
      <c r="C8" s="32"/>
      <c r="D8" s="32"/>
    </row>
    <row r="9" spans="3:6" x14ac:dyDescent="0.2">
      <c r="C9" s="32"/>
      <c r="D9" s="30" t="s">
        <v>284</v>
      </c>
      <c r="E9" s="30"/>
      <c r="F9" s="30"/>
    </row>
    <row r="10" spans="3:6" x14ac:dyDescent="0.2">
      <c r="C10" s="30"/>
      <c r="D10" s="32"/>
    </row>
    <row r="11" spans="3:6" x14ac:dyDescent="0.2">
      <c r="C11" s="32"/>
      <c r="D11" s="31" t="s">
        <v>524</v>
      </c>
    </row>
    <row r="12" spans="3:6" x14ac:dyDescent="0.2">
      <c r="C12" s="31"/>
      <c r="D12" s="31"/>
    </row>
    <row r="13" spans="3:6" ht="72" x14ac:dyDescent="0.2">
      <c r="C13" s="31"/>
      <c r="D13" s="31" t="s">
        <v>713</v>
      </c>
    </row>
    <row r="14" spans="3:6" x14ac:dyDescent="0.2">
      <c r="C14" s="31"/>
      <c r="D14" s="32"/>
    </row>
    <row r="15" spans="3:6" ht="36" x14ac:dyDescent="0.2">
      <c r="C15" s="32"/>
      <c r="D15" s="639" t="s">
        <v>1002</v>
      </c>
    </row>
    <row r="16" spans="3:6" x14ac:dyDescent="0.2">
      <c r="C16" s="32"/>
      <c r="D16" s="32"/>
    </row>
    <row r="17" spans="3:6" x14ac:dyDescent="0.2">
      <c r="C17" s="32"/>
      <c r="D17" s="32" t="s">
        <v>285</v>
      </c>
      <c r="F17" s="32"/>
    </row>
    <row r="18" spans="3:6" ht="24" x14ac:dyDescent="0.2">
      <c r="D18" s="32" t="s">
        <v>286</v>
      </c>
    </row>
    <row r="19" spans="3:6" ht="24" x14ac:dyDescent="0.2">
      <c r="C19" s="32"/>
      <c r="D19" s="32" t="s">
        <v>287</v>
      </c>
    </row>
    <row r="20" spans="3:6" ht="24" x14ac:dyDescent="0.2">
      <c r="C20" s="32"/>
      <c r="D20" s="32" t="s">
        <v>288</v>
      </c>
    </row>
    <row r="21" spans="3:6" ht="24" x14ac:dyDescent="0.2">
      <c r="C21" s="32"/>
      <c r="D21" s="32" t="s">
        <v>289</v>
      </c>
    </row>
    <row r="22" spans="3:6" x14ac:dyDescent="0.2">
      <c r="C22" s="32"/>
      <c r="D22" s="32" t="s">
        <v>290</v>
      </c>
    </row>
    <row r="23" spans="3:6" x14ac:dyDescent="0.2">
      <c r="C23" s="32"/>
      <c r="D23" s="32" t="s">
        <v>291</v>
      </c>
    </row>
    <row r="24" spans="3:6" ht="36" x14ac:dyDescent="0.2">
      <c r="C24" s="32"/>
      <c r="D24" s="32" t="s">
        <v>292</v>
      </c>
    </row>
    <row r="25" spans="3:6" ht="36" x14ac:dyDescent="0.2">
      <c r="C25" s="32"/>
      <c r="D25" s="32" t="s">
        <v>293</v>
      </c>
    </row>
    <row r="26" spans="3:6" ht="24" x14ac:dyDescent="0.2">
      <c r="C26" s="32"/>
      <c r="D26" s="32" t="s">
        <v>294</v>
      </c>
    </row>
    <row r="27" spans="3:6" ht="36" x14ac:dyDescent="0.2">
      <c r="C27" s="32"/>
      <c r="D27" s="32" t="s">
        <v>295</v>
      </c>
    </row>
    <row r="28" spans="3:6" x14ac:dyDescent="0.2">
      <c r="C28" s="32"/>
      <c r="D28" s="31"/>
    </row>
    <row r="29" spans="3:6" x14ac:dyDescent="0.2">
      <c r="C29" s="31"/>
      <c r="D29" s="31" t="s">
        <v>525</v>
      </c>
    </row>
    <row r="30" spans="3:6" x14ac:dyDescent="0.2">
      <c r="C30" s="31"/>
      <c r="D30" s="250"/>
    </row>
    <row r="31" spans="3:6" ht="24" x14ac:dyDescent="0.2">
      <c r="C31" s="250"/>
      <c r="D31" s="32" t="s">
        <v>889</v>
      </c>
    </row>
    <row r="32" spans="3:6" x14ac:dyDescent="0.2">
      <c r="C32" s="32"/>
      <c r="D32" s="32"/>
    </row>
    <row r="33" spans="3:6" x14ac:dyDescent="0.2">
      <c r="C33" s="32"/>
      <c r="D33" s="30" t="s">
        <v>296</v>
      </c>
      <c r="E33" s="30"/>
      <c r="F33" s="30"/>
    </row>
    <row r="34" spans="3:6" x14ac:dyDescent="0.2">
      <c r="C34" s="30"/>
      <c r="D34" s="32"/>
    </row>
    <row r="35" spans="3:6" x14ac:dyDescent="0.2">
      <c r="C35" s="32"/>
      <c r="D35" s="31" t="s">
        <v>297</v>
      </c>
    </row>
    <row r="36" spans="3:6" ht="24" x14ac:dyDescent="0.2">
      <c r="C36" s="31"/>
      <c r="D36" s="32" t="s">
        <v>890</v>
      </c>
    </row>
    <row r="37" spans="3:6" x14ac:dyDescent="0.2">
      <c r="C37" s="32"/>
      <c r="D37" s="32"/>
    </row>
    <row r="38" spans="3:6" x14ac:dyDescent="0.2">
      <c r="C38" s="32"/>
      <c r="D38" s="31" t="s">
        <v>298</v>
      </c>
    </row>
    <row r="39" spans="3:6" ht="36" x14ac:dyDescent="0.2">
      <c r="C39" s="31"/>
      <c r="D39" s="32" t="s">
        <v>752</v>
      </c>
    </row>
    <row r="40" spans="3:6" x14ac:dyDescent="0.2">
      <c r="C40" s="32"/>
      <c r="D40" s="32"/>
    </row>
    <row r="41" spans="3:6" x14ac:dyDescent="0.2">
      <c r="C41" s="32"/>
      <c r="D41" s="31" t="s">
        <v>299</v>
      </c>
    </row>
    <row r="42" spans="3:6" x14ac:dyDescent="0.2">
      <c r="C42" s="31"/>
      <c r="D42" s="32" t="s">
        <v>300</v>
      </c>
    </row>
    <row r="43" spans="3:6" x14ac:dyDescent="0.2">
      <c r="C43" s="32"/>
      <c r="D43" s="31"/>
    </row>
    <row r="44" spans="3:6" x14ac:dyDescent="0.2">
      <c r="C44" s="31"/>
      <c r="D44" s="31" t="s">
        <v>526</v>
      </c>
    </row>
    <row r="45" spans="3:6" ht="24" x14ac:dyDescent="0.2">
      <c r="C45" s="31"/>
      <c r="D45" s="32" t="s">
        <v>537</v>
      </c>
    </row>
    <row r="46" spans="3:6" ht="24" x14ac:dyDescent="0.2">
      <c r="C46" s="32"/>
      <c r="D46" s="32" t="s">
        <v>301</v>
      </c>
    </row>
    <row r="47" spans="3:6" x14ac:dyDescent="0.2">
      <c r="C47" s="32"/>
      <c r="D47" s="32"/>
    </row>
    <row r="48" spans="3:6" x14ac:dyDescent="0.2">
      <c r="C48" s="32"/>
      <c r="D48" s="31" t="s">
        <v>302</v>
      </c>
    </row>
    <row r="49" spans="3:6" ht="36" x14ac:dyDescent="0.2">
      <c r="C49" s="31"/>
      <c r="D49" s="32" t="s">
        <v>303</v>
      </c>
    </row>
    <row r="50" spans="3:6" x14ac:dyDescent="0.2">
      <c r="C50" s="32"/>
      <c r="D50" s="32"/>
    </row>
    <row r="51" spans="3:6" x14ac:dyDescent="0.2">
      <c r="C51" s="32"/>
      <c r="D51" s="31" t="s">
        <v>304</v>
      </c>
    </row>
    <row r="52" spans="3:6" ht="36" x14ac:dyDescent="0.2">
      <c r="C52" s="31"/>
      <c r="D52" s="32" t="s">
        <v>305</v>
      </c>
    </row>
    <row r="53" spans="3:6" x14ac:dyDescent="0.2">
      <c r="C53" s="32"/>
      <c r="D53" s="30"/>
    </row>
    <row r="54" spans="3:6" x14ac:dyDescent="0.2">
      <c r="C54" s="30"/>
      <c r="D54" s="30" t="s">
        <v>306</v>
      </c>
      <c r="E54" s="30"/>
      <c r="F54" s="30"/>
    </row>
    <row r="55" spans="3:6" x14ac:dyDescent="0.2">
      <c r="C55" s="30"/>
      <c r="D55" s="88" t="s">
        <v>307</v>
      </c>
    </row>
    <row r="56" spans="3:6" x14ac:dyDescent="0.2">
      <c r="C56" s="8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rgb="FF002060"/>
  </sheetPr>
  <dimension ref="C1:L99"/>
  <sheetViews>
    <sheetView showGridLines="0" topLeftCell="A79" zoomScaleNormal="100" workbookViewId="0">
      <selection activeCell="E77" sqref="E77"/>
    </sheetView>
  </sheetViews>
  <sheetFormatPr baseColWidth="10" defaultColWidth="11.42578125" defaultRowHeight="12" x14ac:dyDescent="0.2"/>
  <cols>
    <col min="1" max="1" width="3" style="29" customWidth="1"/>
    <col min="2" max="2" width="5.42578125" style="29" customWidth="1"/>
    <col min="3" max="3" width="47.42578125" style="29" bestFit="1" customWidth="1"/>
    <col min="4" max="4" width="11.85546875" style="29" bestFit="1" customWidth="1"/>
    <col min="5" max="5" width="15.42578125" style="29" bestFit="1" customWidth="1"/>
    <col min="6" max="6" width="9.85546875" style="29" bestFit="1" customWidth="1"/>
    <col min="7" max="7" width="13.42578125" style="29" customWidth="1"/>
    <col min="8" max="8" width="13.140625" style="29" bestFit="1" customWidth="1"/>
    <col min="9" max="9" width="12.42578125" style="29" customWidth="1"/>
    <col min="10" max="10" width="13.85546875" style="29" bestFit="1" customWidth="1"/>
    <col min="11" max="11" width="13.85546875" style="29" customWidth="1"/>
    <col min="12" max="12" width="14.140625" style="29" bestFit="1" customWidth="1"/>
    <col min="13" max="16384" width="11.42578125" style="29"/>
  </cols>
  <sheetData>
    <row r="1" spans="3:11" x14ac:dyDescent="0.2">
      <c r="C1" s="28"/>
    </row>
    <row r="3" spans="3:11" x14ac:dyDescent="0.2">
      <c r="C3" s="30" t="s">
        <v>308</v>
      </c>
      <c r="D3" s="30"/>
    </row>
    <row r="4" spans="3:11" x14ac:dyDescent="0.2">
      <c r="C4" s="30"/>
      <c r="D4" s="30"/>
    </row>
    <row r="5" spans="3:11" ht="18.75" customHeight="1" x14ac:dyDescent="0.2">
      <c r="C5" s="31" t="s">
        <v>514</v>
      </c>
    </row>
    <row r="6" spans="3:11" x14ac:dyDescent="0.2">
      <c r="C6" s="32"/>
    </row>
    <row r="7" spans="3:11" x14ac:dyDescent="0.2">
      <c r="C7" s="33" t="s">
        <v>309</v>
      </c>
      <c r="D7" s="34" t="str">
        <f>+INDICE!I3</f>
        <v>Al 30/6/2022</v>
      </c>
      <c r="E7" s="34">
        <v>44561</v>
      </c>
    </row>
    <row r="8" spans="3:11" x14ac:dyDescent="0.2">
      <c r="C8" s="35" t="s">
        <v>310</v>
      </c>
      <c r="D8" s="36">
        <v>6837.9</v>
      </c>
      <c r="E8" s="36">
        <v>6870.81</v>
      </c>
    </row>
    <row r="9" spans="3:11" x14ac:dyDescent="0.2">
      <c r="C9" s="37" t="s">
        <v>311</v>
      </c>
      <c r="D9" s="36">
        <v>6850.05</v>
      </c>
      <c r="E9" s="36">
        <v>6887.4</v>
      </c>
    </row>
    <row r="11" spans="3:11" x14ac:dyDescent="0.2">
      <c r="C11" s="31" t="s">
        <v>515</v>
      </c>
    </row>
    <row r="12" spans="3:11" x14ac:dyDescent="0.2">
      <c r="C12" s="31"/>
    </row>
    <row r="13" spans="3:11" x14ac:dyDescent="0.2">
      <c r="C13" s="38" t="s">
        <v>312</v>
      </c>
    </row>
    <row r="16" spans="3:11" ht="48" x14ac:dyDescent="0.2">
      <c r="C16" s="33" t="s">
        <v>313</v>
      </c>
      <c r="D16" s="39" t="s">
        <v>314</v>
      </c>
      <c r="E16" s="39" t="s">
        <v>315</v>
      </c>
      <c r="F16" s="39" t="s">
        <v>714</v>
      </c>
      <c r="G16" s="39" t="s">
        <v>644</v>
      </c>
      <c r="H16" s="39" t="s">
        <v>314</v>
      </c>
      <c r="I16" s="39" t="s">
        <v>315</v>
      </c>
      <c r="J16" s="39" t="s">
        <v>715</v>
      </c>
      <c r="K16" s="39" t="s">
        <v>645</v>
      </c>
    </row>
    <row r="17" spans="3:12" x14ac:dyDescent="0.2">
      <c r="C17" s="40" t="s">
        <v>58</v>
      </c>
      <c r="D17" s="41"/>
      <c r="E17" s="41"/>
      <c r="F17" s="41"/>
      <c r="G17" s="41"/>
      <c r="H17" s="41"/>
      <c r="I17" s="41"/>
      <c r="J17" s="41"/>
      <c r="K17" s="41"/>
    </row>
    <row r="18" spans="3:12" x14ac:dyDescent="0.2">
      <c r="C18" s="40" t="s">
        <v>316</v>
      </c>
      <c r="D18" s="41"/>
      <c r="E18" s="41"/>
      <c r="F18" s="41"/>
      <c r="G18" s="41"/>
      <c r="H18" s="41"/>
      <c r="I18" s="41"/>
      <c r="J18" s="41"/>
      <c r="K18" s="41"/>
    </row>
    <row r="19" spans="3:12" x14ac:dyDescent="0.2">
      <c r="C19" s="40" t="s">
        <v>317</v>
      </c>
      <c r="D19" s="41"/>
      <c r="E19" s="42"/>
      <c r="F19" s="41"/>
      <c r="G19" s="41"/>
      <c r="H19" s="41"/>
      <c r="I19" s="42"/>
      <c r="J19" s="41"/>
      <c r="K19" s="41"/>
      <c r="L19" s="43"/>
    </row>
    <row r="20" spans="3:12" x14ac:dyDescent="0.2">
      <c r="C20" s="41" t="s">
        <v>64</v>
      </c>
      <c r="D20" s="44" t="s">
        <v>318</v>
      </c>
      <c r="E20" s="45">
        <v>0</v>
      </c>
      <c r="F20" s="46">
        <f>+D8</f>
        <v>6837.9</v>
      </c>
      <c r="G20" s="46">
        <v>0</v>
      </c>
      <c r="H20" s="44" t="s">
        <v>318</v>
      </c>
      <c r="I20" s="45">
        <v>0</v>
      </c>
      <c r="J20" s="46">
        <v>6891.96</v>
      </c>
      <c r="K20" s="46">
        <v>0</v>
      </c>
    </row>
    <row r="21" spans="3:12" x14ac:dyDescent="0.2">
      <c r="C21" s="41" t="s">
        <v>67</v>
      </c>
      <c r="D21" s="44" t="s">
        <v>318</v>
      </c>
      <c r="E21" s="45">
        <f>+G21/F21</f>
        <v>2274.8199008467514</v>
      </c>
      <c r="F21" s="46">
        <f>+F20</f>
        <v>6837.9</v>
      </c>
      <c r="G21" s="392">
        <f>+'Balance Gral 30 06 2022'!B8+'Balance Gral 30 06 2022'!B13</f>
        <v>15554991</v>
      </c>
      <c r="H21" s="44" t="s">
        <v>318</v>
      </c>
      <c r="I21" s="45">
        <v>849.16261689999999</v>
      </c>
      <c r="J21" s="46">
        <v>6891.96</v>
      </c>
      <c r="K21" s="392">
        <v>5877496.0361256879</v>
      </c>
    </row>
    <row r="22" spans="3:12" x14ac:dyDescent="0.2">
      <c r="C22" s="48" t="s">
        <v>521</v>
      </c>
      <c r="D22" s="49"/>
      <c r="E22" s="45"/>
      <c r="F22" s="46">
        <f t="shared" ref="F22:F57" si="0">+F21</f>
        <v>6837.9</v>
      </c>
      <c r="G22" s="46"/>
      <c r="H22" s="49"/>
      <c r="I22" s="45"/>
      <c r="J22" s="46">
        <v>6891.96</v>
      </c>
      <c r="K22" s="46"/>
    </row>
    <row r="23" spans="3:12" x14ac:dyDescent="0.2">
      <c r="C23" s="49" t="s">
        <v>330</v>
      </c>
      <c r="D23" s="50" t="s">
        <v>318</v>
      </c>
      <c r="E23" s="45">
        <v>0</v>
      </c>
      <c r="F23" s="46">
        <f t="shared" si="0"/>
        <v>6837.9</v>
      </c>
      <c r="G23" s="46">
        <v>0</v>
      </c>
      <c r="H23" s="50" t="s">
        <v>318</v>
      </c>
      <c r="I23" s="45">
        <v>0</v>
      </c>
      <c r="J23" s="46">
        <v>6891.96</v>
      </c>
      <c r="K23" s="46">
        <v>0</v>
      </c>
    </row>
    <row r="24" spans="3:12" x14ac:dyDescent="0.2">
      <c r="C24" s="49" t="s">
        <v>331</v>
      </c>
      <c r="D24" s="50" t="s">
        <v>318</v>
      </c>
      <c r="E24" s="45">
        <v>0</v>
      </c>
      <c r="F24" s="46">
        <f t="shared" si="0"/>
        <v>6837.9</v>
      </c>
      <c r="G24" s="46">
        <v>0</v>
      </c>
      <c r="H24" s="50" t="s">
        <v>318</v>
      </c>
      <c r="I24" s="180">
        <v>0</v>
      </c>
      <c r="J24" s="46">
        <v>6891.96</v>
      </c>
      <c r="K24" s="46">
        <v>0</v>
      </c>
    </row>
    <row r="25" spans="3:12" x14ac:dyDescent="0.2">
      <c r="C25" s="49" t="s">
        <v>332</v>
      </c>
      <c r="D25" s="50" t="s">
        <v>318</v>
      </c>
      <c r="E25" s="45"/>
      <c r="F25" s="46">
        <f t="shared" si="0"/>
        <v>6837.9</v>
      </c>
      <c r="G25" s="46"/>
      <c r="H25" s="50" t="s">
        <v>318</v>
      </c>
      <c r="I25" s="45"/>
      <c r="J25" s="46">
        <v>6891.96</v>
      </c>
      <c r="K25" s="46"/>
    </row>
    <row r="26" spans="3:12" x14ac:dyDescent="0.2">
      <c r="C26" s="41"/>
      <c r="D26" s="44"/>
      <c r="E26" s="45"/>
      <c r="F26" s="46">
        <f t="shared" si="0"/>
        <v>6837.9</v>
      </c>
      <c r="G26" s="46"/>
      <c r="H26" s="44"/>
      <c r="I26" s="45"/>
      <c r="J26" s="46"/>
      <c r="K26" s="46"/>
    </row>
    <row r="27" spans="3:12" x14ac:dyDescent="0.2">
      <c r="C27" s="40" t="s">
        <v>121</v>
      </c>
      <c r="D27" s="41"/>
      <c r="E27" s="45"/>
      <c r="F27" s="46">
        <f t="shared" si="0"/>
        <v>6837.9</v>
      </c>
      <c r="G27" s="46"/>
      <c r="H27" s="41"/>
      <c r="I27" s="45"/>
      <c r="J27" s="46">
        <v>6891.96</v>
      </c>
      <c r="K27" s="46"/>
    </row>
    <row r="28" spans="3:12" x14ac:dyDescent="0.2">
      <c r="C28" s="41" t="s">
        <v>79</v>
      </c>
      <c r="D28" s="44" t="s">
        <v>318</v>
      </c>
      <c r="E28" s="45">
        <v>0</v>
      </c>
      <c r="F28" s="46">
        <f t="shared" si="0"/>
        <v>6837.9</v>
      </c>
      <c r="G28" s="46">
        <v>0</v>
      </c>
      <c r="H28" s="44" t="s">
        <v>318</v>
      </c>
      <c r="I28" s="45">
        <v>0</v>
      </c>
      <c r="J28" s="46">
        <v>6891.96</v>
      </c>
      <c r="K28" s="46">
        <v>0</v>
      </c>
    </row>
    <row r="29" spans="3:12" x14ac:dyDescent="0.2">
      <c r="C29" s="41" t="s">
        <v>319</v>
      </c>
      <c r="D29" s="44" t="s">
        <v>318</v>
      </c>
      <c r="E29" s="45">
        <v>0</v>
      </c>
      <c r="F29" s="46">
        <f t="shared" si="0"/>
        <v>6837.9</v>
      </c>
      <c r="G29" s="46">
        <v>0</v>
      </c>
      <c r="H29" s="44" t="s">
        <v>318</v>
      </c>
      <c r="I29" s="45">
        <v>0</v>
      </c>
      <c r="J29" s="46">
        <v>6891.96</v>
      </c>
      <c r="K29" s="46">
        <v>0</v>
      </c>
    </row>
    <row r="30" spans="3:12" x14ac:dyDescent="0.2">
      <c r="C30" s="41" t="s">
        <v>320</v>
      </c>
      <c r="D30" s="44" t="s">
        <v>318</v>
      </c>
      <c r="E30" s="45">
        <v>0</v>
      </c>
      <c r="F30" s="46">
        <f t="shared" si="0"/>
        <v>6837.9</v>
      </c>
      <c r="G30" s="46">
        <v>0</v>
      </c>
      <c r="H30" s="44" t="s">
        <v>318</v>
      </c>
      <c r="I30" s="45">
        <v>0</v>
      </c>
      <c r="J30" s="46">
        <v>6891.96</v>
      </c>
      <c r="K30" s="46">
        <v>0</v>
      </c>
    </row>
    <row r="31" spans="3:12" x14ac:dyDescent="0.2">
      <c r="C31" s="41" t="s">
        <v>321</v>
      </c>
      <c r="D31" s="44" t="s">
        <v>318</v>
      </c>
      <c r="E31" s="45">
        <v>0</v>
      </c>
      <c r="F31" s="46">
        <f t="shared" si="0"/>
        <v>6837.9</v>
      </c>
      <c r="G31" s="46">
        <v>0</v>
      </c>
      <c r="H31" s="44" t="s">
        <v>318</v>
      </c>
      <c r="I31" s="45">
        <v>0</v>
      </c>
      <c r="J31" s="46">
        <v>6891.96</v>
      </c>
      <c r="K31" s="46">
        <v>0</v>
      </c>
    </row>
    <row r="32" spans="3:12" x14ac:dyDescent="0.2">
      <c r="C32" s="41" t="s">
        <v>87</v>
      </c>
      <c r="D32" s="44" t="s">
        <v>318</v>
      </c>
      <c r="E32" s="45">
        <v>0</v>
      </c>
      <c r="F32" s="46">
        <f t="shared" si="0"/>
        <v>6837.9</v>
      </c>
      <c r="G32" s="46">
        <v>0</v>
      </c>
      <c r="H32" s="44" t="s">
        <v>318</v>
      </c>
      <c r="I32" s="45">
        <v>0</v>
      </c>
      <c r="J32" s="46">
        <v>6891.96</v>
      </c>
      <c r="K32" s="46">
        <v>0</v>
      </c>
    </row>
    <row r="33" spans="3:11" x14ac:dyDescent="0.2">
      <c r="C33" s="41" t="s">
        <v>322</v>
      </c>
      <c r="D33" s="44" t="s">
        <v>318</v>
      </c>
      <c r="E33" s="45">
        <v>0</v>
      </c>
      <c r="F33" s="46">
        <f t="shared" si="0"/>
        <v>6837.9</v>
      </c>
      <c r="G33" s="46">
        <v>0</v>
      </c>
      <c r="H33" s="44" t="s">
        <v>318</v>
      </c>
      <c r="I33" s="45">
        <v>0</v>
      </c>
      <c r="J33" s="46">
        <v>6891.96</v>
      </c>
      <c r="K33" s="46">
        <v>0</v>
      </c>
    </row>
    <row r="34" spans="3:11" x14ac:dyDescent="0.2">
      <c r="C34" s="40" t="s">
        <v>323</v>
      </c>
      <c r="D34" s="41"/>
      <c r="E34" s="45"/>
      <c r="F34" s="46">
        <f t="shared" si="0"/>
        <v>6837.9</v>
      </c>
      <c r="G34" s="46"/>
      <c r="H34" s="41"/>
      <c r="I34" s="45"/>
      <c r="J34" s="46">
        <v>6891.96</v>
      </c>
      <c r="K34" s="46"/>
    </row>
    <row r="35" spans="3:11" x14ac:dyDescent="0.2">
      <c r="C35" s="41" t="s">
        <v>324</v>
      </c>
      <c r="D35" s="44" t="s">
        <v>318</v>
      </c>
      <c r="E35" s="45">
        <v>0</v>
      </c>
      <c r="F35" s="46">
        <f t="shared" si="0"/>
        <v>6837.9</v>
      </c>
      <c r="G35" s="46">
        <v>0</v>
      </c>
      <c r="H35" s="44" t="s">
        <v>318</v>
      </c>
      <c r="I35" s="45">
        <v>0</v>
      </c>
      <c r="J35" s="46">
        <v>6891.96</v>
      </c>
      <c r="K35" s="46">
        <v>0</v>
      </c>
    </row>
    <row r="36" spans="3:11" x14ac:dyDescent="0.2">
      <c r="C36" s="41" t="s">
        <v>325</v>
      </c>
      <c r="D36" s="44" t="s">
        <v>318</v>
      </c>
      <c r="E36" s="45">
        <v>0</v>
      </c>
      <c r="F36" s="46">
        <f t="shared" si="0"/>
        <v>6837.9</v>
      </c>
      <c r="G36" s="46">
        <v>0</v>
      </c>
      <c r="H36" s="44" t="s">
        <v>318</v>
      </c>
      <c r="I36" s="45">
        <v>0</v>
      </c>
      <c r="J36" s="46">
        <v>6891.96</v>
      </c>
      <c r="K36" s="46">
        <v>0</v>
      </c>
    </row>
    <row r="37" spans="3:11" x14ac:dyDescent="0.2">
      <c r="C37" s="40" t="s">
        <v>94</v>
      </c>
      <c r="D37" s="41"/>
      <c r="E37" s="45"/>
      <c r="F37" s="46">
        <f t="shared" si="0"/>
        <v>6837.9</v>
      </c>
      <c r="G37" s="46"/>
      <c r="H37" s="41"/>
      <c r="I37" s="45"/>
      <c r="J37" s="46">
        <v>6891.96</v>
      </c>
      <c r="K37" s="46"/>
    </row>
    <row r="38" spans="3:11" x14ac:dyDescent="0.2">
      <c r="C38" s="41" t="s">
        <v>326</v>
      </c>
      <c r="D38" s="44" t="s">
        <v>318</v>
      </c>
      <c r="E38" s="45">
        <v>0</v>
      </c>
      <c r="F38" s="46">
        <f t="shared" si="0"/>
        <v>6837.9</v>
      </c>
      <c r="G38" s="46">
        <v>0</v>
      </c>
      <c r="H38" s="44" t="s">
        <v>318</v>
      </c>
      <c r="I38" s="45">
        <v>0</v>
      </c>
      <c r="J38" s="46">
        <v>6891.96</v>
      </c>
      <c r="K38" s="46">
        <v>0</v>
      </c>
    </row>
    <row r="39" spans="3:11" x14ac:dyDescent="0.2">
      <c r="C39" s="41" t="s">
        <v>327</v>
      </c>
      <c r="D39" s="44" t="s">
        <v>318</v>
      </c>
      <c r="E39" s="45">
        <v>0</v>
      </c>
      <c r="F39" s="46">
        <f t="shared" si="0"/>
        <v>6837.9</v>
      </c>
      <c r="G39" s="46">
        <v>0</v>
      </c>
      <c r="H39" s="44" t="s">
        <v>318</v>
      </c>
      <c r="I39" s="45">
        <v>0</v>
      </c>
      <c r="J39" s="46">
        <v>6891.96</v>
      </c>
      <c r="K39" s="46">
        <v>0</v>
      </c>
    </row>
    <row r="40" spans="3:11" x14ac:dyDescent="0.2">
      <c r="C40" s="47" t="s">
        <v>105</v>
      </c>
      <c r="D40" s="44"/>
      <c r="E40" s="45"/>
      <c r="F40" s="46">
        <f t="shared" si="0"/>
        <v>6837.9</v>
      </c>
      <c r="G40" s="46"/>
      <c r="H40" s="44"/>
      <c r="I40" s="45"/>
      <c r="J40" s="46">
        <v>6891.96</v>
      </c>
      <c r="K40" s="46"/>
    </row>
    <row r="41" spans="3:11" x14ac:dyDescent="0.2">
      <c r="C41" s="48" t="s">
        <v>121</v>
      </c>
      <c r="D41" s="49"/>
      <c r="E41" s="45"/>
      <c r="F41" s="46">
        <f t="shared" si="0"/>
        <v>6837.9</v>
      </c>
      <c r="G41" s="46"/>
      <c r="H41" s="49"/>
      <c r="I41" s="45"/>
      <c r="J41" s="46">
        <v>6891.96</v>
      </c>
      <c r="K41" s="46"/>
    </row>
    <row r="42" spans="3:11" ht="14.25" customHeight="1" x14ac:dyDescent="0.2">
      <c r="C42" s="49" t="s">
        <v>328</v>
      </c>
      <c r="D42" s="50" t="s">
        <v>318</v>
      </c>
      <c r="E42" s="45">
        <v>0</v>
      </c>
      <c r="F42" s="46">
        <f t="shared" si="0"/>
        <v>6837.9</v>
      </c>
      <c r="G42" s="46">
        <v>0</v>
      </c>
      <c r="H42" s="50" t="s">
        <v>318</v>
      </c>
      <c r="I42" s="45">
        <v>0</v>
      </c>
      <c r="J42" s="46">
        <v>6891.96</v>
      </c>
      <c r="K42" s="46">
        <v>0</v>
      </c>
    </row>
    <row r="43" spans="3:11" x14ac:dyDescent="0.2">
      <c r="C43" s="48" t="s">
        <v>329</v>
      </c>
      <c r="D43" s="49"/>
      <c r="E43" s="45"/>
      <c r="F43" s="46">
        <f t="shared" si="0"/>
        <v>6837.9</v>
      </c>
      <c r="G43" s="46"/>
      <c r="H43" s="49"/>
      <c r="I43" s="45"/>
      <c r="J43" s="46">
        <v>6891.96</v>
      </c>
      <c r="K43" s="46"/>
    </row>
    <row r="44" spans="3:11" x14ac:dyDescent="0.2">
      <c r="C44" s="49" t="s">
        <v>330</v>
      </c>
      <c r="D44" s="50" t="s">
        <v>318</v>
      </c>
      <c r="E44" s="45">
        <v>0</v>
      </c>
      <c r="F44" s="46">
        <f t="shared" si="0"/>
        <v>6837.9</v>
      </c>
      <c r="G44" s="46">
        <v>0</v>
      </c>
      <c r="H44" s="50" t="s">
        <v>318</v>
      </c>
      <c r="I44" s="45">
        <v>0</v>
      </c>
      <c r="J44" s="46">
        <v>6891.96</v>
      </c>
      <c r="K44" s="46">
        <v>0</v>
      </c>
    </row>
    <row r="45" spans="3:11" x14ac:dyDescent="0.2">
      <c r="C45" s="49" t="s">
        <v>331</v>
      </c>
      <c r="D45" s="50" t="s">
        <v>318</v>
      </c>
      <c r="E45" s="45">
        <v>0</v>
      </c>
      <c r="F45" s="46">
        <f t="shared" si="0"/>
        <v>6837.9</v>
      </c>
      <c r="G45" s="46">
        <v>0</v>
      </c>
      <c r="H45" s="50" t="s">
        <v>318</v>
      </c>
      <c r="I45" s="180">
        <v>0</v>
      </c>
      <c r="J45" s="46">
        <v>6891.96</v>
      </c>
      <c r="K45" s="46">
        <v>0</v>
      </c>
    </row>
    <row r="46" spans="3:11" x14ac:dyDescent="0.2">
      <c r="C46" s="49" t="s">
        <v>332</v>
      </c>
      <c r="D46" s="50" t="s">
        <v>318</v>
      </c>
      <c r="E46" s="45"/>
      <c r="F46" s="46">
        <f t="shared" si="0"/>
        <v>6837.9</v>
      </c>
      <c r="G46" s="46"/>
      <c r="H46" s="50" t="s">
        <v>318</v>
      </c>
      <c r="I46" s="45"/>
      <c r="J46" s="46">
        <v>6891.96</v>
      </c>
      <c r="K46" s="46"/>
    </row>
    <row r="47" spans="3:11" x14ac:dyDescent="0.2">
      <c r="C47" s="48" t="s">
        <v>333</v>
      </c>
      <c r="D47" s="49"/>
      <c r="E47" s="45"/>
      <c r="F47" s="46">
        <f t="shared" si="0"/>
        <v>6837.9</v>
      </c>
      <c r="G47" s="46"/>
      <c r="H47" s="49"/>
      <c r="I47" s="45"/>
      <c r="J47" s="46">
        <v>6891.96</v>
      </c>
      <c r="K47" s="46"/>
    </row>
    <row r="48" spans="3:11" x14ac:dyDescent="0.2">
      <c r="C48" s="49" t="s">
        <v>334</v>
      </c>
      <c r="D48" s="50" t="s">
        <v>318</v>
      </c>
      <c r="E48" s="45">
        <v>0</v>
      </c>
      <c r="F48" s="46">
        <f t="shared" si="0"/>
        <v>6837.9</v>
      </c>
      <c r="G48" s="46">
        <v>0</v>
      </c>
      <c r="H48" s="50" t="s">
        <v>318</v>
      </c>
      <c r="I48" s="45">
        <v>0</v>
      </c>
      <c r="J48" s="46">
        <v>6891.96</v>
      </c>
      <c r="K48" s="46">
        <v>0</v>
      </c>
    </row>
    <row r="49" spans="3:11" x14ac:dyDescent="0.2">
      <c r="C49" s="49" t="s">
        <v>335</v>
      </c>
      <c r="D49" s="50" t="s">
        <v>318</v>
      </c>
      <c r="E49" s="45">
        <v>0</v>
      </c>
      <c r="F49" s="46">
        <f t="shared" si="0"/>
        <v>6837.9</v>
      </c>
      <c r="G49" s="46">
        <v>0</v>
      </c>
      <c r="H49" s="50" t="s">
        <v>318</v>
      </c>
      <c r="I49" s="45">
        <v>0</v>
      </c>
      <c r="J49" s="46">
        <v>6891.96</v>
      </c>
      <c r="K49" s="46">
        <v>0</v>
      </c>
    </row>
    <row r="50" spans="3:11" x14ac:dyDescent="0.2">
      <c r="C50" s="48" t="s">
        <v>336</v>
      </c>
      <c r="D50" s="49"/>
      <c r="E50" s="45"/>
      <c r="F50" s="46">
        <f t="shared" si="0"/>
        <v>6837.9</v>
      </c>
      <c r="G50" s="46"/>
      <c r="H50" s="49"/>
      <c r="I50" s="45"/>
      <c r="J50" s="46">
        <v>6891.96</v>
      </c>
      <c r="K50" s="46"/>
    </row>
    <row r="51" spans="3:11" x14ac:dyDescent="0.2">
      <c r="C51" s="49" t="s">
        <v>140</v>
      </c>
      <c r="D51" s="50" t="s">
        <v>318</v>
      </c>
      <c r="E51" s="45">
        <v>0</v>
      </c>
      <c r="F51" s="46">
        <f t="shared" si="0"/>
        <v>6837.9</v>
      </c>
      <c r="G51" s="46">
        <v>0</v>
      </c>
      <c r="H51" s="50" t="s">
        <v>318</v>
      </c>
      <c r="I51" s="45">
        <v>0</v>
      </c>
      <c r="J51" s="46">
        <v>6891.96</v>
      </c>
      <c r="K51" s="46">
        <v>0</v>
      </c>
    </row>
    <row r="52" spans="3:11" x14ac:dyDescent="0.2">
      <c r="C52" s="49" t="s">
        <v>141</v>
      </c>
      <c r="D52" s="50" t="s">
        <v>318</v>
      </c>
      <c r="E52" s="45">
        <v>0</v>
      </c>
      <c r="F52" s="46">
        <f t="shared" si="0"/>
        <v>6837.9</v>
      </c>
      <c r="G52" s="46">
        <v>0</v>
      </c>
      <c r="H52" s="50" t="s">
        <v>318</v>
      </c>
      <c r="I52" s="45">
        <v>0</v>
      </c>
      <c r="J52" s="46">
        <v>6891.96</v>
      </c>
      <c r="K52" s="46">
        <v>0</v>
      </c>
    </row>
    <row r="53" spans="3:11" x14ac:dyDescent="0.2">
      <c r="C53" s="49" t="s">
        <v>143</v>
      </c>
      <c r="D53" s="50" t="s">
        <v>318</v>
      </c>
      <c r="E53" s="45">
        <v>0</v>
      </c>
      <c r="F53" s="46">
        <f t="shared" si="0"/>
        <v>6837.9</v>
      </c>
      <c r="G53" s="46">
        <v>0</v>
      </c>
      <c r="H53" s="50" t="s">
        <v>318</v>
      </c>
      <c r="I53" s="45">
        <v>0</v>
      </c>
      <c r="J53" s="46">
        <v>6891.96</v>
      </c>
      <c r="K53" s="46">
        <v>0</v>
      </c>
    </row>
    <row r="54" spans="3:11" x14ac:dyDescent="0.2">
      <c r="C54" s="49" t="s">
        <v>337</v>
      </c>
      <c r="D54" s="50" t="s">
        <v>318</v>
      </c>
      <c r="E54" s="45">
        <v>0</v>
      </c>
      <c r="F54" s="46">
        <f t="shared" si="0"/>
        <v>6837.9</v>
      </c>
      <c r="G54" s="46">
        <v>0</v>
      </c>
      <c r="H54" s="50" t="s">
        <v>318</v>
      </c>
      <c r="I54" s="45">
        <v>0</v>
      </c>
      <c r="J54" s="46">
        <v>6891.96</v>
      </c>
      <c r="K54" s="46">
        <v>0</v>
      </c>
    </row>
    <row r="55" spans="3:11" x14ac:dyDescent="0.2">
      <c r="C55" s="49" t="s">
        <v>145</v>
      </c>
      <c r="D55" s="50" t="s">
        <v>318</v>
      </c>
      <c r="E55" s="45">
        <v>0</v>
      </c>
      <c r="F55" s="46">
        <f t="shared" si="0"/>
        <v>6837.9</v>
      </c>
      <c r="G55" s="46">
        <v>0</v>
      </c>
      <c r="H55" s="50" t="s">
        <v>318</v>
      </c>
      <c r="I55" s="45">
        <v>0</v>
      </c>
      <c r="J55" s="46">
        <v>6891.96</v>
      </c>
      <c r="K55" s="46">
        <v>0</v>
      </c>
    </row>
    <row r="56" spans="3:11" x14ac:dyDescent="0.2">
      <c r="C56" s="47" t="s">
        <v>94</v>
      </c>
      <c r="D56" s="51"/>
      <c r="E56" s="45"/>
      <c r="F56" s="46">
        <f t="shared" si="0"/>
        <v>6837.9</v>
      </c>
      <c r="G56" s="46"/>
      <c r="H56" s="51"/>
      <c r="I56" s="45"/>
      <c r="J56" s="46">
        <v>6891.96</v>
      </c>
      <c r="K56" s="46"/>
    </row>
    <row r="57" spans="3:11" x14ac:dyDescent="0.2">
      <c r="C57" s="49" t="s">
        <v>338</v>
      </c>
      <c r="D57" s="50" t="s">
        <v>318</v>
      </c>
      <c r="E57" s="45">
        <v>0</v>
      </c>
      <c r="F57" s="46">
        <f t="shared" si="0"/>
        <v>6837.9</v>
      </c>
      <c r="G57" s="46">
        <v>0</v>
      </c>
      <c r="H57" s="50" t="s">
        <v>318</v>
      </c>
      <c r="I57" s="45">
        <v>0</v>
      </c>
      <c r="J57" s="46">
        <v>6891.96</v>
      </c>
      <c r="K57" s="46">
        <v>0</v>
      </c>
    </row>
    <row r="60" spans="3:11" ht="48" x14ac:dyDescent="0.2">
      <c r="C60" s="33" t="s">
        <v>313</v>
      </c>
      <c r="D60" s="39" t="s">
        <v>314</v>
      </c>
      <c r="E60" s="39" t="s">
        <v>315</v>
      </c>
      <c r="F60" s="39" t="str">
        <f>+F16</f>
        <v>CAMBIO CIERRE PERIODO ACTUAL</v>
      </c>
      <c r="G60" s="39"/>
      <c r="H60" s="39" t="s">
        <v>314</v>
      </c>
      <c r="I60" s="39" t="s">
        <v>315</v>
      </c>
      <c r="J60" s="39" t="str">
        <f>+J16</f>
        <v>CAMBIO CIERRE PERIODO ANTERIOR</v>
      </c>
      <c r="K60" s="39" t="s">
        <v>645</v>
      </c>
    </row>
    <row r="61" spans="3:11" x14ac:dyDescent="0.2">
      <c r="C61" s="47" t="s">
        <v>59</v>
      </c>
      <c r="D61" s="51"/>
      <c r="E61" s="51"/>
      <c r="F61" s="51"/>
      <c r="G61" s="51"/>
      <c r="H61" s="51"/>
      <c r="I61" s="51"/>
      <c r="J61" s="51"/>
      <c r="K61" s="51"/>
    </row>
    <row r="62" spans="3:11" x14ac:dyDescent="0.2">
      <c r="C62" s="47" t="s">
        <v>61</v>
      </c>
      <c r="D62" s="51"/>
      <c r="E62" s="51"/>
      <c r="F62" s="51"/>
      <c r="G62" s="51"/>
      <c r="H62" s="51"/>
      <c r="I62" s="51"/>
      <c r="J62" s="51"/>
      <c r="K62" s="51"/>
    </row>
    <row r="63" spans="3:11" x14ac:dyDescent="0.2">
      <c r="C63" s="40" t="s">
        <v>339</v>
      </c>
      <c r="D63" s="41"/>
      <c r="E63" s="42"/>
      <c r="F63" s="52"/>
      <c r="G63" s="52"/>
      <c r="H63" s="41"/>
      <c r="I63" s="42"/>
      <c r="J63" s="41"/>
      <c r="K63" s="41"/>
    </row>
    <row r="64" spans="3:11" x14ac:dyDescent="0.2">
      <c r="C64" s="41" t="s">
        <v>340</v>
      </c>
      <c r="D64" s="44" t="s">
        <v>318</v>
      </c>
      <c r="E64" s="45">
        <f>+G64/F64</f>
        <v>435.36003386836592</v>
      </c>
      <c r="F64" s="46">
        <f>+D9</f>
        <v>6850.05</v>
      </c>
      <c r="G64" s="392">
        <f>+Tabla1[[#This Row],[30/06/2022]]</f>
        <v>2982238</v>
      </c>
      <c r="H64" s="44" t="s">
        <v>318</v>
      </c>
      <c r="I64" s="45">
        <v>0</v>
      </c>
      <c r="J64" s="46">
        <v>6941.65</v>
      </c>
      <c r="K64" s="45">
        <v>0</v>
      </c>
    </row>
    <row r="65" spans="3:11" x14ac:dyDescent="0.2">
      <c r="C65" s="41" t="s">
        <v>341</v>
      </c>
      <c r="D65" s="44" t="s">
        <v>318</v>
      </c>
      <c r="E65" s="45">
        <f>+G65/F65</f>
        <v>161.49006211633491</v>
      </c>
      <c r="F65" s="46">
        <f>+F64</f>
        <v>6850.05</v>
      </c>
      <c r="G65" s="392">
        <f>+'Balance Gral 30 06 2022'!B55</f>
        <v>1106215</v>
      </c>
      <c r="H65" s="44" t="s">
        <v>318</v>
      </c>
      <c r="I65" s="45">
        <v>0</v>
      </c>
      <c r="J65" s="46">
        <v>6941.65</v>
      </c>
      <c r="K65" s="45">
        <v>0</v>
      </c>
    </row>
    <row r="66" spans="3:11" x14ac:dyDescent="0.2">
      <c r="C66" s="41" t="s">
        <v>342</v>
      </c>
      <c r="D66" s="44" t="s">
        <v>318</v>
      </c>
      <c r="E66" s="45">
        <v>0</v>
      </c>
      <c r="F66" s="46">
        <f t="shared" ref="F66:F86" si="1">+F65</f>
        <v>6850.05</v>
      </c>
      <c r="G66" s="46">
        <v>0</v>
      </c>
      <c r="H66" s="44" t="s">
        <v>318</v>
      </c>
      <c r="I66" s="45">
        <v>0</v>
      </c>
      <c r="J66" s="46">
        <v>6941.65</v>
      </c>
      <c r="K66" s="45">
        <v>0</v>
      </c>
    </row>
    <row r="67" spans="3:11" x14ac:dyDescent="0.2">
      <c r="C67" s="41" t="s">
        <v>343</v>
      </c>
      <c r="D67" s="44" t="s">
        <v>318</v>
      </c>
      <c r="E67" s="45">
        <v>0</v>
      </c>
      <c r="F67" s="46">
        <f t="shared" si="1"/>
        <v>6850.05</v>
      </c>
      <c r="G67" s="46">
        <v>0</v>
      </c>
      <c r="H67" s="44" t="s">
        <v>318</v>
      </c>
      <c r="I67" s="45">
        <v>0</v>
      </c>
      <c r="J67" s="46">
        <v>6941.65</v>
      </c>
      <c r="K67" s="45">
        <v>0</v>
      </c>
    </row>
    <row r="68" spans="3:11" x14ac:dyDescent="0.2">
      <c r="C68" s="40" t="s">
        <v>109</v>
      </c>
      <c r="D68" s="41"/>
      <c r="E68" s="45"/>
      <c r="F68" s="46">
        <f t="shared" si="1"/>
        <v>6850.05</v>
      </c>
      <c r="G68" s="46"/>
      <c r="H68" s="41"/>
      <c r="I68" s="45"/>
      <c r="J68" s="46">
        <v>6941.65</v>
      </c>
      <c r="K68" s="45"/>
    </row>
    <row r="69" spans="3:11" x14ac:dyDescent="0.2">
      <c r="C69" s="41" t="s">
        <v>344</v>
      </c>
      <c r="D69" s="44" t="s">
        <v>318</v>
      </c>
      <c r="E69" s="45">
        <v>0</v>
      </c>
      <c r="F69" s="46">
        <f t="shared" si="1"/>
        <v>6850.05</v>
      </c>
      <c r="G69" s="46">
        <v>0</v>
      </c>
      <c r="H69" s="44" t="s">
        <v>318</v>
      </c>
      <c r="I69" s="45">
        <v>0</v>
      </c>
      <c r="J69" s="46">
        <v>6941.65</v>
      </c>
      <c r="K69" s="45">
        <v>0</v>
      </c>
    </row>
    <row r="70" spans="3:11" x14ac:dyDescent="0.2">
      <c r="C70" s="41" t="s">
        <v>345</v>
      </c>
      <c r="D70" s="44" t="s">
        <v>318</v>
      </c>
      <c r="E70" s="52">
        <v>0</v>
      </c>
      <c r="F70" s="46">
        <f t="shared" si="1"/>
        <v>6850.05</v>
      </c>
      <c r="G70" s="46">
        <v>0</v>
      </c>
      <c r="H70" s="44" t="s">
        <v>318</v>
      </c>
      <c r="I70" s="45">
        <v>0</v>
      </c>
      <c r="J70" s="46">
        <v>6941.65</v>
      </c>
      <c r="K70" s="45">
        <v>0</v>
      </c>
    </row>
    <row r="71" spans="3:11" x14ac:dyDescent="0.2">
      <c r="C71" s="41" t="s">
        <v>72</v>
      </c>
      <c r="D71" s="44" t="s">
        <v>318</v>
      </c>
      <c r="E71" s="45">
        <v>0</v>
      </c>
      <c r="F71" s="46">
        <f t="shared" si="1"/>
        <v>6850.05</v>
      </c>
      <c r="G71" s="46">
        <v>0</v>
      </c>
      <c r="H71" s="44" t="s">
        <v>318</v>
      </c>
      <c r="I71" s="45">
        <v>0</v>
      </c>
      <c r="J71" s="46">
        <v>6941.65</v>
      </c>
      <c r="K71" s="45">
        <v>0</v>
      </c>
    </row>
    <row r="72" spans="3:11" x14ac:dyDescent="0.2">
      <c r="C72" s="40" t="s">
        <v>78</v>
      </c>
      <c r="D72" s="41"/>
      <c r="E72" s="45"/>
      <c r="F72" s="46">
        <f t="shared" si="1"/>
        <v>6850.05</v>
      </c>
      <c r="G72" s="46"/>
      <c r="H72" s="41"/>
      <c r="I72" s="45"/>
      <c r="J72" s="46">
        <v>6941.65</v>
      </c>
      <c r="K72" s="45"/>
    </row>
    <row r="73" spans="3:11" x14ac:dyDescent="0.2">
      <c r="C73" s="41" t="s">
        <v>346</v>
      </c>
      <c r="D73" s="44" t="s">
        <v>318</v>
      </c>
      <c r="E73" s="45">
        <v>0</v>
      </c>
      <c r="F73" s="46">
        <f t="shared" si="1"/>
        <v>6850.05</v>
      </c>
      <c r="G73" s="46">
        <v>0</v>
      </c>
      <c r="H73" s="44" t="s">
        <v>318</v>
      </c>
      <c r="I73" s="45">
        <v>0</v>
      </c>
      <c r="J73" s="46">
        <v>6941.65</v>
      </c>
      <c r="K73" s="45">
        <v>0</v>
      </c>
    </row>
    <row r="74" spans="3:11" x14ac:dyDescent="0.2">
      <c r="C74" s="41" t="s">
        <v>347</v>
      </c>
      <c r="D74" s="44" t="s">
        <v>318</v>
      </c>
      <c r="E74" s="45">
        <v>0</v>
      </c>
      <c r="F74" s="46">
        <f t="shared" si="1"/>
        <v>6850.05</v>
      </c>
      <c r="G74" s="46">
        <v>0</v>
      </c>
      <c r="H74" s="44" t="s">
        <v>318</v>
      </c>
      <c r="I74" s="45">
        <v>0</v>
      </c>
      <c r="J74" s="46">
        <v>6941.65</v>
      </c>
      <c r="K74" s="45">
        <v>0</v>
      </c>
    </row>
    <row r="75" spans="3:11" x14ac:dyDescent="0.2">
      <c r="C75" s="41" t="s">
        <v>86</v>
      </c>
      <c r="D75" s="44" t="s">
        <v>318</v>
      </c>
      <c r="E75" s="45">
        <v>0</v>
      </c>
      <c r="F75" s="46">
        <f t="shared" si="1"/>
        <v>6850.05</v>
      </c>
      <c r="G75" s="46">
        <v>0</v>
      </c>
      <c r="H75" s="44" t="s">
        <v>318</v>
      </c>
      <c r="I75" s="45">
        <v>0</v>
      </c>
      <c r="J75" s="46">
        <v>6941.65</v>
      </c>
      <c r="K75" s="45">
        <v>0</v>
      </c>
    </row>
    <row r="76" spans="3:11" x14ac:dyDescent="0.2">
      <c r="C76" s="41" t="s">
        <v>100</v>
      </c>
      <c r="D76" s="44" t="s">
        <v>318</v>
      </c>
      <c r="E76" s="45">
        <v>0</v>
      </c>
      <c r="F76" s="46">
        <f t="shared" si="1"/>
        <v>6850.05</v>
      </c>
      <c r="G76" s="46">
        <v>0</v>
      </c>
      <c r="H76" s="44" t="s">
        <v>318</v>
      </c>
      <c r="I76" s="45">
        <v>0</v>
      </c>
      <c r="J76" s="46">
        <v>6941.65</v>
      </c>
      <c r="K76" s="45">
        <v>0</v>
      </c>
    </row>
    <row r="77" spans="3:11" x14ac:dyDescent="0.2">
      <c r="C77" s="41" t="s">
        <v>348</v>
      </c>
      <c r="D77" s="44" t="s">
        <v>318</v>
      </c>
      <c r="E77" s="45">
        <v>0</v>
      </c>
      <c r="F77" s="46">
        <f t="shared" si="1"/>
        <v>6850.05</v>
      </c>
      <c r="G77" s="46">
        <v>0</v>
      </c>
      <c r="H77" s="44" t="s">
        <v>318</v>
      </c>
      <c r="I77" s="45">
        <v>0</v>
      </c>
      <c r="J77" s="46">
        <v>6941.65</v>
      </c>
      <c r="K77" s="45">
        <v>0</v>
      </c>
    </row>
    <row r="78" spans="3:11" x14ac:dyDescent="0.2">
      <c r="C78" s="47" t="s">
        <v>349</v>
      </c>
      <c r="D78" s="51"/>
      <c r="E78" s="45"/>
      <c r="F78" s="46">
        <f t="shared" si="1"/>
        <v>6850.05</v>
      </c>
      <c r="G78" s="46"/>
      <c r="H78" s="51"/>
      <c r="I78" s="45"/>
      <c r="J78" s="46">
        <v>6941.65</v>
      </c>
      <c r="K78" s="45"/>
    </row>
    <row r="79" spans="3:11" x14ac:dyDescent="0.2">
      <c r="C79" s="40" t="s">
        <v>109</v>
      </c>
      <c r="D79" s="41"/>
      <c r="E79" s="45"/>
      <c r="F79" s="46">
        <f t="shared" si="1"/>
        <v>6850.05</v>
      </c>
      <c r="G79" s="46"/>
      <c r="H79" s="41"/>
      <c r="I79" s="45"/>
      <c r="J79" s="46">
        <v>6941.65</v>
      </c>
      <c r="K79" s="45"/>
    </row>
    <row r="80" spans="3:11" x14ac:dyDescent="0.2">
      <c r="C80" s="41" t="s">
        <v>344</v>
      </c>
      <c r="D80" s="44" t="s">
        <v>318</v>
      </c>
      <c r="E80" s="45">
        <v>0</v>
      </c>
      <c r="F80" s="46">
        <f t="shared" si="1"/>
        <v>6850.05</v>
      </c>
      <c r="G80" s="46">
        <v>0</v>
      </c>
      <c r="H80" s="44" t="s">
        <v>318</v>
      </c>
      <c r="I80" s="45">
        <v>0</v>
      </c>
      <c r="J80" s="46">
        <v>6941.65</v>
      </c>
      <c r="K80" s="45">
        <v>0</v>
      </c>
    </row>
    <row r="81" spans="3:11" x14ac:dyDescent="0.2">
      <c r="C81" s="41" t="s">
        <v>345</v>
      </c>
      <c r="D81" s="44" t="s">
        <v>318</v>
      </c>
      <c r="E81" s="45">
        <v>0</v>
      </c>
      <c r="F81" s="46">
        <f t="shared" si="1"/>
        <v>6850.05</v>
      </c>
      <c r="G81" s="46">
        <v>0</v>
      </c>
      <c r="H81" s="44" t="s">
        <v>318</v>
      </c>
      <c r="I81" s="45">
        <v>0</v>
      </c>
      <c r="J81" s="46">
        <v>6941.65</v>
      </c>
      <c r="K81" s="45">
        <v>0</v>
      </c>
    </row>
    <row r="82" spans="3:11" x14ac:dyDescent="0.2">
      <c r="C82" s="40" t="s">
        <v>95</v>
      </c>
      <c r="D82" s="41"/>
      <c r="E82" s="45"/>
      <c r="F82" s="46">
        <f t="shared" si="1"/>
        <v>6850.05</v>
      </c>
      <c r="G82" s="46"/>
      <c r="H82" s="41"/>
      <c r="I82" s="45"/>
      <c r="J82" s="46">
        <v>6941.65</v>
      </c>
      <c r="K82" s="45"/>
    </row>
    <row r="83" spans="3:11" x14ac:dyDescent="0.2">
      <c r="C83" s="41" t="s">
        <v>76</v>
      </c>
      <c r="D83" s="44" t="s">
        <v>318</v>
      </c>
      <c r="E83" s="45">
        <v>0</v>
      </c>
      <c r="F83" s="46">
        <f t="shared" si="1"/>
        <v>6850.05</v>
      </c>
      <c r="G83" s="46">
        <v>0</v>
      </c>
      <c r="H83" s="44" t="s">
        <v>318</v>
      </c>
      <c r="I83" s="45">
        <v>0</v>
      </c>
      <c r="J83" s="46">
        <v>6941.65</v>
      </c>
      <c r="K83" s="45">
        <v>0</v>
      </c>
    </row>
    <row r="84" spans="3:11" x14ac:dyDescent="0.2">
      <c r="C84" s="41" t="s">
        <v>350</v>
      </c>
      <c r="D84" s="44" t="s">
        <v>318</v>
      </c>
      <c r="E84" s="45">
        <v>0</v>
      </c>
      <c r="F84" s="46">
        <f t="shared" si="1"/>
        <v>6850.05</v>
      </c>
      <c r="G84" s="46">
        <v>0</v>
      </c>
      <c r="H84" s="44" t="s">
        <v>318</v>
      </c>
      <c r="I84" s="45">
        <v>0</v>
      </c>
      <c r="J84" s="46">
        <v>6941.65</v>
      </c>
      <c r="K84" s="45">
        <v>0</v>
      </c>
    </row>
    <row r="85" spans="3:11" x14ac:dyDescent="0.2">
      <c r="C85" s="41" t="s">
        <v>351</v>
      </c>
      <c r="D85" s="44" t="s">
        <v>318</v>
      </c>
      <c r="E85" s="45">
        <v>0</v>
      </c>
      <c r="F85" s="46">
        <f t="shared" si="1"/>
        <v>6850.05</v>
      </c>
      <c r="G85" s="46">
        <v>0</v>
      </c>
      <c r="H85" s="44" t="s">
        <v>318</v>
      </c>
      <c r="I85" s="45">
        <v>0</v>
      </c>
      <c r="J85" s="46">
        <v>6941.65</v>
      </c>
      <c r="K85" s="45">
        <v>0</v>
      </c>
    </row>
    <row r="86" spans="3:11" x14ac:dyDescent="0.2">
      <c r="C86" s="41" t="s">
        <v>351</v>
      </c>
      <c r="D86" s="44" t="s">
        <v>318</v>
      </c>
      <c r="E86" s="45">
        <v>0</v>
      </c>
      <c r="F86" s="46">
        <f t="shared" si="1"/>
        <v>6850.05</v>
      </c>
      <c r="G86" s="46">
        <v>0</v>
      </c>
      <c r="H86" s="44" t="s">
        <v>318</v>
      </c>
      <c r="I86" s="45">
        <v>0</v>
      </c>
      <c r="J86" s="46">
        <v>6463.95</v>
      </c>
      <c r="K86" s="45">
        <v>0</v>
      </c>
    </row>
    <row r="89" spans="3:11" x14ac:dyDescent="0.2">
      <c r="C89" s="31" t="s">
        <v>516</v>
      </c>
    </row>
    <row r="91" spans="3:11" x14ac:dyDescent="0.2">
      <c r="C91" s="53"/>
      <c r="D91" s="696" t="str">
        <f>+D7</f>
        <v>Al 30/6/2022</v>
      </c>
      <c r="E91" s="697"/>
      <c r="F91" s="696">
        <f>+E7</f>
        <v>44561</v>
      </c>
      <c r="G91" s="696"/>
      <c r="H91" s="697"/>
    </row>
    <row r="92" spans="3:11" ht="48" x14ac:dyDescent="0.2">
      <c r="C92" s="39" t="s">
        <v>352</v>
      </c>
      <c r="D92" s="54" t="s">
        <v>353</v>
      </c>
      <c r="E92" s="54" t="s">
        <v>354</v>
      </c>
      <c r="F92" s="54" t="s">
        <v>355</v>
      </c>
      <c r="G92" s="54"/>
      <c r="H92" s="54" t="s">
        <v>356</v>
      </c>
    </row>
    <row r="93" spans="3:11" ht="25.5" customHeight="1" x14ac:dyDescent="0.2">
      <c r="C93" s="55" t="s">
        <v>357</v>
      </c>
      <c r="D93" s="56">
        <f>+D8</f>
        <v>6837.9</v>
      </c>
      <c r="E93" s="57">
        <f>-'EERR al 30 06 2022'!B63</f>
        <v>1371296</v>
      </c>
      <c r="F93" s="58">
        <v>6793.79</v>
      </c>
      <c r="G93" s="58"/>
      <c r="H93" s="57">
        <v>81047</v>
      </c>
      <c r="I93" s="326"/>
      <c r="J93" s="59"/>
      <c r="K93" s="59"/>
    </row>
    <row r="94" spans="3:11" ht="25.5" customHeight="1" x14ac:dyDescent="0.2">
      <c r="C94" s="55" t="s">
        <v>358</v>
      </c>
      <c r="D94" s="56">
        <f>+D9</f>
        <v>6850.05</v>
      </c>
      <c r="E94" s="57">
        <v>0</v>
      </c>
      <c r="F94" s="58">
        <v>6820.47</v>
      </c>
      <c r="G94" s="58"/>
      <c r="H94" s="57">
        <v>0</v>
      </c>
      <c r="J94" s="105"/>
      <c r="K94" s="105"/>
    </row>
    <row r="95" spans="3:11" ht="25.5" customHeight="1" x14ac:dyDescent="0.2">
      <c r="C95" s="55" t="s">
        <v>359</v>
      </c>
      <c r="D95" s="56">
        <f>+D93</f>
        <v>6837.9</v>
      </c>
      <c r="E95" s="57">
        <f>+'EERR al 30 06 2022'!B64</f>
        <v>1219060</v>
      </c>
      <c r="F95" s="58">
        <v>6793.79</v>
      </c>
      <c r="G95" s="58"/>
      <c r="H95" s="57">
        <v>27795</v>
      </c>
    </row>
    <row r="96" spans="3:11" ht="25.5" customHeight="1" x14ac:dyDescent="0.2">
      <c r="C96" s="55" t="s">
        <v>360</v>
      </c>
      <c r="D96" s="56">
        <f>+D94</f>
        <v>6850.05</v>
      </c>
      <c r="E96" s="57">
        <v>0</v>
      </c>
      <c r="F96" s="58">
        <v>6820.47</v>
      </c>
      <c r="G96" s="58"/>
      <c r="H96" s="57">
        <v>0</v>
      </c>
    </row>
    <row r="97" spans="3:8" x14ac:dyDescent="0.2">
      <c r="C97" s="53" t="s">
        <v>361</v>
      </c>
      <c r="D97" s="60"/>
      <c r="E97" s="108">
        <f>+E93-E95</f>
        <v>152236</v>
      </c>
      <c r="F97" s="108"/>
      <c r="G97" s="108"/>
      <c r="H97" s="108">
        <v>53252</v>
      </c>
    </row>
    <row r="98" spans="3:8" x14ac:dyDescent="0.2">
      <c r="E98" s="327"/>
    </row>
    <row r="99" spans="3:8" x14ac:dyDescent="0.2">
      <c r="E99" s="431">
        <f>+E97+'EERR al 30 06 2022'!B62</f>
        <v>0</v>
      </c>
    </row>
  </sheetData>
  <mergeCells count="2">
    <mergeCell ref="D91:E91"/>
    <mergeCell ref="F91:H91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rgb="FF002060"/>
  </sheetPr>
  <dimension ref="B1:H66"/>
  <sheetViews>
    <sheetView showGridLines="0" zoomScale="125" workbookViewId="0">
      <selection activeCell="E77" sqref="E77"/>
    </sheetView>
  </sheetViews>
  <sheetFormatPr baseColWidth="10" defaultColWidth="11.42578125" defaultRowHeight="12" x14ac:dyDescent="0.2"/>
  <cols>
    <col min="1" max="1" width="7.28515625" style="29" customWidth="1"/>
    <col min="2" max="2" width="47.7109375" style="29" customWidth="1"/>
    <col min="3" max="3" width="16.28515625" style="61" customWidth="1"/>
    <col min="4" max="4" width="14.140625" style="61" bestFit="1" customWidth="1"/>
    <col min="5" max="5" width="23.7109375" style="29" customWidth="1"/>
    <col min="6" max="6" width="14.42578125" style="43" bestFit="1" customWidth="1"/>
    <col min="7" max="7" width="9.28515625" style="29" bestFit="1" customWidth="1"/>
    <col min="8" max="8" width="7" style="29" bestFit="1" customWidth="1"/>
    <col min="9" max="9" width="12.28515625" style="29" bestFit="1" customWidth="1"/>
    <col min="10" max="16384" width="11.42578125" style="29"/>
  </cols>
  <sheetData>
    <row r="1" spans="2:8" ht="15" x14ac:dyDescent="0.25">
      <c r="B1" s="289"/>
    </row>
    <row r="3" spans="2:8" ht="15" x14ac:dyDescent="0.25">
      <c r="B3" s="399" t="s">
        <v>673</v>
      </c>
    </row>
    <row r="4" spans="2:8" ht="15" x14ac:dyDescent="0.2">
      <c r="B4" s="398"/>
    </row>
    <row r="5" spans="2:8" x14ac:dyDescent="0.2">
      <c r="B5" s="690" t="s">
        <v>541</v>
      </c>
      <c r="C5" s="690"/>
      <c r="D5" s="690"/>
      <c r="F5" s="62"/>
      <c r="G5" s="63"/>
      <c r="H5" s="63"/>
    </row>
    <row r="6" spans="2:8" x14ac:dyDescent="0.2">
      <c r="B6" s="185"/>
      <c r="C6" s="185"/>
      <c r="D6" s="185"/>
      <c r="F6" s="62"/>
      <c r="G6" s="63"/>
      <c r="H6" s="63"/>
    </row>
    <row r="7" spans="2:8" x14ac:dyDescent="0.2">
      <c r="B7" s="64" t="s">
        <v>362</v>
      </c>
      <c r="C7" s="65" t="str">
        <f>+INDICE!I2</f>
        <v>Saldos 30/6/2022</v>
      </c>
      <c r="D7" s="66">
        <v>44561</v>
      </c>
      <c r="F7" s="62"/>
      <c r="G7" s="63"/>
      <c r="H7" s="63"/>
    </row>
    <row r="8" spans="2:8" x14ac:dyDescent="0.2">
      <c r="B8" s="67" t="s">
        <v>363</v>
      </c>
      <c r="C8" s="68">
        <v>0</v>
      </c>
      <c r="D8" s="69">
        <v>0</v>
      </c>
      <c r="F8" s="62"/>
      <c r="G8" s="63"/>
      <c r="H8" s="63"/>
    </row>
    <row r="9" spans="2:8" x14ac:dyDescent="0.2">
      <c r="B9" s="67" t="str">
        <f>+'Balance Gral 30 06 2022'!A6</f>
        <v>Bancos De Operaciones</v>
      </c>
      <c r="C9" s="74">
        <f>+'Balance Gral 30 06 2022'!B6</f>
        <v>194342745</v>
      </c>
      <c r="D9" s="74">
        <v>0</v>
      </c>
      <c r="F9" s="62"/>
      <c r="G9" s="63"/>
      <c r="H9" s="63"/>
    </row>
    <row r="10" spans="2:8" ht="14.25" x14ac:dyDescent="0.35">
      <c r="B10" s="417" t="str">
        <f>+'Balance Gral 30 06 2022'!A7</f>
        <v>Bancos Operaciones - Moneda Extranjera</v>
      </c>
      <c r="C10" s="418">
        <f>+'Balance Gral 30 06 2022'!B7</f>
        <v>3472422</v>
      </c>
      <c r="D10" s="418">
        <v>0</v>
      </c>
      <c r="F10" s="62"/>
      <c r="G10" s="63"/>
      <c r="H10" s="63"/>
    </row>
    <row r="11" spans="2:8" ht="12.75" x14ac:dyDescent="0.2">
      <c r="B11" s="70" t="str">
        <f>+'Balance Gral 30 06 2022'!A8</f>
        <v>Banco Operaciones M/E</v>
      </c>
      <c r="C11" s="416">
        <f>+'Balance Gral 30 06 2022'!B8</f>
        <v>3472422</v>
      </c>
      <c r="D11" s="416">
        <v>74630244</v>
      </c>
      <c r="F11" s="351"/>
      <c r="G11" s="63"/>
      <c r="H11" s="73"/>
    </row>
    <row r="12" spans="2:8" ht="15" x14ac:dyDescent="0.35">
      <c r="B12" s="417" t="str">
        <f>+'Balance Gral 30 06 2022'!A9</f>
        <v>Bancos Operaciones - Moneda Local</v>
      </c>
      <c r="C12" s="418">
        <f>+'Balance Gral 30 06 2022'!B9</f>
        <v>190870323</v>
      </c>
      <c r="D12" s="418">
        <v>1372913</v>
      </c>
      <c r="F12" s="72"/>
      <c r="G12" s="63"/>
      <c r="H12" s="73"/>
    </row>
    <row r="13" spans="2:8" ht="12.75" x14ac:dyDescent="0.2">
      <c r="B13" s="70" t="str">
        <f>+'Balance Gral 30 06 2022'!A10</f>
        <v>Banco Operaciones M/L</v>
      </c>
      <c r="C13" s="71">
        <f>+'Balance Gral 30 06 2022'!B10</f>
        <v>190870323</v>
      </c>
      <c r="D13" s="71">
        <v>1372913</v>
      </c>
      <c r="F13" s="72"/>
      <c r="G13" s="63"/>
      <c r="H13" s="73"/>
    </row>
    <row r="14" spans="2:8" ht="12.75" x14ac:dyDescent="0.2">
      <c r="B14" s="67" t="str">
        <f>+'Balance Gral 30 06 2022'!A11</f>
        <v>Bancos Administrativas</v>
      </c>
      <c r="C14" s="74">
        <f>+'Balance Gral 30 06 2022'!B11</f>
        <v>33284920</v>
      </c>
      <c r="D14" s="74">
        <v>73257331</v>
      </c>
      <c r="F14" s="72"/>
      <c r="G14" s="63"/>
      <c r="H14" s="73"/>
    </row>
    <row r="15" spans="2:8" ht="15" x14ac:dyDescent="0.35">
      <c r="B15" s="417" t="str">
        <f>+'Balance Gral 30 06 2022'!A12</f>
        <v>Bancos Moneda Extranjera</v>
      </c>
      <c r="C15" s="418">
        <f>+'Balance Gral 30 06 2022'!B12</f>
        <v>12082569</v>
      </c>
      <c r="D15" s="418">
        <v>73257331</v>
      </c>
      <c r="F15" s="72"/>
      <c r="G15" s="63"/>
      <c r="H15" s="73"/>
    </row>
    <row r="16" spans="2:8" ht="12.75" x14ac:dyDescent="0.2">
      <c r="B16" s="70" t="str">
        <f>+'Balance Gral 30 06 2022'!A13</f>
        <v>Banco Familiar SAECA - M/E</v>
      </c>
      <c r="C16" s="71">
        <f>+'Balance Gral 30 06 2022'!B13</f>
        <v>12082569</v>
      </c>
      <c r="D16" s="71">
        <v>38305355</v>
      </c>
      <c r="F16" s="72"/>
      <c r="G16" s="63"/>
      <c r="H16" s="73"/>
    </row>
    <row r="17" spans="2:8" ht="15" x14ac:dyDescent="0.35">
      <c r="B17" s="417" t="str">
        <f>+'Balance Gral 30 06 2022'!A14</f>
        <v>Bancos Moneda Local</v>
      </c>
      <c r="C17" s="418">
        <f>+'Balance Gral 30 06 2022'!B14</f>
        <v>21202351</v>
      </c>
      <c r="D17" s="418">
        <v>4461522</v>
      </c>
      <c r="F17" s="72"/>
      <c r="G17" s="63"/>
      <c r="H17" s="73"/>
    </row>
    <row r="18" spans="2:8" ht="12.75" x14ac:dyDescent="0.2">
      <c r="B18" s="70" t="s">
        <v>1005</v>
      </c>
      <c r="C18" s="71">
        <f>+'Balance Gral 30 06 2022'!B15</f>
        <v>5000000</v>
      </c>
      <c r="D18" s="71">
        <v>4461522</v>
      </c>
      <c r="F18" s="72"/>
      <c r="G18" s="63"/>
      <c r="H18" s="73"/>
    </row>
    <row r="19" spans="2:8" ht="15" x14ac:dyDescent="0.35">
      <c r="B19" s="419" t="s">
        <v>1006</v>
      </c>
      <c r="C19" s="420">
        <f>+'Balance Gral 30 06 2022'!B16</f>
        <v>16202351</v>
      </c>
      <c r="D19" s="420">
        <v>33843833</v>
      </c>
      <c r="F19" s="72"/>
      <c r="G19" s="63"/>
      <c r="H19" s="73"/>
    </row>
    <row r="20" spans="2:8" x14ac:dyDescent="0.2">
      <c r="B20" s="67" t="s">
        <v>364</v>
      </c>
      <c r="C20" s="74">
        <f>+C9+C14</f>
        <v>227627665</v>
      </c>
      <c r="D20" s="74">
        <f>+D11+D16+D9</f>
        <v>112935599</v>
      </c>
      <c r="F20" s="63"/>
      <c r="G20" s="63"/>
      <c r="H20" s="63"/>
    </row>
    <row r="21" spans="2:8" x14ac:dyDescent="0.2">
      <c r="F21" s="29"/>
    </row>
    <row r="22" spans="2:8" x14ac:dyDescent="0.2">
      <c r="C22" s="61">
        <f>+C20-'BALANCE GRAL 30_06_22'!D13</f>
        <v>0</v>
      </c>
      <c r="F22" s="29"/>
    </row>
    <row r="23" spans="2:8" x14ac:dyDescent="0.2">
      <c r="B23" s="167" t="s">
        <v>748</v>
      </c>
      <c r="F23" s="29"/>
    </row>
    <row r="24" spans="2:8" x14ac:dyDescent="0.2">
      <c r="F24" s="29"/>
    </row>
    <row r="25" spans="2:8" x14ac:dyDescent="0.2">
      <c r="B25" s="158" t="s">
        <v>725</v>
      </c>
      <c r="F25" s="29"/>
    </row>
    <row r="26" spans="2:8" x14ac:dyDescent="0.2">
      <c r="B26" s="402" t="s">
        <v>726</v>
      </c>
      <c r="C26" s="176" t="s">
        <v>727</v>
      </c>
      <c r="D26" s="489" t="str">
        <f>+C7</f>
        <v>Saldos 30/6/2022</v>
      </c>
      <c r="E26" s="489">
        <f>+D7</f>
        <v>44561</v>
      </c>
      <c r="F26" s="29"/>
    </row>
    <row r="27" spans="2:8" x14ac:dyDescent="0.2">
      <c r="B27" s="37" t="s">
        <v>729</v>
      </c>
      <c r="C27" s="57" t="s">
        <v>728</v>
      </c>
      <c r="D27" s="57">
        <v>70649306</v>
      </c>
      <c r="E27" s="57">
        <v>56288945</v>
      </c>
    </row>
    <row r="28" spans="2:8" x14ac:dyDescent="0.2">
      <c r="B28" s="37" t="s">
        <v>1008</v>
      </c>
      <c r="C28" s="57">
        <v>700703295</v>
      </c>
      <c r="D28" s="57">
        <v>32310154</v>
      </c>
      <c r="E28" s="57">
        <v>15000000</v>
      </c>
    </row>
    <row r="29" spans="2:8" x14ac:dyDescent="0.2">
      <c r="B29" s="37" t="s">
        <v>731</v>
      </c>
      <c r="C29" s="57">
        <v>230374</v>
      </c>
      <c r="D29" s="57">
        <v>1230500</v>
      </c>
      <c r="E29" s="57">
        <v>1368000</v>
      </c>
    </row>
    <row r="30" spans="2:8" x14ac:dyDescent="0.2">
      <c r="B30" s="37" t="s">
        <v>732</v>
      </c>
      <c r="C30" s="57">
        <v>1405560</v>
      </c>
      <c r="D30" s="57">
        <f>11602541-1</f>
        <v>11602540</v>
      </c>
      <c r="E30" s="57">
        <v>500377</v>
      </c>
    </row>
    <row r="31" spans="2:8" x14ac:dyDescent="0.2">
      <c r="B31" s="37" t="s">
        <v>733</v>
      </c>
      <c r="C31" s="57">
        <v>193101131</v>
      </c>
      <c r="D31" s="57">
        <v>74977823</v>
      </c>
      <c r="E31" s="57">
        <v>100010</v>
      </c>
    </row>
    <row r="32" spans="2:8" x14ac:dyDescent="0.2">
      <c r="B32" s="37" t="s">
        <v>734</v>
      </c>
      <c r="C32" s="57">
        <v>131002689</v>
      </c>
      <c r="D32" s="57">
        <v>0</v>
      </c>
      <c r="E32" s="57">
        <v>0</v>
      </c>
    </row>
    <row r="33" spans="2:5" x14ac:dyDescent="0.2">
      <c r="B33" s="37" t="s">
        <v>1009</v>
      </c>
      <c r="C33" s="57">
        <v>188634</v>
      </c>
      <c r="D33" s="57">
        <v>100000</v>
      </c>
      <c r="E33" s="57">
        <v>0</v>
      </c>
    </row>
    <row r="34" spans="2:5" x14ac:dyDescent="0.2">
      <c r="B34" s="53" t="s">
        <v>462</v>
      </c>
      <c r="C34" s="176"/>
      <c r="D34" s="108">
        <f>SUM(D27:D33)</f>
        <v>190870323</v>
      </c>
      <c r="E34" s="108">
        <f>SUM(E27:E33)</f>
        <v>73257332</v>
      </c>
    </row>
    <row r="35" spans="2:5" x14ac:dyDescent="0.2">
      <c r="B35" s="421" t="s">
        <v>365</v>
      </c>
      <c r="C35" s="422"/>
      <c r="D35" s="641">
        <f>+D34-'Balance Gral 30 06 2022'!F10</f>
        <v>0</v>
      </c>
      <c r="E35" s="641">
        <f>+E34-'Balance Gral 30 06 2022'!G10-E34</f>
        <v>0</v>
      </c>
    </row>
    <row r="36" spans="2:5" x14ac:dyDescent="0.2">
      <c r="B36" s="158" t="s">
        <v>735</v>
      </c>
      <c r="C36" s="423"/>
    </row>
    <row r="37" spans="2:5" x14ac:dyDescent="0.2">
      <c r="B37" s="402" t="s">
        <v>726</v>
      </c>
      <c r="C37" s="176" t="s">
        <v>727</v>
      </c>
      <c r="D37" s="490" t="str">
        <f>+D26</f>
        <v>Saldos 30/6/2022</v>
      </c>
      <c r="E37" s="490">
        <f>+E26</f>
        <v>44561</v>
      </c>
    </row>
    <row r="38" spans="2:5" x14ac:dyDescent="0.2">
      <c r="B38" s="37" t="s">
        <v>730</v>
      </c>
      <c r="C38" s="177">
        <v>750700221</v>
      </c>
      <c r="D38" s="37">
        <v>174.69</v>
      </c>
      <c r="E38" s="178">
        <v>0</v>
      </c>
    </row>
    <row r="39" spans="2:5" x14ac:dyDescent="0.2">
      <c r="B39" s="37" t="s">
        <v>732</v>
      </c>
      <c r="C39" s="177">
        <v>1405561</v>
      </c>
      <c r="D39" s="37">
        <v>100.08</v>
      </c>
      <c r="E39" s="178">
        <v>100.02</v>
      </c>
    </row>
    <row r="40" spans="2:5" x14ac:dyDescent="0.2">
      <c r="B40" s="37" t="s">
        <v>733</v>
      </c>
      <c r="C40" s="177">
        <v>113101132</v>
      </c>
      <c r="D40" s="37">
        <v>133.05000000000001</v>
      </c>
      <c r="E40" s="178">
        <v>100</v>
      </c>
    </row>
    <row r="41" spans="2:5" x14ac:dyDescent="0.2">
      <c r="B41" s="37" t="s">
        <v>1007</v>
      </c>
      <c r="C41" s="177">
        <v>188635</v>
      </c>
      <c r="D41" s="37">
        <v>100</v>
      </c>
      <c r="E41" s="178">
        <v>0</v>
      </c>
    </row>
    <row r="42" spans="2:5" x14ac:dyDescent="0.2">
      <c r="B42" s="53" t="s">
        <v>462</v>
      </c>
      <c r="C42" s="176"/>
      <c r="D42" s="53">
        <f>SUM(D38:D41)</f>
        <v>507.82</v>
      </c>
      <c r="E42" s="53">
        <f>SUM(E38:E41)</f>
        <v>200.01999999999998</v>
      </c>
    </row>
    <row r="43" spans="2:5" x14ac:dyDescent="0.2">
      <c r="B43" s="29" t="s">
        <v>365</v>
      </c>
      <c r="D43" s="61">
        <f>+D42-'[8]BANCOS OPERAC $'!$F$21</f>
        <v>0</v>
      </c>
    </row>
    <row r="44" spans="2:5" x14ac:dyDescent="0.2">
      <c r="B44" s="29" t="s">
        <v>365</v>
      </c>
    </row>
    <row r="45" spans="2:5" x14ac:dyDescent="0.2">
      <c r="B45" s="29" t="s">
        <v>365</v>
      </c>
    </row>
    <row r="46" spans="2:5" x14ac:dyDescent="0.2">
      <c r="B46" s="29" t="s">
        <v>365</v>
      </c>
    </row>
    <row r="47" spans="2:5" x14ac:dyDescent="0.2">
      <c r="B47" s="29" t="s">
        <v>365</v>
      </c>
    </row>
    <row r="48" spans="2:5" x14ac:dyDescent="0.2">
      <c r="B48" s="29" t="s">
        <v>365</v>
      </c>
    </row>
    <row r="65" spans="5:5" x14ac:dyDescent="0.2">
      <c r="E65" s="29" t="s">
        <v>365</v>
      </c>
    </row>
    <row r="66" spans="5:5" x14ac:dyDescent="0.2">
      <c r="E66" s="29" t="s">
        <v>365</v>
      </c>
    </row>
  </sheetData>
  <autoFilter ref="B7:D20" xr:uid="{00000000-0001-0000-0700-000000000000}"/>
  <mergeCells count="1">
    <mergeCell ref="B5:D5"/>
  </mergeCells>
  <hyperlinks>
    <hyperlink ref="B3" location="'BALANCE GRAL 30_06_22'!A1" display="d)       Disponibilidades" xr:uid="{83B31589-9BBC-451F-A7E8-85EE38AD545F}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774D3-6D10-4ADE-8524-0CAA1A0E8326}">
  <sheetPr>
    <tabColor rgb="FF002060"/>
  </sheetPr>
  <dimension ref="C1:J84"/>
  <sheetViews>
    <sheetView showGridLines="0" topLeftCell="A47" zoomScaleNormal="80" workbookViewId="0">
      <selection activeCell="E77" sqref="E77"/>
    </sheetView>
  </sheetViews>
  <sheetFormatPr baseColWidth="10" defaultColWidth="11.42578125" defaultRowHeight="12" x14ac:dyDescent="0.2"/>
  <cols>
    <col min="1" max="1" width="4.5703125" style="29" customWidth="1"/>
    <col min="2" max="2" width="5.7109375" style="29" customWidth="1"/>
    <col min="3" max="3" width="50.140625" style="29" customWidth="1"/>
    <col min="4" max="4" width="15" style="29" bestFit="1" customWidth="1"/>
    <col min="5" max="5" width="19.5703125" style="75" bestFit="1" customWidth="1"/>
    <col min="6" max="7" width="17.42578125" style="75" bestFit="1" customWidth="1"/>
    <col min="8" max="8" width="17.85546875" style="75" bestFit="1" customWidth="1"/>
    <col min="9" max="9" width="16.85546875" style="75" bestFit="1" customWidth="1"/>
    <col min="10" max="10" width="18.42578125" style="75" bestFit="1" customWidth="1"/>
    <col min="11" max="16384" width="11.42578125" style="29"/>
  </cols>
  <sheetData>
    <row r="1" spans="3:10" x14ac:dyDescent="0.2">
      <c r="C1" s="410"/>
    </row>
    <row r="3" spans="3:10" ht="15" x14ac:dyDescent="0.25">
      <c r="C3" s="399" t="s">
        <v>870</v>
      </c>
    </row>
    <row r="5" spans="3:10" x14ac:dyDescent="0.2">
      <c r="C5" s="700" t="s">
        <v>366</v>
      </c>
      <c r="D5" s="701"/>
      <c r="E5" s="701"/>
      <c r="F5" s="701"/>
      <c r="G5" s="702"/>
      <c r="H5" s="700" t="s">
        <v>871</v>
      </c>
      <c r="I5" s="701"/>
      <c r="J5" s="702"/>
    </row>
    <row r="6" spans="3:10" x14ac:dyDescent="0.2">
      <c r="C6" s="700" t="s">
        <v>367</v>
      </c>
      <c r="D6" s="701"/>
      <c r="E6" s="701"/>
      <c r="F6" s="701"/>
      <c r="G6" s="701"/>
      <c r="H6" s="701"/>
      <c r="I6" s="701"/>
      <c r="J6" s="702"/>
    </row>
    <row r="7" spans="3:10" x14ac:dyDescent="0.2">
      <c r="C7" s="475"/>
      <c r="D7" s="441" t="s">
        <v>368</v>
      </c>
      <c r="E7" s="375" t="s">
        <v>369</v>
      </c>
      <c r="F7" s="375" t="s">
        <v>370</v>
      </c>
      <c r="G7" s="375" t="s">
        <v>370</v>
      </c>
      <c r="H7" s="703" t="s">
        <v>264</v>
      </c>
      <c r="I7" s="703" t="s">
        <v>371</v>
      </c>
      <c r="J7" s="703" t="s">
        <v>372</v>
      </c>
    </row>
    <row r="8" spans="3:10" x14ac:dyDescent="0.2">
      <c r="C8" s="48" t="s">
        <v>373</v>
      </c>
      <c r="D8" s="76" t="s">
        <v>374</v>
      </c>
      <c r="E8" s="442" t="s">
        <v>375</v>
      </c>
      <c r="F8" s="442" t="s">
        <v>376</v>
      </c>
      <c r="G8" s="442" t="s">
        <v>377</v>
      </c>
      <c r="H8" s="704"/>
      <c r="I8" s="704"/>
      <c r="J8" s="704"/>
    </row>
    <row r="9" spans="3:10" x14ac:dyDescent="0.2">
      <c r="C9" s="642" t="s">
        <v>383</v>
      </c>
      <c r="D9" s="643"/>
      <c r="E9" s="644">
        <f>+E23+E10</f>
        <v>983</v>
      </c>
      <c r="F9" s="644">
        <f>+F23+F10+F26+F30</f>
        <v>8602000000</v>
      </c>
      <c r="G9" s="644">
        <f>+G23+G10+G26+G30</f>
        <v>8755081144</v>
      </c>
      <c r="H9" s="705"/>
      <c r="I9" s="705"/>
      <c r="J9" s="705"/>
    </row>
    <row r="10" spans="3:10" x14ac:dyDescent="0.2">
      <c r="C10" s="476" t="s">
        <v>1019</v>
      </c>
      <c r="D10" s="441"/>
      <c r="E10" s="375">
        <f>SUM(E11:E21)</f>
        <v>982</v>
      </c>
      <c r="F10" s="375">
        <f>SUM(F11:F21)</f>
        <v>982000000</v>
      </c>
      <c r="G10" s="375">
        <f>SUM(G11:G21)</f>
        <v>982000000</v>
      </c>
      <c r="H10" s="478"/>
      <c r="I10" s="479"/>
      <c r="J10" s="479"/>
    </row>
    <row r="11" spans="3:10" x14ac:dyDescent="0.2">
      <c r="C11" s="49" t="s">
        <v>1012</v>
      </c>
      <c r="D11" s="49" t="s">
        <v>379</v>
      </c>
      <c r="E11" s="496">
        <v>22</v>
      </c>
      <c r="F11" s="334">
        <v>22000000</v>
      </c>
      <c r="G11" s="334">
        <v>22000000</v>
      </c>
      <c r="H11" s="77">
        <v>213840000000</v>
      </c>
      <c r="I11" s="477">
        <v>25321436437</v>
      </c>
      <c r="J11" s="477">
        <v>317962079514</v>
      </c>
    </row>
    <row r="12" spans="3:10" x14ac:dyDescent="0.2">
      <c r="C12" s="49" t="s">
        <v>1013</v>
      </c>
      <c r="D12" s="49" t="s">
        <v>1014</v>
      </c>
      <c r="E12" s="496">
        <v>42</v>
      </c>
      <c r="F12" s="334">
        <v>42000000</v>
      </c>
      <c r="G12" s="334">
        <v>42000000</v>
      </c>
      <c r="H12" s="77">
        <v>1133000000000</v>
      </c>
      <c r="I12" s="477">
        <v>422837000000</v>
      </c>
      <c r="J12" s="477">
        <v>4074695000000</v>
      </c>
    </row>
    <row r="13" spans="3:10" x14ac:dyDescent="0.2">
      <c r="C13" s="49" t="s">
        <v>1015</v>
      </c>
      <c r="D13" s="49" t="s">
        <v>379</v>
      </c>
      <c r="E13" s="496">
        <v>25</v>
      </c>
      <c r="F13" s="334">
        <v>25000000</v>
      </c>
      <c r="G13" s="334">
        <v>25000000</v>
      </c>
      <c r="H13" s="77">
        <v>330135829875</v>
      </c>
      <c r="I13" s="477">
        <v>-12692550914</v>
      </c>
      <c r="J13" s="477">
        <v>318939564215</v>
      </c>
    </row>
    <row r="14" spans="3:10" x14ac:dyDescent="0.2">
      <c r="C14" s="49" t="s">
        <v>1016</v>
      </c>
      <c r="D14" s="49" t="s">
        <v>379</v>
      </c>
      <c r="E14" s="496">
        <v>84</v>
      </c>
      <c r="F14" s="334">
        <v>84000000</v>
      </c>
      <c r="G14" s="334">
        <v>84000000</v>
      </c>
      <c r="H14" s="77">
        <v>18579479806</v>
      </c>
      <c r="I14" s="477">
        <v>332170878</v>
      </c>
      <c r="J14" s="477">
        <v>23146669646</v>
      </c>
    </row>
    <row r="15" spans="3:10" x14ac:dyDescent="0.2">
      <c r="C15" s="49" t="s">
        <v>872</v>
      </c>
      <c r="D15" s="49" t="s">
        <v>379</v>
      </c>
      <c r="E15" s="496">
        <v>21</v>
      </c>
      <c r="F15" s="334">
        <v>21000000</v>
      </c>
      <c r="G15" s="334">
        <v>21000000</v>
      </c>
      <c r="H15" s="77">
        <v>40000000000</v>
      </c>
      <c r="I15" s="477">
        <v>697811704</v>
      </c>
      <c r="J15" s="477">
        <v>48989660333</v>
      </c>
    </row>
    <row r="16" spans="3:10" x14ac:dyDescent="0.2">
      <c r="C16" s="49" t="s">
        <v>1017</v>
      </c>
      <c r="D16" s="49" t="s">
        <v>379</v>
      </c>
      <c r="E16" s="496">
        <v>30</v>
      </c>
      <c r="F16" s="334">
        <v>30000000</v>
      </c>
      <c r="G16" s="334">
        <v>30000000</v>
      </c>
      <c r="H16" s="77">
        <v>58847561550</v>
      </c>
      <c r="I16" s="477">
        <v>6533307279</v>
      </c>
      <c r="J16" s="477">
        <v>89980238849</v>
      </c>
    </row>
    <row r="17" spans="3:10" x14ac:dyDescent="0.2">
      <c r="C17" s="49" t="s">
        <v>873</v>
      </c>
      <c r="D17" s="49" t="s">
        <v>379</v>
      </c>
      <c r="E17" s="496">
        <v>110</v>
      </c>
      <c r="F17" s="334">
        <v>110000000</v>
      </c>
      <c r="G17" s="334">
        <v>110000000</v>
      </c>
      <c r="H17" s="77">
        <v>50700000000</v>
      </c>
      <c r="I17" s="477">
        <v>-3389404539</v>
      </c>
      <c r="J17" s="477">
        <v>53775889502</v>
      </c>
    </row>
    <row r="18" spans="3:10" x14ac:dyDescent="0.2">
      <c r="C18" s="49" t="s">
        <v>873</v>
      </c>
      <c r="D18" s="49" t="s">
        <v>379</v>
      </c>
      <c r="E18" s="496">
        <v>235</v>
      </c>
      <c r="F18" s="334">
        <v>235000000</v>
      </c>
      <c r="G18" s="334">
        <v>235000000</v>
      </c>
      <c r="H18" s="77">
        <v>50700000000</v>
      </c>
      <c r="I18" s="477">
        <v>-3389404539</v>
      </c>
      <c r="J18" s="477">
        <v>53775889502</v>
      </c>
    </row>
    <row r="19" spans="3:10" x14ac:dyDescent="0.2">
      <c r="C19" s="49" t="s">
        <v>873</v>
      </c>
      <c r="D19" s="49" t="s">
        <v>379</v>
      </c>
      <c r="E19" s="496">
        <v>138</v>
      </c>
      <c r="F19" s="334">
        <v>138000000</v>
      </c>
      <c r="G19" s="334">
        <v>138000000</v>
      </c>
      <c r="H19" s="77">
        <v>50700000000</v>
      </c>
      <c r="I19" s="477">
        <v>-3389404539</v>
      </c>
      <c r="J19" s="477">
        <v>53775889502</v>
      </c>
    </row>
    <row r="20" spans="3:10" x14ac:dyDescent="0.2">
      <c r="C20" s="49" t="s">
        <v>700</v>
      </c>
      <c r="D20" s="49" t="s">
        <v>379</v>
      </c>
      <c r="E20" s="496">
        <v>0</v>
      </c>
      <c r="F20" s="334">
        <v>0</v>
      </c>
      <c r="G20" s="334">
        <v>0</v>
      </c>
      <c r="H20" s="77">
        <v>880090000000</v>
      </c>
      <c r="I20" s="477">
        <v>38338000000</v>
      </c>
      <c r="J20" s="477">
        <v>881366000000</v>
      </c>
    </row>
    <row r="21" spans="3:10" x14ac:dyDescent="0.2">
      <c r="C21" s="49" t="s">
        <v>1018</v>
      </c>
      <c r="D21" s="49" t="s">
        <v>379</v>
      </c>
      <c r="E21" s="496">
        <v>275</v>
      </c>
      <c r="F21" s="334">
        <v>275000000</v>
      </c>
      <c r="G21" s="334">
        <v>275000000</v>
      </c>
      <c r="H21" s="77">
        <v>327245000000</v>
      </c>
      <c r="I21" s="477">
        <v>7391000000</v>
      </c>
      <c r="J21" s="477">
        <v>715971000000</v>
      </c>
    </row>
    <row r="22" spans="3:10" x14ac:dyDescent="0.2">
      <c r="C22" s="49"/>
      <c r="D22" s="49"/>
      <c r="E22" s="496"/>
      <c r="F22" s="334"/>
      <c r="G22" s="334"/>
      <c r="H22" s="77"/>
      <c r="I22" s="477"/>
      <c r="J22" s="477"/>
    </row>
    <row r="23" spans="3:10" x14ac:dyDescent="0.2">
      <c r="C23" s="476" t="s">
        <v>1020</v>
      </c>
      <c r="D23" s="441"/>
      <c r="E23" s="375">
        <f>SUM(E24)</f>
        <v>1</v>
      </c>
      <c r="F23" s="375">
        <f t="shared" ref="F23:G23" si="0">SUM(F24)</f>
        <v>120000000</v>
      </c>
      <c r="G23" s="375">
        <f t="shared" si="0"/>
        <v>120000000</v>
      </c>
      <c r="H23" s="478"/>
      <c r="I23" s="479"/>
      <c r="J23" s="479"/>
    </row>
    <row r="24" spans="3:10" x14ac:dyDescent="0.2">
      <c r="C24" s="49" t="s">
        <v>874</v>
      </c>
      <c r="D24" s="49" t="s">
        <v>378</v>
      </c>
      <c r="E24" s="496">
        <v>1</v>
      </c>
      <c r="F24" s="334">
        <v>120000000</v>
      </c>
      <c r="G24" s="334">
        <v>120000000</v>
      </c>
      <c r="H24" s="77">
        <v>248277000000</v>
      </c>
      <c r="I24" s="477">
        <v>-729000000</v>
      </c>
      <c r="J24" s="477">
        <v>270678000000</v>
      </c>
    </row>
    <row r="25" spans="3:10" x14ac:dyDescent="0.2">
      <c r="C25" s="49"/>
      <c r="D25" s="49"/>
      <c r="E25" s="496"/>
      <c r="F25" s="334"/>
      <c r="G25" s="334"/>
      <c r="H25" s="77"/>
      <c r="I25" s="477"/>
      <c r="J25" s="477"/>
    </row>
    <row r="26" spans="3:10" x14ac:dyDescent="0.2">
      <c r="C26" s="642" t="s">
        <v>1021</v>
      </c>
      <c r="D26" s="643"/>
      <c r="E26" s="644">
        <f>SUM(E27:E28)</f>
        <v>7500</v>
      </c>
      <c r="F26" s="644">
        <f t="shared" ref="F26:G26" si="1">SUM(F27:F28)</f>
        <v>7500000000</v>
      </c>
      <c r="G26" s="644">
        <f t="shared" si="1"/>
        <v>7500000000</v>
      </c>
      <c r="H26" s="478"/>
      <c r="I26" s="479"/>
      <c r="J26" s="479"/>
    </row>
    <row r="27" spans="3:10" x14ac:dyDescent="0.2">
      <c r="C27" s="49" t="s">
        <v>700</v>
      </c>
      <c r="D27" s="49" t="s">
        <v>379</v>
      </c>
      <c r="E27" s="496">
        <v>5000</v>
      </c>
      <c r="F27" s="334">
        <v>5000000000</v>
      </c>
      <c r="G27" s="334">
        <v>5000000000</v>
      </c>
      <c r="H27" s="77">
        <v>880090000000</v>
      </c>
      <c r="I27" s="477">
        <v>38338000000</v>
      </c>
      <c r="J27" s="477">
        <v>881366000000</v>
      </c>
    </row>
    <row r="28" spans="3:10" x14ac:dyDescent="0.2">
      <c r="C28" s="49" t="s">
        <v>1018</v>
      </c>
      <c r="D28" s="49" t="s">
        <v>379</v>
      </c>
      <c r="E28" s="496">
        <v>2500</v>
      </c>
      <c r="F28" s="334">
        <v>2500000000</v>
      </c>
      <c r="G28" s="334">
        <v>2500000000</v>
      </c>
      <c r="H28" s="77">
        <v>327245000000</v>
      </c>
      <c r="I28" s="477">
        <v>7391000000</v>
      </c>
      <c r="J28" s="477">
        <v>715971000000</v>
      </c>
    </row>
    <row r="29" spans="3:10" x14ac:dyDescent="0.2">
      <c r="C29" s="49"/>
      <c r="D29" s="49"/>
      <c r="E29" s="496"/>
      <c r="F29" s="334"/>
      <c r="G29" s="334"/>
      <c r="H29" s="77"/>
      <c r="I29" s="477"/>
      <c r="J29" s="477"/>
    </row>
    <row r="30" spans="3:10" x14ac:dyDescent="0.2">
      <c r="C30" s="642" t="s">
        <v>1024</v>
      </c>
      <c r="D30" s="643"/>
      <c r="E30" s="644"/>
      <c r="F30" s="644">
        <f>+F31</f>
        <v>0</v>
      </c>
      <c r="G30" s="644">
        <f>+G31</f>
        <v>153081144</v>
      </c>
      <c r="H30" s="79"/>
      <c r="I30" s="79"/>
      <c r="J30" s="79"/>
    </row>
    <row r="31" spans="3:10" x14ac:dyDescent="0.2">
      <c r="C31" s="379" t="s">
        <v>1023</v>
      </c>
      <c r="D31" s="379"/>
      <c r="E31" s="424"/>
      <c r="F31" s="380">
        <v>0</v>
      </c>
      <c r="G31" s="380">
        <v>153081144</v>
      </c>
      <c r="H31" s="79"/>
      <c r="I31" s="79"/>
      <c r="J31" s="79"/>
    </row>
    <row r="32" spans="3:10" x14ac:dyDescent="0.2">
      <c r="C32" s="379"/>
      <c r="D32" s="379"/>
      <c r="E32" s="424"/>
      <c r="F32" s="380"/>
      <c r="G32" s="380"/>
      <c r="H32" s="79"/>
      <c r="I32" s="79"/>
      <c r="J32" s="79"/>
    </row>
    <row r="33" spans="3:10" x14ac:dyDescent="0.2">
      <c r="C33" s="642" t="s">
        <v>384</v>
      </c>
      <c r="D33" s="643"/>
      <c r="E33" s="644"/>
      <c r="F33" s="644">
        <f>SUM(F34:F35)</f>
        <v>800000000</v>
      </c>
      <c r="G33" s="644">
        <f>SUM(G34:G35)</f>
        <v>1500000000</v>
      </c>
      <c r="H33" s="478"/>
      <c r="I33" s="479"/>
      <c r="J33" s="479"/>
    </row>
    <row r="34" spans="3:10" x14ac:dyDescent="0.2">
      <c r="C34" s="379" t="s">
        <v>875</v>
      </c>
      <c r="D34" s="379" t="s">
        <v>378</v>
      </c>
      <c r="E34" s="424">
        <v>1</v>
      </c>
      <c r="F34" s="334">
        <v>600000000</v>
      </c>
      <c r="G34" s="334">
        <f>+F34</f>
        <v>600000000</v>
      </c>
      <c r="H34" s="79">
        <v>360000000000</v>
      </c>
      <c r="I34" s="79">
        <v>30993000000</v>
      </c>
      <c r="J34" s="79">
        <v>887080000000</v>
      </c>
    </row>
    <row r="35" spans="3:10" x14ac:dyDescent="0.2">
      <c r="C35" s="379" t="s">
        <v>626</v>
      </c>
      <c r="D35" s="379" t="s">
        <v>876</v>
      </c>
      <c r="E35" s="424">
        <v>1</v>
      </c>
      <c r="F35" s="380">
        <v>200000000</v>
      </c>
      <c r="G35" s="380">
        <v>900000000</v>
      </c>
      <c r="H35" s="79">
        <v>8800000000</v>
      </c>
      <c r="I35" s="477">
        <v>10671560278</v>
      </c>
      <c r="J35" s="477">
        <v>22528059291</v>
      </c>
    </row>
    <row r="36" spans="3:10" x14ac:dyDescent="0.2">
      <c r="C36" s="379"/>
      <c r="D36" s="379"/>
      <c r="E36" s="424"/>
      <c r="F36" s="380"/>
      <c r="G36" s="380"/>
      <c r="H36" s="79"/>
      <c r="I36" s="79"/>
      <c r="J36" s="79"/>
    </row>
    <row r="37" spans="3:10" x14ac:dyDescent="0.2">
      <c r="C37" s="698" t="s">
        <v>1022</v>
      </c>
      <c r="D37" s="698"/>
      <c r="E37" s="698"/>
      <c r="F37" s="80">
        <f>+F9+F33</f>
        <v>9402000000</v>
      </c>
      <c r="G37" s="80">
        <f>+G9+G33</f>
        <v>10255081144</v>
      </c>
      <c r="H37" s="480"/>
      <c r="I37" s="481"/>
      <c r="J37" s="481"/>
    </row>
    <row r="38" spans="3:10" x14ac:dyDescent="0.2">
      <c r="C38" s="698" t="s">
        <v>696</v>
      </c>
      <c r="D38" s="698"/>
      <c r="E38" s="698"/>
      <c r="F38" s="82">
        <v>11291000000</v>
      </c>
      <c r="G38" s="82">
        <v>12125381414.809999</v>
      </c>
      <c r="H38" s="482"/>
      <c r="I38" s="87"/>
      <c r="J38" s="87"/>
    </row>
    <row r="39" spans="3:10" x14ac:dyDescent="0.2">
      <c r="C39" s="83"/>
      <c r="D39" s="84"/>
      <c r="E39" s="85"/>
      <c r="F39" s="86"/>
      <c r="G39" s="86">
        <f>+G9-'BALANCE GRAL 30_06_22'!D20</f>
        <v>0</v>
      </c>
      <c r="H39" s="87"/>
      <c r="I39" s="87"/>
      <c r="J39" s="87"/>
    </row>
    <row r="40" spans="3:10" x14ac:dyDescent="0.2">
      <c r="C40" s="88"/>
      <c r="D40" s="89"/>
      <c r="E40" s="90"/>
      <c r="F40" s="86"/>
      <c r="G40" s="90">
        <f>+G33-'BALANCE GRAL 30_06_22'!D47</f>
        <v>0</v>
      </c>
      <c r="H40" s="90"/>
      <c r="I40" s="90"/>
      <c r="J40" s="90"/>
    </row>
    <row r="41" spans="3:10" ht="12.75" thickBot="1" x14ac:dyDescent="0.25">
      <c r="C41" s="88"/>
      <c r="D41" s="89"/>
      <c r="E41" s="90"/>
      <c r="F41" s="86"/>
      <c r="G41" s="90"/>
      <c r="H41" s="90"/>
      <c r="I41" s="90"/>
      <c r="J41" s="90"/>
    </row>
    <row r="42" spans="3:10" ht="24" x14ac:dyDescent="0.2">
      <c r="C42" s="648" t="s">
        <v>268</v>
      </c>
      <c r="D42" s="649" t="s">
        <v>627</v>
      </c>
      <c r="E42" s="649" t="s">
        <v>382</v>
      </c>
      <c r="F42" s="649" t="s">
        <v>628</v>
      </c>
      <c r="G42" s="649" t="s">
        <v>629</v>
      </c>
      <c r="H42" s="90"/>
      <c r="I42" s="90"/>
      <c r="J42" s="90"/>
    </row>
    <row r="43" spans="3:10" x14ac:dyDescent="0.2">
      <c r="C43" s="48" t="s">
        <v>630</v>
      </c>
      <c r="D43" s="484"/>
      <c r="E43" s="497"/>
      <c r="F43" s="485"/>
      <c r="G43" s="650"/>
    </row>
    <row r="44" spans="3:10" x14ac:dyDescent="0.2">
      <c r="C44" s="384" t="s">
        <v>631</v>
      </c>
      <c r="D44" s="483">
        <f>SUM(D45:D56)</f>
        <v>8602000000</v>
      </c>
      <c r="E44" s="483">
        <f t="shared" ref="E44:G44" si="2">SUM(E45:E56)</f>
        <v>8602000000</v>
      </c>
      <c r="F44" s="483">
        <f t="shared" si="2"/>
        <v>131000000</v>
      </c>
      <c r="G44" s="483">
        <f t="shared" si="2"/>
        <v>8745703086.8029461</v>
      </c>
    </row>
    <row r="45" spans="3:10" x14ac:dyDescent="0.2">
      <c r="C45" s="49" t="s">
        <v>1012</v>
      </c>
      <c r="D45" s="381">
        <v>22000000</v>
      </c>
      <c r="E45" s="424">
        <v>22000000</v>
      </c>
      <c r="F45" s="382">
        <v>1000000</v>
      </c>
      <c r="G45" s="382">
        <v>22183084</v>
      </c>
    </row>
    <row r="46" spans="3:10" x14ac:dyDescent="0.2">
      <c r="C46" s="49" t="s">
        <v>1013</v>
      </c>
      <c r="D46" s="381">
        <v>42000000</v>
      </c>
      <c r="E46" s="424">
        <v>42000000</v>
      </c>
      <c r="F46" s="382">
        <v>1000000</v>
      </c>
      <c r="G46" s="382">
        <v>39176256</v>
      </c>
    </row>
    <row r="47" spans="3:10" x14ac:dyDescent="0.2">
      <c r="C47" s="49" t="s">
        <v>1015</v>
      </c>
      <c r="D47" s="424">
        <v>25000000</v>
      </c>
      <c r="E47" s="424">
        <v>25000000</v>
      </c>
      <c r="F47" s="382">
        <v>1000000</v>
      </c>
      <c r="G47" s="382">
        <v>25098450</v>
      </c>
    </row>
    <row r="48" spans="3:10" x14ac:dyDescent="0.2">
      <c r="C48" s="49" t="s">
        <v>1016</v>
      </c>
      <c r="D48" s="424">
        <v>84000000</v>
      </c>
      <c r="E48" s="424">
        <v>84000000</v>
      </c>
      <c r="F48" s="382">
        <v>1000000</v>
      </c>
      <c r="G48" s="382">
        <v>87567144</v>
      </c>
    </row>
    <row r="49" spans="3:7" x14ac:dyDescent="0.2">
      <c r="C49" s="49" t="s">
        <v>872</v>
      </c>
      <c r="D49" s="381">
        <v>21000000</v>
      </c>
      <c r="E49" s="424">
        <v>21000000</v>
      </c>
      <c r="F49" s="382">
        <v>1000000</v>
      </c>
      <c r="G49" s="382">
        <v>20648271</v>
      </c>
    </row>
    <row r="50" spans="3:7" x14ac:dyDescent="0.2">
      <c r="C50" s="49" t="s">
        <v>1017</v>
      </c>
      <c r="D50" s="381">
        <v>30000000</v>
      </c>
      <c r="E50" s="424">
        <v>30000000</v>
      </c>
      <c r="F50" s="382">
        <v>1000000</v>
      </c>
      <c r="G50" s="382">
        <v>30355080</v>
      </c>
    </row>
    <row r="51" spans="3:7" x14ac:dyDescent="0.2">
      <c r="C51" s="49" t="s">
        <v>873</v>
      </c>
      <c r="D51" s="381">
        <v>110000000</v>
      </c>
      <c r="E51" s="424">
        <v>110000000</v>
      </c>
      <c r="F51" s="382">
        <v>1000000</v>
      </c>
      <c r="G51" s="382">
        <v>111989020</v>
      </c>
    </row>
    <row r="52" spans="3:7" x14ac:dyDescent="0.2">
      <c r="C52" s="379" t="s">
        <v>873</v>
      </c>
      <c r="D52" s="381">
        <v>235000000</v>
      </c>
      <c r="E52" s="424">
        <v>235000000</v>
      </c>
      <c r="F52" s="382">
        <v>1000000</v>
      </c>
      <c r="G52" s="382">
        <v>246727440</v>
      </c>
    </row>
    <row r="53" spans="3:7" x14ac:dyDescent="0.2">
      <c r="C53" s="379" t="s">
        <v>873</v>
      </c>
      <c r="D53" s="381">
        <v>138000000</v>
      </c>
      <c r="E53" s="424">
        <v>138000000</v>
      </c>
      <c r="F53" s="382">
        <v>1000000</v>
      </c>
      <c r="G53" s="382">
        <v>140596470</v>
      </c>
    </row>
    <row r="54" spans="3:7" x14ac:dyDescent="0.2">
      <c r="C54" s="379" t="s">
        <v>874</v>
      </c>
      <c r="D54" s="381">
        <v>120000000</v>
      </c>
      <c r="E54" s="424">
        <v>120000000</v>
      </c>
      <c r="F54" s="382">
        <v>120000000</v>
      </c>
      <c r="G54" s="382">
        <v>120000000</v>
      </c>
    </row>
    <row r="55" spans="3:7" x14ac:dyDescent="0.2">
      <c r="C55" s="379" t="s">
        <v>700</v>
      </c>
      <c r="D55" s="381">
        <v>5000000000</v>
      </c>
      <c r="E55" s="424">
        <v>5000000000</v>
      </c>
      <c r="F55" s="382">
        <v>1000000</v>
      </c>
      <c r="G55" s="382">
        <v>5126365157.605607</v>
      </c>
    </row>
    <row r="56" spans="3:7" x14ac:dyDescent="0.2">
      <c r="C56" s="379" t="s">
        <v>1018</v>
      </c>
      <c r="D56" s="381">
        <v>2775000000</v>
      </c>
      <c r="E56" s="424">
        <v>2775000000</v>
      </c>
      <c r="F56" s="382">
        <v>1000000</v>
      </c>
      <c r="G56" s="382">
        <v>2774996714.1973395</v>
      </c>
    </row>
    <row r="57" spans="3:7" x14ac:dyDescent="0.2">
      <c r="C57" s="379"/>
      <c r="D57" s="645"/>
      <c r="E57" s="646"/>
      <c r="F57" s="647"/>
      <c r="G57" s="651"/>
    </row>
    <row r="58" spans="3:7" x14ac:dyDescent="0.2">
      <c r="C58" s="384" t="s">
        <v>632</v>
      </c>
      <c r="D58" s="484"/>
      <c r="E58" s="497"/>
      <c r="F58" s="485"/>
      <c r="G58" s="650"/>
    </row>
    <row r="59" spans="3:7" x14ac:dyDescent="0.2">
      <c r="C59" s="384" t="s">
        <v>631</v>
      </c>
      <c r="D59" s="483">
        <f>+D60+D61</f>
        <v>1500000000</v>
      </c>
      <c r="E59" s="483">
        <f t="shared" ref="E59:F59" si="3">+E60+E61</f>
        <v>1500000000</v>
      </c>
      <c r="F59" s="483">
        <f t="shared" si="3"/>
        <v>800000000</v>
      </c>
      <c r="G59" s="483">
        <f>+G60+G61</f>
        <v>1500000000</v>
      </c>
    </row>
    <row r="60" spans="3:7" x14ac:dyDescent="0.2">
      <c r="C60" s="379" t="s">
        <v>875</v>
      </c>
      <c r="D60" s="381">
        <v>600000000</v>
      </c>
      <c r="E60" s="424">
        <f>+G34</f>
        <v>600000000</v>
      </c>
      <c r="F60" s="382">
        <v>600000000</v>
      </c>
      <c r="G60" s="382">
        <f>+F60</f>
        <v>600000000</v>
      </c>
    </row>
    <row r="61" spans="3:7" x14ac:dyDescent="0.2">
      <c r="C61" s="379" t="s">
        <v>626</v>
      </c>
      <c r="D61" s="381">
        <v>900000000</v>
      </c>
      <c r="E61" s="424">
        <f>+G35</f>
        <v>900000000</v>
      </c>
      <c r="F61" s="382">
        <v>200000000</v>
      </c>
      <c r="G61" s="382">
        <v>900000000</v>
      </c>
    </row>
    <row r="62" spans="3:7" x14ac:dyDescent="0.2">
      <c r="C62" s="91" t="str">
        <f>+C37</f>
        <v>Total al 30/06/2022</v>
      </c>
      <c r="D62" s="383">
        <f>+D44+D59</f>
        <v>10102000000</v>
      </c>
      <c r="E62" s="383">
        <f t="shared" ref="E62:G62" si="4">+E44+E59</f>
        <v>10102000000</v>
      </c>
      <c r="F62" s="383">
        <f>+F44+F59</f>
        <v>931000000</v>
      </c>
      <c r="G62" s="383">
        <f t="shared" si="4"/>
        <v>10245703086.802946</v>
      </c>
    </row>
    <row r="63" spans="3:7" x14ac:dyDescent="0.2">
      <c r="C63" s="81" t="s">
        <v>696</v>
      </c>
      <c r="D63" s="483">
        <v>11104207090</v>
      </c>
      <c r="E63" s="498">
        <v>11225381414.810001</v>
      </c>
      <c r="F63" s="488">
        <v>606000000</v>
      </c>
      <c r="G63" s="488">
        <v>600000613.59149992</v>
      </c>
    </row>
    <row r="66" spans="3:10" ht="12.75" thickBot="1" x14ac:dyDescent="0.25">
      <c r="C66" s="386" t="s">
        <v>380</v>
      </c>
      <c r="D66" s="387" t="s">
        <v>381</v>
      </c>
      <c r="E66" s="388" t="s">
        <v>633</v>
      </c>
      <c r="F66" s="409"/>
    </row>
    <row r="67" spans="3:10" x14ac:dyDescent="0.2">
      <c r="C67" s="486" t="s">
        <v>877</v>
      </c>
      <c r="D67" s="381">
        <f>+F61</f>
        <v>200000000</v>
      </c>
      <c r="E67" s="424">
        <f>+G61</f>
        <v>900000000</v>
      </c>
      <c r="F67" s="385"/>
    </row>
    <row r="68" spans="3:10" x14ac:dyDescent="0.2">
      <c r="C68" s="91" t="str">
        <f>+C62</f>
        <v>Total al 30/06/2022</v>
      </c>
      <c r="D68" s="383">
        <f>+D67</f>
        <v>200000000</v>
      </c>
      <c r="E68" s="383">
        <f>+E67</f>
        <v>900000000</v>
      </c>
    </row>
    <row r="69" spans="3:10" x14ac:dyDescent="0.2">
      <c r="C69" s="81" t="s">
        <v>696</v>
      </c>
      <c r="D69" s="381">
        <v>200000000</v>
      </c>
      <c r="E69" s="424">
        <v>900000000</v>
      </c>
    </row>
    <row r="71" spans="3:10" x14ac:dyDescent="0.2">
      <c r="H71" s="408"/>
      <c r="I71" s="408"/>
      <c r="J71" s="408"/>
    </row>
    <row r="72" spans="3:10" ht="12.75" x14ac:dyDescent="0.2">
      <c r="C72" s="499"/>
      <c r="H72" s="500"/>
      <c r="I72" s="501"/>
      <c r="J72" s="408"/>
    </row>
    <row r="73" spans="3:10" x14ac:dyDescent="0.2">
      <c r="H73" s="699"/>
      <c r="I73" s="699"/>
      <c r="J73" s="699"/>
    </row>
    <row r="74" spans="3:10" x14ac:dyDescent="0.2">
      <c r="H74" s="487"/>
      <c r="I74" s="487"/>
      <c r="J74" s="487"/>
    </row>
    <row r="75" spans="3:10" x14ac:dyDescent="0.2">
      <c r="H75" s="408"/>
      <c r="I75" s="408"/>
      <c r="J75" s="408"/>
    </row>
    <row r="76" spans="3:10" x14ac:dyDescent="0.2">
      <c r="H76" s="408"/>
      <c r="I76" s="408"/>
      <c r="J76" s="408"/>
    </row>
    <row r="84" spans="9:10" x14ac:dyDescent="0.2">
      <c r="I84" s="29"/>
      <c r="J84" s="29"/>
    </row>
  </sheetData>
  <autoFilter ref="C7:G38" xr:uid="{5017627D-B59A-4FF1-98C9-A54E6C099614}"/>
  <mergeCells count="9">
    <mergeCell ref="C37:E37"/>
    <mergeCell ref="C38:E38"/>
    <mergeCell ref="H73:J73"/>
    <mergeCell ref="C5:G5"/>
    <mergeCell ref="H5:J5"/>
    <mergeCell ref="C6:J6"/>
    <mergeCell ref="H7:H9"/>
    <mergeCell ref="I7:I9"/>
    <mergeCell ref="J7:J9"/>
  </mergeCells>
  <hyperlinks>
    <hyperlink ref="C3" location="'BALANCE GRAL 30_06_22'!A1" display="e)   Inversiones  Temporales y Permanentes" xr:uid="{3219745F-FEF6-4A63-8E69-CC742E32731E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9667-0DC1-4465-B011-682B38C9428D}">
  <sheetPr>
    <tabColor rgb="FF002060"/>
  </sheetPr>
  <dimension ref="B1:H46"/>
  <sheetViews>
    <sheetView showGridLines="0" zoomScale="117" zoomScaleNormal="117" workbookViewId="0">
      <selection activeCell="E77" sqref="E77"/>
    </sheetView>
  </sheetViews>
  <sheetFormatPr baseColWidth="10" defaultColWidth="67.42578125" defaultRowHeight="12" x14ac:dyDescent="0.2"/>
  <cols>
    <col min="1" max="1" width="5.28515625" style="29" customWidth="1"/>
    <col min="2" max="2" width="44" style="29" customWidth="1"/>
    <col min="3" max="3" width="17.7109375" style="94" bestFit="1" customWidth="1"/>
    <col min="4" max="4" width="21.42578125" style="94" bestFit="1" customWidth="1"/>
    <col min="5" max="5" width="10.85546875" style="29" bestFit="1" customWidth="1"/>
    <col min="6" max="6" width="13.7109375" style="29" bestFit="1" customWidth="1"/>
    <col min="7" max="7" width="22.140625" style="29" bestFit="1" customWidth="1"/>
    <col min="8" max="8" width="26" style="29" customWidth="1"/>
    <col min="9" max="16384" width="67.42578125" style="29"/>
  </cols>
  <sheetData>
    <row r="1" spans="2:8" ht="31.15" customHeight="1" x14ac:dyDescent="0.2"/>
    <row r="3" spans="2:8" ht="15" x14ac:dyDescent="0.25">
      <c r="B3" s="399" t="s">
        <v>674</v>
      </c>
    </row>
    <row r="4" spans="2:8" x14ac:dyDescent="0.2">
      <c r="B4" s="32"/>
    </row>
    <row r="5" spans="2:8" x14ac:dyDescent="0.2">
      <c r="B5" s="711" t="s">
        <v>888</v>
      </c>
      <c r="C5" s="711"/>
      <c r="D5" s="711"/>
    </row>
    <row r="7" spans="2:8" x14ac:dyDescent="0.2">
      <c r="B7" s="697" t="s">
        <v>385</v>
      </c>
      <c r="C7" s="697"/>
      <c r="D7" s="697"/>
    </row>
    <row r="8" spans="2:8" x14ac:dyDescent="0.2">
      <c r="B8" s="707" t="s">
        <v>386</v>
      </c>
      <c r="C8" s="708"/>
      <c r="D8" s="709"/>
    </row>
    <row r="9" spans="2:8" x14ac:dyDescent="0.2">
      <c r="B9" s="39" t="s">
        <v>352</v>
      </c>
      <c r="C9" s="404" t="s">
        <v>387</v>
      </c>
      <c r="D9" s="404" t="s">
        <v>388</v>
      </c>
      <c r="E9" s="433"/>
      <c r="F9" s="433"/>
      <c r="G9" s="433"/>
      <c r="H9" s="433"/>
    </row>
    <row r="10" spans="2:8" x14ac:dyDescent="0.2">
      <c r="B10" s="434" t="s">
        <v>646</v>
      </c>
      <c r="C10" s="95">
        <f>+'BALANCE GRAL 30_06_22'!D22</f>
        <v>18320000</v>
      </c>
      <c r="D10" s="95">
        <v>0</v>
      </c>
    </row>
    <row r="11" spans="2:8" x14ac:dyDescent="0.2">
      <c r="B11" s="434" t="s">
        <v>647</v>
      </c>
      <c r="C11" s="95">
        <v>0</v>
      </c>
      <c r="D11" s="95">
        <v>0</v>
      </c>
    </row>
    <row r="12" spans="2:8" x14ac:dyDescent="0.2">
      <c r="B12" s="111" t="str">
        <f>+'NOTA E - INVERSIONES'!C62</f>
        <v>Total al 30/06/2022</v>
      </c>
      <c r="C12" s="96">
        <f>SUM(C10:C11)</f>
        <v>18320000</v>
      </c>
      <c r="D12" s="96">
        <f>SUM(D10:D11)</f>
        <v>0</v>
      </c>
      <c r="E12" s="97"/>
      <c r="F12" s="105"/>
    </row>
    <row r="13" spans="2:8" x14ac:dyDescent="0.2">
      <c r="B13" s="111" t="str">
        <f>+'NOTA E - INVERSIONES'!C63</f>
        <v>Total al 31/12/2021</v>
      </c>
      <c r="C13" s="96">
        <v>16074000</v>
      </c>
      <c r="D13" s="96">
        <v>0</v>
      </c>
    </row>
    <row r="14" spans="2:8" x14ac:dyDescent="0.2">
      <c r="B14" s="405"/>
      <c r="C14" s="98"/>
      <c r="D14" s="98"/>
      <c r="F14" s="105"/>
    </row>
    <row r="15" spans="2:8" x14ac:dyDescent="0.2">
      <c r="B15" s="697" t="s">
        <v>81</v>
      </c>
      <c r="C15" s="697"/>
      <c r="D15" s="697"/>
    </row>
    <row r="16" spans="2:8" x14ac:dyDescent="0.2">
      <c r="B16" s="707" t="s">
        <v>386</v>
      </c>
      <c r="C16" s="708"/>
      <c r="D16" s="709"/>
    </row>
    <row r="17" spans="2:7" x14ac:dyDescent="0.2">
      <c r="B17" s="39" t="s">
        <v>352</v>
      </c>
      <c r="C17" s="404" t="s">
        <v>387</v>
      </c>
      <c r="D17" s="404" t="s">
        <v>388</v>
      </c>
    </row>
    <row r="18" spans="2:7" x14ac:dyDescent="0.2">
      <c r="B18" s="434" t="s">
        <v>634</v>
      </c>
      <c r="C18" s="389">
        <v>0</v>
      </c>
      <c r="D18" s="404"/>
    </row>
    <row r="19" spans="2:7" x14ac:dyDescent="0.2">
      <c r="B19" s="434" t="s">
        <v>389</v>
      </c>
      <c r="C19" s="95">
        <f>+'BALANCE GRAL 30_06_22'!D23</f>
        <v>49724326</v>
      </c>
      <c r="D19" s="95">
        <v>0</v>
      </c>
      <c r="E19" s="105"/>
    </row>
    <row r="20" spans="2:7" x14ac:dyDescent="0.2">
      <c r="B20" s="111" t="str">
        <f>+B12</f>
        <v>Total al 30/06/2022</v>
      </c>
      <c r="C20" s="96">
        <f>SUM(C18:C19)</f>
        <v>49724326</v>
      </c>
      <c r="D20" s="95">
        <v>0</v>
      </c>
      <c r="G20" s="99"/>
    </row>
    <row r="21" spans="2:7" x14ac:dyDescent="0.2">
      <c r="B21" s="111" t="str">
        <f>+B13</f>
        <v>Total al 31/12/2021</v>
      </c>
      <c r="C21" s="96">
        <v>25480071</v>
      </c>
      <c r="D21" s="95">
        <v>0</v>
      </c>
    </row>
    <row r="22" spans="2:7" x14ac:dyDescent="0.2">
      <c r="B22" s="100"/>
    </row>
    <row r="23" spans="2:7" x14ac:dyDescent="0.2">
      <c r="B23" s="697" t="s">
        <v>87</v>
      </c>
      <c r="C23" s="697"/>
      <c r="D23" s="697"/>
    </row>
    <row r="24" spans="2:7" x14ac:dyDescent="0.2">
      <c r="B24" s="707" t="s">
        <v>386</v>
      </c>
      <c r="C24" s="708"/>
      <c r="D24" s="709"/>
    </row>
    <row r="25" spans="2:7" x14ac:dyDescent="0.2">
      <c r="B25" s="39" t="s">
        <v>352</v>
      </c>
      <c r="C25" s="404" t="s">
        <v>387</v>
      </c>
      <c r="D25" s="404" t="s">
        <v>388</v>
      </c>
    </row>
    <row r="26" spans="2:7" x14ac:dyDescent="0.2">
      <c r="B26" s="434" t="str">
        <f>+B18</f>
        <v>Asesoramiento Legal y Juridico</v>
      </c>
      <c r="C26" s="95">
        <v>0</v>
      </c>
      <c r="D26" s="95">
        <v>0</v>
      </c>
    </row>
    <row r="27" spans="2:7" x14ac:dyDescent="0.2">
      <c r="B27" s="434" t="s">
        <v>390</v>
      </c>
      <c r="C27" s="95">
        <v>0</v>
      </c>
      <c r="D27" s="95">
        <v>0</v>
      </c>
    </row>
    <row r="28" spans="2:7" x14ac:dyDescent="0.2">
      <c r="B28" s="434" t="s">
        <v>1025</v>
      </c>
      <c r="C28" s="95">
        <f>+'BALANCE GRAL 30_06_22'!D26</f>
        <v>159120000</v>
      </c>
      <c r="D28" s="95">
        <v>0</v>
      </c>
    </row>
    <row r="29" spans="2:7" x14ac:dyDescent="0.2">
      <c r="B29" s="111" t="str">
        <f>+B12</f>
        <v>Total al 30/06/2022</v>
      </c>
      <c r="C29" s="96">
        <f>SUM(C26:C28)</f>
        <v>159120000</v>
      </c>
      <c r="D29" s="95">
        <v>0</v>
      </c>
      <c r="F29" s="29" t="s">
        <v>391</v>
      </c>
    </row>
    <row r="30" spans="2:7" x14ac:dyDescent="0.2">
      <c r="B30" s="111" t="str">
        <f>+B21</f>
        <v>Total al 31/12/2021</v>
      </c>
      <c r="C30" s="96">
        <v>28520000</v>
      </c>
      <c r="D30" s="95">
        <v>0</v>
      </c>
    </row>
    <row r="31" spans="2:7" x14ac:dyDescent="0.2">
      <c r="B31" s="100"/>
    </row>
    <row r="32" spans="2:7" x14ac:dyDescent="0.2">
      <c r="B32" s="100"/>
      <c r="C32" s="94">
        <f>+C29+C20+C12-'BALANCE GRAL 30_06_22'!D29</f>
        <v>0</v>
      </c>
      <c r="F32" s="59"/>
    </row>
    <row r="33" spans="2:8" x14ac:dyDescent="0.2">
      <c r="B33" s="100"/>
    </row>
    <row r="34" spans="2:8" x14ac:dyDescent="0.2">
      <c r="B34" s="697" t="s">
        <v>392</v>
      </c>
      <c r="C34" s="697"/>
      <c r="D34" s="697"/>
    </row>
    <row r="35" spans="2:8" x14ac:dyDescent="0.2">
      <c r="B35" s="706" t="s">
        <v>373</v>
      </c>
      <c r="C35" s="710" t="s">
        <v>393</v>
      </c>
      <c r="D35" s="710" t="s">
        <v>394</v>
      </c>
      <c r="E35" s="39" t="s">
        <v>370</v>
      </c>
      <c r="F35" s="39" t="s">
        <v>395</v>
      </c>
      <c r="G35" s="706" t="s">
        <v>396</v>
      </c>
      <c r="H35" s="706"/>
    </row>
    <row r="36" spans="2:8" x14ac:dyDescent="0.2">
      <c r="B36" s="706"/>
      <c r="C36" s="710"/>
      <c r="D36" s="710"/>
      <c r="E36" s="39" t="s">
        <v>397</v>
      </c>
      <c r="F36" s="39" t="s">
        <v>398</v>
      </c>
      <c r="G36" s="706"/>
      <c r="H36" s="706"/>
    </row>
    <row r="37" spans="2:8" x14ac:dyDescent="0.2">
      <c r="B37" s="706"/>
      <c r="C37" s="710"/>
      <c r="D37" s="710"/>
      <c r="E37" s="435"/>
      <c r="F37" s="39" t="s">
        <v>399</v>
      </c>
      <c r="G37" s="706"/>
      <c r="H37" s="706"/>
    </row>
    <row r="38" spans="2:8" x14ac:dyDescent="0.2">
      <c r="B38" s="436"/>
      <c r="C38" s="706" t="s">
        <v>400</v>
      </c>
      <c r="D38" s="706"/>
      <c r="E38" s="706"/>
      <c r="F38" s="706"/>
      <c r="G38" s="706"/>
      <c r="H38" s="39"/>
    </row>
    <row r="39" spans="2:8" x14ac:dyDescent="0.2">
      <c r="B39" s="436" t="s">
        <v>401</v>
      </c>
      <c r="C39" s="706"/>
      <c r="D39" s="706"/>
      <c r="E39" s="706"/>
      <c r="F39" s="706"/>
      <c r="G39" s="706"/>
      <c r="H39" s="436"/>
    </row>
    <row r="40" spans="2:8" x14ac:dyDescent="0.2">
      <c r="B40" s="436" t="s">
        <v>402</v>
      </c>
      <c r="C40" s="706"/>
      <c r="D40" s="706"/>
      <c r="E40" s="706"/>
      <c r="F40" s="706"/>
      <c r="G40" s="706"/>
      <c r="H40" s="436"/>
    </row>
    <row r="44" spans="2:8" ht="12.75" thickBot="1" x14ac:dyDescent="0.25"/>
    <row r="45" spans="2:8" x14ac:dyDescent="0.2">
      <c r="B45" s="671" t="s">
        <v>1044</v>
      </c>
      <c r="C45" s="672">
        <f>+C29+C20+C12</f>
        <v>227164326</v>
      </c>
      <c r="D45" s="94">
        <f>+C45-'BALANCE GRAL 30_06_22'!D29</f>
        <v>0</v>
      </c>
    </row>
    <row r="46" spans="2:8" ht="12.75" thickBot="1" x14ac:dyDescent="0.25">
      <c r="B46" s="673" t="s">
        <v>1045</v>
      </c>
      <c r="C46" s="674">
        <f>+C30+C21+C13</f>
        <v>70074071</v>
      </c>
      <c r="D46" s="94">
        <f>+C46-'BALANCE GRAL 30_06_22'!E29</f>
        <v>0</v>
      </c>
    </row>
  </sheetData>
  <mergeCells count="14">
    <mergeCell ref="B23:D23"/>
    <mergeCell ref="B5:D5"/>
    <mergeCell ref="B7:D7"/>
    <mergeCell ref="B8:D8"/>
    <mergeCell ref="B15:D15"/>
    <mergeCell ref="B16:D16"/>
    <mergeCell ref="H35:H37"/>
    <mergeCell ref="C38:G40"/>
    <mergeCell ref="B24:D24"/>
    <mergeCell ref="B34:D34"/>
    <mergeCell ref="B35:B37"/>
    <mergeCell ref="C35:C37"/>
    <mergeCell ref="D35:D37"/>
    <mergeCell ref="G35:G37"/>
  </mergeCells>
  <hyperlinks>
    <hyperlink ref="B3" location="'BALANCE GRAL 30_06_22'!A1" display="f)       Créditos" xr:uid="{2D1E64B5-15B9-4E10-909F-88D2CDF1208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rgb="FF002060"/>
  </sheetPr>
  <dimension ref="B3:AD22"/>
  <sheetViews>
    <sheetView showGridLines="0" topLeftCell="B1" zoomScaleNormal="100" workbookViewId="0">
      <pane xSplit="1" ySplit="8" topLeftCell="C9" activePane="bottomRight" state="frozen"/>
      <selection activeCell="E77" sqref="E77"/>
      <selection pane="topRight" activeCell="E77" sqref="E77"/>
      <selection pane="bottomLeft" activeCell="E77" sqref="E77"/>
      <selection pane="bottomRight" activeCell="E77" sqref="E77"/>
    </sheetView>
  </sheetViews>
  <sheetFormatPr baseColWidth="10" defaultColWidth="11.42578125" defaultRowHeight="12" x14ac:dyDescent="0.2"/>
  <cols>
    <col min="1" max="1" width="2.42578125" style="29" customWidth="1"/>
    <col min="2" max="2" width="23" style="100" customWidth="1"/>
    <col min="3" max="3" width="20.7109375" style="29" bestFit="1" customWidth="1"/>
    <col min="4" max="4" width="14.140625" style="29" bestFit="1" customWidth="1"/>
    <col min="5" max="5" width="11.28515625" style="29" customWidth="1"/>
    <col min="6" max="6" width="10.28515625" style="638" bestFit="1" customWidth="1"/>
    <col min="7" max="7" width="14.42578125" style="638" bestFit="1" customWidth="1"/>
    <col min="8" max="8" width="13" style="638" bestFit="1" customWidth="1"/>
    <col min="9" max="9" width="10.7109375" style="638" bestFit="1" customWidth="1"/>
    <col min="10" max="10" width="7.7109375" style="638" customWidth="1"/>
    <col min="11" max="11" width="9.5703125" style="638" customWidth="1"/>
    <col min="12" max="12" width="13.140625" style="638" bestFit="1" customWidth="1"/>
    <col min="13" max="13" width="14.140625" style="638" bestFit="1" customWidth="1"/>
    <col min="14" max="14" width="10.28515625" style="638" customWidth="1"/>
    <col min="15" max="30" width="11.42578125" style="638"/>
    <col min="31" max="16384" width="11.42578125" style="29"/>
  </cols>
  <sheetData>
    <row r="3" spans="2:30" s="183" customFormat="1" ht="19.149999999999999" hidden="1" customHeight="1" x14ac:dyDescent="0.2">
      <c r="B3" s="100"/>
      <c r="C3" s="32"/>
      <c r="D3" s="29"/>
      <c r="E3" s="29"/>
      <c r="F3" s="638"/>
      <c r="G3" s="638"/>
      <c r="H3" s="638"/>
      <c r="I3" s="638"/>
      <c r="J3" s="638"/>
      <c r="K3" s="638"/>
      <c r="L3" s="638"/>
      <c r="M3" s="638"/>
      <c r="N3" s="652"/>
      <c r="O3" s="653"/>
      <c r="P3" s="653"/>
      <c r="Q3" s="653"/>
      <c r="R3" s="653"/>
      <c r="S3" s="653"/>
      <c r="T3" s="653"/>
      <c r="U3" s="653"/>
      <c r="V3" s="653"/>
      <c r="W3" s="653"/>
      <c r="X3" s="653"/>
      <c r="Y3" s="653"/>
      <c r="Z3" s="653"/>
      <c r="AA3" s="653"/>
      <c r="AB3" s="653"/>
      <c r="AC3" s="653"/>
      <c r="AD3" s="653"/>
    </row>
    <row r="4" spans="2:30" ht="15" x14ac:dyDescent="0.25">
      <c r="C4" s="399" t="s">
        <v>747</v>
      </c>
      <c r="N4" s="654"/>
    </row>
    <row r="5" spans="2:30" ht="31.9" customHeight="1" x14ac:dyDescent="0.2">
      <c r="B5" s="712" t="s">
        <v>1026</v>
      </c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  <c r="N5" s="655"/>
      <c r="O5" s="656"/>
    </row>
    <row r="6" spans="2:30" x14ac:dyDescent="0.2">
      <c r="C6" s="101"/>
      <c r="N6" s="654"/>
    </row>
    <row r="7" spans="2:30" x14ac:dyDescent="0.2">
      <c r="B7" s="47"/>
      <c r="C7" s="186" t="s">
        <v>403</v>
      </c>
      <c r="D7" s="187"/>
      <c r="E7" s="187"/>
      <c r="F7" s="657"/>
      <c r="G7" s="657"/>
      <c r="H7" s="658" t="s">
        <v>404</v>
      </c>
      <c r="I7" s="657"/>
      <c r="J7" s="657"/>
      <c r="K7" s="657"/>
      <c r="L7" s="657"/>
      <c r="M7" s="659"/>
      <c r="N7" s="654"/>
    </row>
    <row r="8" spans="2:30" ht="36" x14ac:dyDescent="0.2">
      <c r="B8" s="39" t="s">
        <v>268</v>
      </c>
      <c r="C8" s="102" t="s">
        <v>405</v>
      </c>
      <c r="D8" s="39" t="s">
        <v>406</v>
      </c>
      <c r="E8" s="39" t="s">
        <v>407</v>
      </c>
      <c r="F8" s="660" t="s">
        <v>408</v>
      </c>
      <c r="G8" s="660" t="s">
        <v>409</v>
      </c>
      <c r="H8" s="660" t="s">
        <v>410</v>
      </c>
      <c r="I8" s="660" t="s">
        <v>406</v>
      </c>
      <c r="J8" s="660" t="s">
        <v>407</v>
      </c>
      <c r="K8" s="660" t="s">
        <v>408</v>
      </c>
      <c r="L8" s="660" t="s">
        <v>411</v>
      </c>
      <c r="M8" s="660" t="s">
        <v>412</v>
      </c>
      <c r="N8" s="655"/>
    </row>
    <row r="9" spans="2:30" x14ac:dyDescent="0.2">
      <c r="B9" s="104" t="s">
        <v>413</v>
      </c>
      <c r="C9" s="95">
        <v>0</v>
      </c>
      <c r="D9" s="57">
        <v>0</v>
      </c>
      <c r="E9" s="57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f>+G9-L9</f>
        <v>0</v>
      </c>
      <c r="N9" s="654"/>
      <c r="O9" s="661"/>
      <c r="P9" s="661"/>
    </row>
    <row r="10" spans="2:30" x14ac:dyDescent="0.2">
      <c r="B10" s="106" t="s">
        <v>414</v>
      </c>
      <c r="C10" s="95">
        <v>0</v>
      </c>
      <c r="D10" s="95">
        <v>0</v>
      </c>
      <c r="E10" s="57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f t="shared" ref="M10:M17" si="0">+G10-L10</f>
        <v>0</v>
      </c>
      <c r="N10" s="654"/>
      <c r="O10" s="661"/>
      <c r="P10" s="661"/>
    </row>
    <row r="11" spans="2:30" x14ac:dyDescent="0.2">
      <c r="B11" s="106" t="s">
        <v>415</v>
      </c>
      <c r="C11" s="95">
        <v>0</v>
      </c>
      <c r="D11" s="57">
        <v>0</v>
      </c>
      <c r="E11" s="57">
        <v>0</v>
      </c>
      <c r="F11" s="95">
        <v>0</v>
      </c>
      <c r="G11" s="95">
        <v>0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f t="shared" si="0"/>
        <v>0</v>
      </c>
      <c r="N11" s="654"/>
      <c r="O11" s="661"/>
      <c r="P11" s="661"/>
    </row>
    <row r="12" spans="2:30" x14ac:dyDescent="0.2">
      <c r="B12" s="106" t="s">
        <v>416</v>
      </c>
      <c r="C12" s="95">
        <v>0</v>
      </c>
      <c r="D12" s="57">
        <v>0</v>
      </c>
      <c r="E12" s="57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f t="shared" si="0"/>
        <v>0</v>
      </c>
      <c r="N12" s="654"/>
      <c r="O12" s="661"/>
      <c r="P12" s="661"/>
    </row>
    <row r="13" spans="2:30" x14ac:dyDescent="0.2">
      <c r="B13" s="106" t="s">
        <v>417</v>
      </c>
      <c r="C13" s="95">
        <v>0</v>
      </c>
      <c r="D13" s="95">
        <v>5276772</v>
      </c>
      <c r="E13" s="57"/>
      <c r="F13" s="95">
        <v>0</v>
      </c>
      <c r="G13" s="95">
        <f>+D13</f>
        <v>5276772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f t="shared" si="0"/>
        <v>5276772</v>
      </c>
      <c r="N13" s="654"/>
      <c r="O13" s="661"/>
      <c r="P13" s="661"/>
      <c r="Q13" s="661"/>
    </row>
    <row r="14" spans="2:30" x14ac:dyDescent="0.2">
      <c r="B14" s="106" t="s">
        <v>418</v>
      </c>
      <c r="C14" s="95">
        <v>0</v>
      </c>
      <c r="D14" s="57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f t="shared" si="0"/>
        <v>0</v>
      </c>
      <c r="N14" s="655"/>
      <c r="O14" s="656"/>
      <c r="P14" s="661"/>
    </row>
    <row r="15" spans="2:30" x14ac:dyDescent="0.2">
      <c r="B15" s="106" t="s">
        <v>419</v>
      </c>
      <c r="C15" s="57">
        <v>0</v>
      </c>
      <c r="D15" s="57">
        <v>0</v>
      </c>
      <c r="E15" s="95"/>
      <c r="F15" s="95"/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f>+G15+L15</f>
        <v>0</v>
      </c>
      <c r="N15" s="655"/>
      <c r="O15" s="661"/>
      <c r="P15" s="661"/>
    </row>
    <row r="16" spans="2:30" x14ac:dyDescent="0.2">
      <c r="B16" s="106" t="s">
        <v>420</v>
      </c>
      <c r="C16" s="57">
        <v>0</v>
      </c>
      <c r="D16" s="57">
        <f t="shared" ref="D16" si="1">+G16-C16</f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f>+H16</f>
        <v>0</v>
      </c>
      <c r="K16" s="95">
        <v>0</v>
      </c>
      <c r="L16" s="95">
        <v>0</v>
      </c>
      <c r="M16" s="95">
        <f>+G16+L16</f>
        <v>0</v>
      </c>
      <c r="N16" s="654"/>
      <c r="P16" s="661"/>
    </row>
    <row r="17" spans="2:16" x14ac:dyDescent="0.2">
      <c r="B17" s="106" t="s">
        <v>421</v>
      </c>
      <c r="C17" s="95">
        <v>0</v>
      </c>
      <c r="D17" s="57"/>
      <c r="E17" s="95"/>
      <c r="F17" s="95"/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f t="shared" si="0"/>
        <v>0</v>
      </c>
      <c r="O17" s="661"/>
      <c r="P17" s="661"/>
    </row>
    <row r="18" spans="2:16" x14ac:dyDescent="0.2">
      <c r="B18" s="107" t="str">
        <f>+'NOTA F - CREDITOS'!B29</f>
        <v>Total al 30/06/2022</v>
      </c>
      <c r="C18" s="108">
        <f>SUM(C9:C17)</f>
        <v>0</v>
      </c>
      <c r="D18" s="108">
        <f>SUM(D9:D17)</f>
        <v>5276772</v>
      </c>
      <c r="E18" s="95">
        <v>0</v>
      </c>
      <c r="F18" s="95">
        <v>0</v>
      </c>
      <c r="G18" s="96">
        <f>SUM(G9:G17)</f>
        <v>5276772</v>
      </c>
      <c r="H18" s="96">
        <f>SUM(H9:H17)</f>
        <v>0</v>
      </c>
      <c r="I18" s="96">
        <f>SUM(I9:I17)</f>
        <v>0</v>
      </c>
      <c r="J18" s="95">
        <v>0</v>
      </c>
      <c r="K18" s="95">
        <v>0</v>
      </c>
      <c r="L18" s="96">
        <f>SUM(L9:L17)</f>
        <v>0</v>
      </c>
      <c r="M18" s="96">
        <f>SUM(M9:M17)</f>
        <v>5276772</v>
      </c>
      <c r="O18" s="661"/>
      <c r="P18" s="661"/>
    </row>
    <row r="19" spans="2:16" x14ac:dyDescent="0.2">
      <c r="B19" s="107" t="str">
        <f>+'NOTA F - CREDITOS'!B30</f>
        <v>Total al 31/12/2021</v>
      </c>
      <c r="C19" s="108">
        <v>0</v>
      </c>
      <c r="D19" s="108">
        <v>5276772</v>
      </c>
      <c r="E19" s="95">
        <v>0</v>
      </c>
      <c r="F19" s="96">
        <v>0</v>
      </c>
      <c r="G19" s="96">
        <v>5276772</v>
      </c>
      <c r="H19" s="96">
        <v>0</v>
      </c>
      <c r="I19" s="96">
        <v>0</v>
      </c>
      <c r="J19" s="95">
        <v>0</v>
      </c>
      <c r="K19" s="95">
        <v>0</v>
      </c>
      <c r="L19" s="96">
        <v>0</v>
      </c>
      <c r="M19" s="96">
        <v>5276772</v>
      </c>
    </row>
    <row r="22" spans="2:16" x14ac:dyDescent="0.2">
      <c r="M22" s="661">
        <f>+M18-'BALANCE GRAL 30_06_22'!D61</f>
        <v>0</v>
      </c>
    </row>
  </sheetData>
  <mergeCells count="1">
    <mergeCell ref="B5:M5"/>
  </mergeCells>
  <hyperlinks>
    <hyperlink ref="C4" location="'BALANCE GRAL 30_06_22'!A1" display="g)      Bienes de Uso." xr:uid="{AC234295-59C2-4E74-810A-FA80B622CF4A}"/>
  </hyperlink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tabColor rgb="FF002060"/>
  </sheetPr>
  <dimension ref="B3:H17"/>
  <sheetViews>
    <sheetView showGridLines="0" zoomScale="134" workbookViewId="0">
      <selection activeCell="E77" sqref="E77"/>
    </sheetView>
  </sheetViews>
  <sheetFormatPr baseColWidth="10" defaultColWidth="20.140625" defaultRowHeight="12" x14ac:dyDescent="0.2"/>
  <cols>
    <col min="1" max="1" width="6.28515625" style="29" customWidth="1"/>
    <col min="2" max="2" width="23.42578125" style="29" bestFit="1" customWidth="1"/>
    <col min="3" max="3" width="13.42578125" style="29" bestFit="1" customWidth="1"/>
    <col min="4" max="4" width="12.28515625" style="29" bestFit="1" customWidth="1"/>
    <col min="5" max="5" width="16.28515625" style="29" bestFit="1" customWidth="1"/>
    <col min="6" max="6" width="17.7109375" style="29" bestFit="1" customWidth="1"/>
    <col min="7" max="16384" width="20.140625" style="29"/>
  </cols>
  <sheetData>
    <row r="3" spans="2:8" ht="15" x14ac:dyDescent="0.25">
      <c r="B3" s="399" t="s">
        <v>675</v>
      </c>
    </row>
    <row r="4" spans="2:8" x14ac:dyDescent="0.2">
      <c r="B4" s="712" t="s">
        <v>635</v>
      </c>
      <c r="C4" s="712"/>
      <c r="D4" s="712"/>
      <c r="E4" s="712"/>
      <c r="F4" s="712"/>
    </row>
    <row r="6" spans="2:8" x14ac:dyDescent="0.2">
      <c r="B6" s="184" t="s">
        <v>352</v>
      </c>
      <c r="C6" s="184" t="s">
        <v>422</v>
      </c>
      <c r="D6" s="184" t="s">
        <v>423</v>
      </c>
      <c r="E6" s="184" t="s">
        <v>424</v>
      </c>
      <c r="F6" s="184" t="s">
        <v>425</v>
      </c>
    </row>
    <row r="7" spans="2:8" x14ac:dyDescent="0.2">
      <c r="B7" s="37" t="s">
        <v>538</v>
      </c>
      <c r="C7" s="57">
        <v>0</v>
      </c>
      <c r="D7" s="57">
        <v>0</v>
      </c>
      <c r="E7" s="95">
        <v>0</v>
      </c>
      <c r="F7" s="57">
        <f>+C7+D7-E7</f>
        <v>0</v>
      </c>
      <c r="G7" s="59"/>
      <c r="H7" s="105"/>
    </row>
    <row r="8" spans="2:8" x14ac:dyDescent="0.2">
      <c r="B8" s="37" t="s">
        <v>539</v>
      </c>
      <c r="C8" s="57">
        <f>+'BALANCE GRAL 30_06_22'!E32</f>
        <v>337853472</v>
      </c>
      <c r="D8" s="57">
        <v>998105548</v>
      </c>
      <c r="E8" s="95">
        <v>337853472</v>
      </c>
      <c r="F8" s="57">
        <f>+'BALANCE GRAL 30_06_22'!D32</f>
        <v>998105548</v>
      </c>
      <c r="G8" s="110"/>
      <c r="H8" s="78"/>
    </row>
    <row r="9" spans="2:8" x14ac:dyDescent="0.2">
      <c r="B9" s="37" t="s">
        <v>540</v>
      </c>
      <c r="C9" s="57">
        <v>0</v>
      </c>
      <c r="D9" s="57">
        <v>0</v>
      </c>
      <c r="E9" s="95">
        <v>0</v>
      </c>
      <c r="F9" s="57">
        <f>+C9+D9-E9</f>
        <v>0</v>
      </c>
      <c r="G9" s="110"/>
      <c r="H9" s="78"/>
    </row>
    <row r="10" spans="2:8" x14ac:dyDescent="0.2">
      <c r="B10" s="37" t="s">
        <v>542</v>
      </c>
      <c r="C10" s="57">
        <v>0</v>
      </c>
      <c r="D10" s="57">
        <v>0</v>
      </c>
      <c r="E10" s="95">
        <v>0</v>
      </c>
      <c r="F10" s="57">
        <f>+C10+D10-E10</f>
        <v>0</v>
      </c>
      <c r="G10" s="110"/>
      <c r="H10" s="78"/>
    </row>
    <row r="11" spans="2:8" x14ac:dyDescent="0.2">
      <c r="B11" s="111" t="str">
        <f>+'NOTA G BIENES DE USO'!B18</f>
        <v>Total al 30/06/2022</v>
      </c>
      <c r="C11" s="108">
        <f>SUM(C7:C10)</f>
        <v>337853472</v>
      </c>
      <c r="D11" s="108">
        <f t="shared" ref="D11:F11" si="0">SUM(D7:D10)</f>
        <v>998105548</v>
      </c>
      <c r="E11" s="108">
        <f t="shared" si="0"/>
        <v>337853472</v>
      </c>
      <c r="F11" s="108">
        <f t="shared" si="0"/>
        <v>998105548</v>
      </c>
      <c r="G11" s="105"/>
      <c r="H11" s="105"/>
    </row>
    <row r="12" spans="2:8" x14ac:dyDescent="0.2">
      <c r="B12" s="111" t="str">
        <f>+'NOTA G BIENES DE USO'!B19</f>
        <v>Total al 31/12/2021</v>
      </c>
      <c r="C12" s="108">
        <v>0</v>
      </c>
      <c r="D12" s="108">
        <v>495555277</v>
      </c>
      <c r="E12" s="108">
        <v>157701805</v>
      </c>
      <c r="F12" s="108">
        <v>337853472</v>
      </c>
      <c r="G12" s="105"/>
    </row>
    <row r="14" spans="2:8" ht="12.75" x14ac:dyDescent="0.2">
      <c r="E14" s="290"/>
      <c r="F14" s="59">
        <f>+F11-'BALANCE GRAL 30_06_22'!D36</f>
        <v>0</v>
      </c>
    </row>
    <row r="15" spans="2:8" ht="12.75" x14ac:dyDescent="0.2">
      <c r="E15" s="291"/>
    </row>
    <row r="16" spans="2:8" ht="12.75" x14ac:dyDescent="0.2">
      <c r="E16" s="291"/>
    </row>
    <row r="17" spans="5:5" x14ac:dyDescent="0.2">
      <c r="E17" s="105"/>
    </row>
  </sheetData>
  <mergeCells count="1">
    <mergeCell ref="B4:F4"/>
  </mergeCells>
  <hyperlinks>
    <hyperlink ref="B3" location="'BALANCE GRAL 30_06_22'!A1" display="h)       Cargos Diferidos" xr:uid="{AEF3DEC7-C701-431E-9B45-81F7BB961E29}"/>
  </hyperlink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tabColor rgb="FF002060"/>
  </sheetPr>
  <dimension ref="B3:N27"/>
  <sheetViews>
    <sheetView showGridLines="0" workbookViewId="0">
      <selection activeCell="E77" sqref="E77"/>
    </sheetView>
  </sheetViews>
  <sheetFormatPr baseColWidth="10" defaultColWidth="11.42578125" defaultRowHeight="12" x14ac:dyDescent="0.2"/>
  <cols>
    <col min="1" max="1" width="6.85546875" style="29" customWidth="1"/>
    <col min="2" max="2" width="29.42578125" style="29" customWidth="1"/>
    <col min="3" max="3" width="26.5703125" style="29" customWidth="1"/>
    <col min="4" max="4" width="22" style="29" customWidth="1"/>
    <col min="5" max="5" width="11.42578125" style="29"/>
    <col min="6" max="7" width="13.42578125" style="29" bestFit="1" customWidth="1"/>
    <col min="8" max="8" width="12" style="29" bestFit="1" customWidth="1"/>
    <col min="9" max="16384" width="11.42578125" style="29"/>
  </cols>
  <sheetData>
    <row r="3" spans="2:6" ht="15" x14ac:dyDescent="0.25">
      <c r="B3" s="399" t="s">
        <v>636</v>
      </c>
    </row>
    <row r="4" spans="2:6" x14ac:dyDescent="0.2">
      <c r="B4" s="712" t="s">
        <v>637</v>
      </c>
      <c r="C4" s="712"/>
      <c r="D4" s="712"/>
    </row>
    <row r="6" spans="2:6" x14ac:dyDescent="0.2">
      <c r="B6" s="39" t="s">
        <v>426</v>
      </c>
      <c r="C6" s="39" t="s">
        <v>352</v>
      </c>
      <c r="D6" s="113" t="str">
        <f>+'NOTA F - CREDITOS'!B29</f>
        <v>Total al 30/06/2022</v>
      </c>
    </row>
    <row r="7" spans="2:6" x14ac:dyDescent="0.2">
      <c r="B7" s="106" t="s">
        <v>427</v>
      </c>
      <c r="C7" s="106"/>
      <c r="D7" s="168">
        <v>0</v>
      </c>
    </row>
    <row r="8" spans="2:6" x14ac:dyDescent="0.2">
      <c r="B8" s="106" t="s">
        <v>428</v>
      </c>
      <c r="C8" s="106"/>
      <c r="D8" s="116">
        <v>0</v>
      </c>
    </row>
    <row r="9" spans="2:6" x14ac:dyDescent="0.2">
      <c r="B9" s="106" t="s">
        <v>429</v>
      </c>
      <c r="C9" s="106"/>
      <c r="D9" s="116">
        <v>0</v>
      </c>
      <c r="E9" s="105"/>
      <c r="F9" s="105"/>
    </row>
    <row r="10" spans="2:6" x14ac:dyDescent="0.2">
      <c r="B10" s="106" t="s">
        <v>142</v>
      </c>
      <c r="C10" s="106"/>
      <c r="D10" s="116">
        <v>0</v>
      </c>
    </row>
    <row r="11" spans="2:6" x14ac:dyDescent="0.2">
      <c r="B11" s="106" t="s">
        <v>430</v>
      </c>
      <c r="C11" s="106"/>
      <c r="D11" s="116">
        <v>0</v>
      </c>
    </row>
    <row r="12" spans="2:6" x14ac:dyDescent="0.2">
      <c r="B12" s="111" t="str">
        <f>+'NOTA H CARGOS DIFERIDOS'!B11</f>
        <v>Total al 30/06/2022</v>
      </c>
      <c r="C12" s="111"/>
      <c r="D12" s="117">
        <f>SUM(D7:D11)</f>
        <v>0</v>
      </c>
      <c r="E12" s="105"/>
      <c r="F12" s="105"/>
    </row>
    <row r="13" spans="2:6" x14ac:dyDescent="0.2">
      <c r="B13" s="111" t="str">
        <f>+'NOTA H CARGOS DIFERIDOS'!B12</f>
        <v>Total al 31/12/2021</v>
      </c>
      <c r="C13" s="115"/>
      <c r="D13" s="117">
        <v>0</v>
      </c>
      <c r="E13" s="105"/>
    </row>
    <row r="16" spans="2:6" x14ac:dyDescent="0.2">
      <c r="D16" s="59">
        <f>+D13-'BALANCE GRAL 30_06_22'!D68</f>
        <v>0</v>
      </c>
    </row>
    <row r="17" spans="7:14" x14ac:dyDescent="0.2">
      <c r="G17" s="43"/>
      <c r="K17" s="29" t="s">
        <v>365</v>
      </c>
      <c r="N17" s="29" t="s">
        <v>365</v>
      </c>
    </row>
    <row r="18" spans="7:14" x14ac:dyDescent="0.2">
      <c r="G18" s="43"/>
      <c r="K18" s="29" t="s">
        <v>365</v>
      </c>
      <c r="N18" s="29" t="s">
        <v>365</v>
      </c>
    </row>
    <row r="19" spans="7:14" x14ac:dyDescent="0.2">
      <c r="G19" s="43"/>
      <c r="K19" s="29" t="s">
        <v>365</v>
      </c>
      <c r="N19" s="29" t="s">
        <v>365</v>
      </c>
    </row>
    <row r="20" spans="7:14" x14ac:dyDescent="0.2">
      <c r="G20" s="43"/>
      <c r="K20" s="29" t="s">
        <v>365</v>
      </c>
      <c r="N20" s="29" t="s">
        <v>365</v>
      </c>
    </row>
    <row r="21" spans="7:14" x14ac:dyDescent="0.2">
      <c r="G21" s="43"/>
      <c r="H21" s="59"/>
      <c r="K21" s="29" t="s">
        <v>365</v>
      </c>
      <c r="N21" s="29" t="s">
        <v>365</v>
      </c>
    </row>
    <row r="22" spans="7:14" x14ac:dyDescent="0.2">
      <c r="G22" s="43"/>
      <c r="K22" s="29" t="s">
        <v>365</v>
      </c>
      <c r="N22" s="29" t="s">
        <v>365</v>
      </c>
    </row>
    <row r="23" spans="7:14" x14ac:dyDescent="0.2">
      <c r="G23" s="43"/>
      <c r="H23" s="59"/>
      <c r="K23" s="29" t="s">
        <v>365</v>
      </c>
      <c r="N23" s="29" t="s">
        <v>365</v>
      </c>
    </row>
    <row r="24" spans="7:14" x14ac:dyDescent="0.2">
      <c r="G24" s="43"/>
      <c r="K24" s="29" t="s">
        <v>365</v>
      </c>
      <c r="N24" s="29" t="s">
        <v>365</v>
      </c>
    </row>
    <row r="25" spans="7:14" x14ac:dyDescent="0.2">
      <c r="G25" s="43"/>
      <c r="H25" s="59"/>
      <c r="K25" s="29" t="s">
        <v>365</v>
      </c>
      <c r="N25" s="29" t="s">
        <v>365</v>
      </c>
    </row>
    <row r="26" spans="7:14" x14ac:dyDescent="0.2">
      <c r="G26" s="43"/>
      <c r="K26" s="29" t="s">
        <v>365</v>
      </c>
      <c r="N26" s="29" t="s">
        <v>365</v>
      </c>
    </row>
    <row r="27" spans="7:14" x14ac:dyDescent="0.2">
      <c r="G27" s="43"/>
      <c r="H27" s="59"/>
      <c r="K27" s="29" t="s">
        <v>365</v>
      </c>
      <c r="N27" s="29" t="s">
        <v>365</v>
      </c>
    </row>
  </sheetData>
  <mergeCells count="1">
    <mergeCell ref="B4:D4"/>
  </mergeCells>
  <hyperlinks>
    <hyperlink ref="B3" location="'BALANCE GRAL 30_06_22'!A1" display="i)   Intangibles," xr:uid="{FEE892CA-FFD6-4F72-B431-65E031ADFFE6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tabColor rgb="FF002060"/>
  </sheetPr>
  <dimension ref="B2:G15"/>
  <sheetViews>
    <sheetView showGridLines="0" workbookViewId="0">
      <selection activeCell="E77" sqref="E77"/>
    </sheetView>
  </sheetViews>
  <sheetFormatPr baseColWidth="10" defaultColWidth="11.42578125" defaultRowHeight="12" x14ac:dyDescent="0.2"/>
  <cols>
    <col min="1" max="1" width="8.28515625" style="29" customWidth="1"/>
    <col min="2" max="2" width="37.85546875" style="29" bestFit="1" customWidth="1"/>
    <col min="3" max="3" width="11.28515625" style="29" bestFit="1" customWidth="1"/>
    <col min="4" max="4" width="10.28515625" style="29" bestFit="1" customWidth="1"/>
    <col min="5" max="5" width="14" style="29" bestFit="1" customWidth="1"/>
    <col min="6" max="6" width="14.85546875" style="29" bestFit="1" customWidth="1"/>
    <col min="7" max="7" width="8.140625" style="29" customWidth="1"/>
    <col min="8" max="16384" width="11.42578125" style="29"/>
  </cols>
  <sheetData>
    <row r="2" spans="2:7" ht="11.45" customHeight="1" x14ac:dyDescent="0.2">
      <c r="B2" s="101"/>
    </row>
    <row r="3" spans="2:7" ht="15" x14ac:dyDescent="0.25">
      <c r="B3" s="399" t="s">
        <v>671</v>
      </c>
    </row>
    <row r="4" spans="2:7" x14ac:dyDescent="0.2">
      <c r="B4" s="101"/>
    </row>
    <row r="5" spans="2:7" ht="12" customHeight="1" x14ac:dyDescent="0.2">
      <c r="B5" s="712" t="s">
        <v>637</v>
      </c>
      <c r="C5" s="712"/>
      <c r="D5" s="712"/>
      <c r="E5" s="712"/>
      <c r="F5" s="712"/>
    </row>
    <row r="7" spans="2:7" x14ac:dyDescent="0.2">
      <c r="B7" s="109" t="s">
        <v>352</v>
      </c>
      <c r="C7" s="109" t="s">
        <v>422</v>
      </c>
      <c r="D7" s="109" t="s">
        <v>423</v>
      </c>
      <c r="E7" s="109" t="s">
        <v>424</v>
      </c>
      <c r="F7" s="109" t="s">
        <v>425</v>
      </c>
    </row>
    <row r="8" spans="2:7" x14ac:dyDescent="0.2">
      <c r="B8" s="37" t="s">
        <v>338</v>
      </c>
      <c r="C8" s="116">
        <v>0</v>
      </c>
      <c r="D8" s="116">
        <v>0</v>
      </c>
      <c r="E8" s="116">
        <v>0</v>
      </c>
      <c r="F8" s="116">
        <f t="shared" ref="F8:F12" si="0">+C8+D8-E8</f>
        <v>0</v>
      </c>
    </row>
    <row r="9" spans="2:7" x14ac:dyDescent="0.2">
      <c r="B9" s="37" t="s">
        <v>150</v>
      </c>
      <c r="C9" s="116">
        <f>+'BALANCE GRAL 30_06_22'!D72</f>
        <v>57739382</v>
      </c>
      <c r="D9" s="116">
        <v>0</v>
      </c>
      <c r="E9" s="116">
        <v>0</v>
      </c>
      <c r="F9" s="116">
        <f t="shared" si="0"/>
        <v>57739382</v>
      </c>
    </row>
    <row r="10" spans="2:7" x14ac:dyDescent="0.2">
      <c r="B10" s="37" t="s">
        <v>431</v>
      </c>
      <c r="C10" s="116">
        <v>0</v>
      </c>
      <c r="D10" s="116">
        <v>0</v>
      </c>
      <c r="E10" s="116">
        <v>0</v>
      </c>
      <c r="F10" s="116">
        <f t="shared" si="0"/>
        <v>0</v>
      </c>
    </row>
    <row r="11" spans="2:7" x14ac:dyDescent="0.2">
      <c r="B11" s="37" t="s">
        <v>432</v>
      </c>
      <c r="C11" s="116">
        <v>0</v>
      </c>
      <c r="D11" s="116">
        <v>0</v>
      </c>
      <c r="E11" s="116">
        <v>0</v>
      </c>
      <c r="F11" s="116">
        <f t="shared" si="0"/>
        <v>0</v>
      </c>
    </row>
    <row r="12" spans="2:7" x14ac:dyDescent="0.2">
      <c r="B12" s="111" t="str">
        <f>+' NOTA I INTANGIBLES'!B12</f>
        <v>Total al 30/06/2022</v>
      </c>
      <c r="C12" s="117">
        <f>SUM(C8:C11)</f>
        <v>57739382</v>
      </c>
      <c r="D12" s="117">
        <f>SUM(D8:D11)</f>
        <v>0</v>
      </c>
      <c r="E12" s="117">
        <f>SUM(E8:E11)</f>
        <v>0</v>
      </c>
      <c r="F12" s="117">
        <f t="shared" si="0"/>
        <v>57739382</v>
      </c>
      <c r="G12" s="118"/>
    </row>
    <row r="13" spans="2:7" x14ac:dyDescent="0.2">
      <c r="B13" s="111" t="str">
        <f>+'NOTA H CARGOS DIFERIDOS'!B12</f>
        <v>Total al 31/12/2021</v>
      </c>
      <c r="C13" s="117">
        <v>57739382</v>
      </c>
      <c r="D13" s="117">
        <v>0</v>
      </c>
      <c r="E13" s="117">
        <v>0</v>
      </c>
      <c r="F13" s="117">
        <v>57739382</v>
      </c>
      <c r="G13" s="118"/>
    </row>
    <row r="15" spans="2:7" x14ac:dyDescent="0.2">
      <c r="F15" s="59">
        <f>+F12-'BALANCE GRAL 30_06_22'!D74</f>
        <v>0</v>
      </c>
    </row>
  </sheetData>
  <mergeCells count="1">
    <mergeCell ref="B5:F5"/>
  </mergeCells>
  <hyperlinks>
    <hyperlink ref="B3" location="'BALANCE GRAL 30_06_22'!A1" display="j)       Otros Activos Corrientes y No Corrientes" xr:uid="{354A6F1D-A12F-463D-9975-902A5483722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>
    <tabColor rgb="FF002060"/>
  </sheetPr>
  <dimension ref="C3:G14"/>
  <sheetViews>
    <sheetView showGridLines="0" topLeftCell="B1" zoomScale="125" workbookViewId="0">
      <selection activeCell="E77" sqref="E77"/>
    </sheetView>
  </sheetViews>
  <sheetFormatPr baseColWidth="10" defaultColWidth="11.42578125" defaultRowHeight="12" x14ac:dyDescent="0.2"/>
  <cols>
    <col min="1" max="1" width="0" style="29" hidden="1" customWidth="1"/>
    <col min="2" max="2" width="7.140625" style="29" customWidth="1"/>
    <col min="3" max="3" width="42.42578125" style="29" bestFit="1" customWidth="1"/>
    <col min="4" max="5" width="13.85546875" style="29" bestFit="1" customWidth="1"/>
    <col min="6" max="6" width="2.42578125" style="29" bestFit="1" customWidth="1"/>
    <col min="7" max="16384" width="11.42578125" style="29"/>
  </cols>
  <sheetData>
    <row r="3" spans="3:7" ht="15" x14ac:dyDescent="0.25">
      <c r="C3" s="399" t="s">
        <v>677</v>
      </c>
    </row>
    <row r="4" spans="3:7" x14ac:dyDescent="0.2">
      <c r="C4" s="101"/>
    </row>
    <row r="5" spans="3:7" ht="12" customHeight="1" x14ac:dyDescent="0.2">
      <c r="C5" s="712" t="s">
        <v>637</v>
      </c>
      <c r="D5" s="712"/>
      <c r="E5" s="712"/>
      <c r="F5" s="390"/>
      <c r="G5" s="390"/>
    </row>
    <row r="7" spans="3:7" x14ac:dyDescent="0.2">
      <c r="C7" s="33" t="s">
        <v>433</v>
      </c>
      <c r="D7" s="181" t="s">
        <v>434</v>
      </c>
      <c r="E7" s="33" t="s">
        <v>435</v>
      </c>
    </row>
    <row r="8" spans="3:7" x14ac:dyDescent="0.2">
      <c r="C8" s="37" t="s">
        <v>1027</v>
      </c>
      <c r="D8" s="168">
        <f>4503945205+2</f>
        <v>4503945207</v>
      </c>
      <c r="E8" s="95"/>
    </row>
    <row r="9" spans="3:7" x14ac:dyDescent="0.2">
      <c r="C9" s="37" t="s">
        <v>1027</v>
      </c>
      <c r="D9" s="168">
        <f>2250462328</f>
        <v>2250462328</v>
      </c>
      <c r="E9" s="95"/>
    </row>
    <row r="10" spans="3:7" x14ac:dyDescent="0.2">
      <c r="C10" s="37" t="s">
        <v>1028</v>
      </c>
      <c r="D10" s="168">
        <f>+'BALANCE GRAL 30_06_22'!G19</f>
        <v>416084999</v>
      </c>
      <c r="E10" s="95">
        <v>0</v>
      </c>
    </row>
    <row r="11" spans="3:7" x14ac:dyDescent="0.2">
      <c r="C11" s="111" t="str">
        <f>+'NOTA J OTROS ACTIVOS CTES y NO '!B12</f>
        <v>Total al 30/06/2022</v>
      </c>
      <c r="D11" s="292">
        <f>SUM(D8:D10)</f>
        <v>7170492534</v>
      </c>
      <c r="E11" s="114">
        <v>0</v>
      </c>
      <c r="F11" s="43"/>
    </row>
    <row r="12" spans="3:7" x14ac:dyDescent="0.2">
      <c r="C12" s="111" t="str">
        <f>+'NOTA J OTROS ACTIVOS CTES y NO '!B13</f>
        <v>Total al 31/12/2021</v>
      </c>
      <c r="D12" s="117">
        <v>9026012385</v>
      </c>
      <c r="E12" s="114">
        <v>0</v>
      </c>
      <c r="F12" s="43"/>
    </row>
    <row r="13" spans="3:7" x14ac:dyDescent="0.2">
      <c r="D13" s="43">
        <f>+D11-'BALANCE GRAL 30_06_22'!G20</f>
        <v>0</v>
      </c>
    </row>
    <row r="14" spans="3:7" x14ac:dyDescent="0.2">
      <c r="C14" s="415" t="s">
        <v>1029</v>
      </c>
    </row>
  </sheetData>
  <mergeCells count="1">
    <mergeCell ref="C5:E5"/>
  </mergeCells>
  <hyperlinks>
    <hyperlink ref="C3" location="'BALANCE GRAL 30_06_22'!A1" display="k)       Préstamos Financieros a corto y a largo plazo." xr:uid="{8CCE8202-9946-4902-A655-0866DED0D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4C8-7ACC-4D36-8E8E-5AFAFA8D298D}">
  <sheetPr>
    <tabColor theme="7" tint="0.59999389629810485"/>
    <pageSetUpPr fitToPage="1"/>
  </sheetPr>
  <dimension ref="A1:H67"/>
  <sheetViews>
    <sheetView workbookViewId="0">
      <pane ySplit="2" topLeftCell="A3" activePane="bottomLeft" state="frozen"/>
      <selection activeCell="C6" sqref="C6:E6"/>
      <selection pane="bottomLeft" activeCell="A5" sqref="A5:B15"/>
    </sheetView>
  </sheetViews>
  <sheetFormatPr baseColWidth="10" defaultColWidth="8.85546875" defaultRowHeight="15" x14ac:dyDescent="0.25"/>
  <cols>
    <col min="1" max="1" width="65.85546875" customWidth="1"/>
    <col min="2" max="2" width="25.7109375" style="446" customWidth="1"/>
    <col min="3" max="3" width="8.7109375" style="459" bestFit="1" customWidth="1"/>
    <col min="4" max="4" width="23" customWidth="1"/>
    <col min="5" max="5" width="18.42578125" customWidth="1"/>
    <col min="6" max="6" width="53.28515625" bestFit="1" customWidth="1"/>
    <col min="7" max="7" width="14.140625" style="446" bestFit="1" customWidth="1"/>
    <col min="8" max="8" width="11.7109375" bestFit="1" customWidth="1"/>
  </cols>
  <sheetData>
    <row r="1" spans="1:8" ht="54.75" customHeight="1" x14ac:dyDescent="0.25"/>
    <row r="2" spans="1:8" x14ac:dyDescent="0.25">
      <c r="A2" s="464" t="s">
        <v>869</v>
      </c>
      <c r="B2" s="463" t="s">
        <v>868</v>
      </c>
      <c r="C2" s="459" t="s">
        <v>867</v>
      </c>
      <c r="D2" t="s">
        <v>866</v>
      </c>
      <c r="F2" t="s">
        <v>755</v>
      </c>
      <c r="G2" s="446" t="s">
        <v>756</v>
      </c>
    </row>
    <row r="3" spans="1:8" s="444" customFormat="1" x14ac:dyDescent="0.25">
      <c r="A3" s="444" t="str">
        <f t="shared" ref="A3:A34" si="0">+F3</f>
        <v>Ingresos</v>
      </c>
      <c r="B3" s="445">
        <f t="shared" ref="B3:B34" si="1">+G3</f>
        <v>2932552898</v>
      </c>
      <c r="C3" s="470">
        <f>+Tabla2[[#This Row],[31/3/2022]]/$B$3</f>
        <v>1</v>
      </c>
      <c r="F3" s="444" t="s">
        <v>231</v>
      </c>
      <c r="G3" s="445">
        <v>2932552898</v>
      </c>
      <c r="H3" s="507">
        <f>+G3-Tabla2[[#This Row],[31/3/2022]]</f>
        <v>0</v>
      </c>
    </row>
    <row r="4" spans="1:8" s="444" customFormat="1" x14ac:dyDescent="0.25">
      <c r="A4" s="444" t="str">
        <f t="shared" si="0"/>
        <v>Ingresos Operativos</v>
      </c>
      <c r="B4" s="445">
        <f t="shared" si="1"/>
        <v>2736098352</v>
      </c>
      <c r="C4" s="470">
        <f>+Tabla2[[#This Row],[31/3/2022]]/$B$3</f>
        <v>0.93300903586974271</v>
      </c>
      <c r="F4" s="444" t="s">
        <v>865</v>
      </c>
      <c r="G4" s="445">
        <v>2736098352</v>
      </c>
    </row>
    <row r="5" spans="1:8" s="444" customFormat="1" x14ac:dyDescent="0.25">
      <c r="A5" s="444" t="str">
        <f t="shared" si="0"/>
        <v>Ingresos Por Intermediacion</v>
      </c>
      <c r="B5" s="445">
        <f t="shared" si="1"/>
        <v>23332954</v>
      </c>
      <c r="C5" s="470">
        <f>+Tabla2[[#This Row],[31/3/2022]]/$B$3</f>
        <v>7.9565330316507046E-3</v>
      </c>
      <c r="F5" s="444" t="s">
        <v>740</v>
      </c>
      <c r="G5" s="445">
        <v>23332954</v>
      </c>
    </row>
    <row r="6" spans="1:8" s="444" customFormat="1" x14ac:dyDescent="0.25">
      <c r="A6" s="444" t="str">
        <f t="shared" si="0"/>
        <v>Comisiones Por Intermediacion</v>
      </c>
      <c r="B6" s="445">
        <f t="shared" si="1"/>
        <v>23332954</v>
      </c>
      <c r="C6" s="470">
        <f>+Tabla2[[#This Row],[31/3/2022]]/$B$3</f>
        <v>7.9565330316507046E-3</v>
      </c>
      <c r="F6" s="444" t="s">
        <v>741</v>
      </c>
      <c r="G6" s="445">
        <v>23332954</v>
      </c>
    </row>
    <row r="7" spans="1:8" s="444" customFormat="1" x14ac:dyDescent="0.25">
      <c r="A7" s="444" t="str">
        <f t="shared" si="0"/>
        <v>Bursatiles</v>
      </c>
      <c r="B7" s="445">
        <f t="shared" si="1"/>
        <v>8850857</v>
      </c>
      <c r="C7" s="470">
        <f>+Tabla2[[#This Row],[31/3/2022]]/$B$3</f>
        <v>3.0181406125823957E-3</v>
      </c>
      <c r="F7" s="444" t="s">
        <v>742</v>
      </c>
      <c r="G7" s="445">
        <v>8850857</v>
      </c>
    </row>
    <row r="8" spans="1:8" s="444" customFormat="1" x14ac:dyDescent="0.25">
      <c r="A8" s="444" t="str">
        <f t="shared" si="0"/>
        <v>Extrabursatiles</v>
      </c>
      <c r="B8" s="445">
        <f t="shared" si="1"/>
        <v>11801753</v>
      </c>
      <c r="C8" s="470">
        <f>+Tabla2[[#This Row],[31/3/2022]]/$B$3</f>
        <v>4.0243956069978453E-3</v>
      </c>
      <c r="F8" s="444" t="s">
        <v>743</v>
      </c>
      <c r="G8" s="445">
        <v>11801753</v>
      </c>
    </row>
    <row r="9" spans="1:8" s="444" customFormat="1" x14ac:dyDescent="0.25">
      <c r="A9" s="444" t="str">
        <f t="shared" si="0"/>
        <v>Aranceles Cobrados BVPASA</v>
      </c>
      <c r="B9" s="445">
        <f t="shared" si="1"/>
        <v>2680344</v>
      </c>
      <c r="C9" s="470">
        <f>+Tabla2[[#This Row],[31/3/2022]]/$B$3</f>
        <v>9.1399681207046375E-4</v>
      </c>
      <c r="F9" s="444" t="s">
        <v>896</v>
      </c>
      <c r="G9" s="445">
        <v>2680344</v>
      </c>
    </row>
    <row r="10" spans="1:8" s="444" customFormat="1" x14ac:dyDescent="0.25">
      <c r="A10" s="444" t="str">
        <f t="shared" si="0"/>
        <v>Utilidad Por Venta De Inversiones/Cartera Propia</v>
      </c>
      <c r="B10" s="445">
        <f t="shared" si="1"/>
        <v>2371416119</v>
      </c>
      <c r="C10" s="470">
        <f>+Tabla2[[#This Row],[31/3/2022]]/$B$3</f>
        <v>0.80865246134768953</v>
      </c>
      <c r="F10" s="444" t="s">
        <v>744</v>
      </c>
      <c r="G10" s="445">
        <v>2371416119</v>
      </c>
    </row>
    <row r="11" spans="1:8" s="444" customFormat="1" x14ac:dyDescent="0.25">
      <c r="A11" s="444" t="str">
        <f t="shared" si="0"/>
        <v>Instrumentos Financieros</v>
      </c>
      <c r="B11" s="445">
        <f t="shared" si="1"/>
        <v>2371416119</v>
      </c>
      <c r="C11" s="470">
        <f>+Tabla2[[#This Row],[31/3/2022]]/$B$3</f>
        <v>0.80865246134768953</v>
      </c>
      <c r="F11" s="444" t="s">
        <v>745</v>
      </c>
      <c r="G11" s="445">
        <v>2371416119</v>
      </c>
    </row>
    <row r="12" spans="1:8" s="444" customFormat="1" x14ac:dyDescent="0.25">
      <c r="A12" s="444" t="str">
        <f t="shared" si="0"/>
        <v>Titulos De Deuda Bonos</v>
      </c>
      <c r="B12" s="445">
        <f t="shared" si="1"/>
        <v>2371416119</v>
      </c>
      <c r="C12" s="470">
        <f>+Tabla2[[#This Row],[31/3/2022]]/$B$3</f>
        <v>0.80865246134768953</v>
      </c>
      <c r="F12" s="444" t="s">
        <v>746</v>
      </c>
      <c r="G12" s="445">
        <v>2371416119</v>
      </c>
    </row>
    <row r="13" spans="1:8" s="444" customFormat="1" x14ac:dyDescent="0.25">
      <c r="A13" s="444" t="str">
        <f t="shared" si="0"/>
        <v>Ingresos Financieros</v>
      </c>
      <c r="B13" s="445">
        <f t="shared" si="1"/>
        <v>341343383</v>
      </c>
      <c r="C13" s="470">
        <f>+Tabla2[[#This Row],[31/3/2022]]/$B$3</f>
        <v>0.11639803095548458</v>
      </c>
      <c r="F13" s="444" t="s">
        <v>864</v>
      </c>
      <c r="G13" s="445">
        <v>341343383</v>
      </c>
    </row>
    <row r="14" spans="1:8" s="444" customFormat="1" x14ac:dyDescent="0.25">
      <c r="A14" s="444" t="str">
        <f t="shared" si="0"/>
        <v>Intereses caja de ahorro en entidades bancarias</v>
      </c>
      <c r="B14" s="445">
        <f t="shared" si="1"/>
        <v>247176</v>
      </c>
      <c r="C14" s="470">
        <f>+Tabla2[[#This Row],[31/3/2022]]/$B$3</f>
        <v>8.4286970635235245E-5</v>
      </c>
      <c r="F14" s="444" t="s">
        <v>863</v>
      </c>
      <c r="G14" s="445">
        <v>247176</v>
      </c>
    </row>
    <row r="15" spans="1:8" s="444" customFormat="1" x14ac:dyDescent="0.25">
      <c r="A15" s="444" t="str">
        <f t="shared" si="0"/>
        <v>Intereses  Por Instrumentos Financieros - Bursatiles -</v>
      </c>
      <c r="B15" s="445">
        <f t="shared" si="1"/>
        <v>341096207</v>
      </c>
      <c r="C15" s="470">
        <f>+Tabla2[[#This Row],[31/3/2022]]/$B$3</f>
        <v>0.11631374398484934</v>
      </c>
      <c r="F15" s="444" t="s">
        <v>862</v>
      </c>
      <c r="G15" s="445">
        <v>341096207</v>
      </c>
    </row>
    <row r="16" spans="1:8" s="444" customFormat="1" x14ac:dyDescent="0.25">
      <c r="A16" s="444" t="str">
        <f t="shared" si="0"/>
        <v>Otros Ingresos Operativos</v>
      </c>
      <c r="B16" s="445">
        <f t="shared" si="1"/>
        <v>5895</v>
      </c>
      <c r="C16" s="470">
        <f>+Tabla2[[#This Row],[31/3/2022]]/$B$3</f>
        <v>2.0101939180774497E-6</v>
      </c>
      <c r="F16" s="444" t="s">
        <v>208</v>
      </c>
      <c r="G16" s="445">
        <v>5895</v>
      </c>
    </row>
    <row r="17" spans="1:8" s="444" customFormat="1" x14ac:dyDescent="0.25">
      <c r="A17" s="444" t="str">
        <f t="shared" si="0"/>
        <v>Utilidad Por Operaciones Extrabursátiles</v>
      </c>
      <c r="B17" s="445">
        <f t="shared" si="1"/>
        <v>5895</v>
      </c>
      <c r="C17" s="470">
        <f>+Tabla2[[#This Row],[31/3/2022]]/$B$3</f>
        <v>2.0101939180774497E-6</v>
      </c>
      <c r="F17" s="444" t="s">
        <v>897</v>
      </c>
      <c r="G17" s="445">
        <v>5895</v>
      </c>
    </row>
    <row r="18" spans="1:8" s="444" customFormat="1" x14ac:dyDescent="0.25">
      <c r="A18" s="444" t="str">
        <f t="shared" si="0"/>
        <v>Ingresos No Operativos</v>
      </c>
      <c r="B18" s="445">
        <f t="shared" si="1"/>
        <v>196454546</v>
      </c>
      <c r="C18" s="470">
        <f>+Tabla2[[#This Row],[31/3/2022]]/$B$3</f>
        <v>6.6990964130257263E-2</v>
      </c>
      <c r="F18" s="444" t="s">
        <v>861</v>
      </c>
      <c r="G18" s="445">
        <v>196454546</v>
      </c>
    </row>
    <row r="19" spans="1:8" s="444" customFormat="1" x14ac:dyDescent="0.25">
      <c r="A19" s="444" t="str">
        <f t="shared" si="0"/>
        <v>Ingresos Extraordinarios</v>
      </c>
      <c r="B19" s="445">
        <f t="shared" si="1"/>
        <v>196454546</v>
      </c>
      <c r="C19" s="470">
        <f>+Tabla2[[#This Row],[31/3/2022]]/$B$3</f>
        <v>6.6990964130257263E-2</v>
      </c>
      <c r="F19" s="444" t="s">
        <v>470</v>
      </c>
      <c r="G19" s="445">
        <v>196454546</v>
      </c>
    </row>
    <row r="20" spans="1:8" s="444" customFormat="1" x14ac:dyDescent="0.25">
      <c r="A20" s="444" t="str">
        <f t="shared" si="0"/>
        <v>Otros Ingresos Administrativos</v>
      </c>
      <c r="B20" s="445">
        <f t="shared" si="1"/>
        <v>196454546</v>
      </c>
      <c r="C20" s="470">
        <f>+Tabla2[[#This Row],[31/3/2022]]/$B$3</f>
        <v>6.6990964130257263E-2</v>
      </c>
      <c r="F20" s="444" t="s">
        <v>860</v>
      </c>
      <c r="G20" s="445">
        <v>196454546</v>
      </c>
    </row>
    <row r="21" spans="1:8" s="444" customFormat="1" x14ac:dyDescent="0.25">
      <c r="A21" s="444" t="str">
        <f t="shared" si="0"/>
        <v>Egresos Operativos</v>
      </c>
      <c r="B21" s="445">
        <f t="shared" si="1"/>
        <v>2920167647</v>
      </c>
      <c r="C21" s="470">
        <f>+Tabla2[[#This Row],[31/3/2022]]/$B$3</f>
        <v>0.99577663168209285</v>
      </c>
      <c r="F21" s="444" t="s">
        <v>859</v>
      </c>
      <c r="G21" s="445">
        <v>2920167647</v>
      </c>
      <c r="H21" s="507">
        <f>+G21-Tabla2[[#This Row],[31/3/2022]]</f>
        <v>0</v>
      </c>
    </row>
    <row r="22" spans="1:8" s="444" customFormat="1" x14ac:dyDescent="0.25">
      <c r="A22" s="444" t="str">
        <f t="shared" si="0"/>
        <v>Gastos De Gestión De Operaciones</v>
      </c>
      <c r="B22" s="445">
        <f t="shared" si="1"/>
        <v>2510714546</v>
      </c>
      <c r="C22" s="470">
        <f>+Tabla2[[#This Row],[31/3/2022]]/$B$3</f>
        <v>0.8561531993889373</v>
      </c>
      <c r="F22" s="444" t="s">
        <v>858</v>
      </c>
      <c r="G22" s="445">
        <v>2510714546</v>
      </c>
      <c r="H22" s="507">
        <f>+G22-Tabla2[[#This Row],[31/3/2022]]</f>
        <v>0</v>
      </c>
    </row>
    <row r="23" spans="1:8" s="444" customFormat="1" x14ac:dyDescent="0.25">
      <c r="A23" s="444" t="str">
        <f t="shared" si="0"/>
        <v>Costo de Venta de Valores</v>
      </c>
      <c r="B23" s="445">
        <f t="shared" si="1"/>
        <v>2453780930</v>
      </c>
      <c r="C23" s="470">
        <f>+Tabla2[[#This Row],[31/3/2022]]/$B$3</f>
        <v>0.83673884678209132</v>
      </c>
      <c r="F23" s="444" t="s">
        <v>857</v>
      </c>
      <c r="G23" s="445">
        <v>2453780930</v>
      </c>
    </row>
    <row r="24" spans="1:8" s="444" customFormat="1" x14ac:dyDescent="0.25">
      <c r="A24" s="444" t="str">
        <f t="shared" si="0"/>
        <v>Fondo De Garantia Bvpasa</v>
      </c>
      <c r="B24" s="445">
        <f t="shared" si="1"/>
        <v>1095098</v>
      </c>
      <c r="C24" s="470">
        <f>+Tabla2[[#This Row],[31/3/2022]]/$B$3</f>
        <v>3.7342821701421192E-4</v>
      </c>
      <c r="F24" s="444" t="s">
        <v>856</v>
      </c>
      <c r="G24" s="445">
        <v>1095098</v>
      </c>
    </row>
    <row r="25" spans="1:8" s="444" customFormat="1" x14ac:dyDescent="0.25">
      <c r="A25" s="444" t="str">
        <f t="shared" si="0"/>
        <v>Aranceles Pagados Bvpasa</v>
      </c>
      <c r="B25" s="445">
        <f t="shared" si="1"/>
        <v>82560000</v>
      </c>
      <c r="C25" s="470">
        <f>+Tabla2[[#This Row],[31/3/2022]]/$B$3</f>
        <v>2.815294484757833E-2</v>
      </c>
      <c r="F25" s="444" t="s">
        <v>855</v>
      </c>
      <c r="G25" s="445">
        <v>82560000</v>
      </c>
    </row>
    <row r="26" spans="1:8" s="444" customFormat="1" x14ac:dyDescent="0.25">
      <c r="A26" s="444" t="str">
        <f t="shared" si="0"/>
        <v>Costo de Venta de Bonos</v>
      </c>
      <c r="B26" s="445">
        <f t="shared" si="1"/>
        <v>2370125832</v>
      </c>
      <c r="C26" s="470">
        <f>+Tabla2[[#This Row],[31/3/2022]]/$B$3</f>
        <v>0.80821247371749882</v>
      </c>
      <c r="F26" s="444" t="s">
        <v>854</v>
      </c>
      <c r="G26" s="445">
        <v>2370125832</v>
      </c>
    </row>
    <row r="27" spans="1:8" s="444" customFormat="1" x14ac:dyDescent="0.25">
      <c r="A27" s="444" t="str">
        <f t="shared" si="0"/>
        <v>Otros Gastos De Operaciones</v>
      </c>
      <c r="B27" s="445">
        <f t="shared" si="1"/>
        <v>56933616</v>
      </c>
      <c r="C27" s="470">
        <f>+Tabla2[[#This Row],[31/3/2022]]/$B$3</f>
        <v>1.9414352606845969E-2</v>
      </c>
      <c r="F27" s="444" t="s">
        <v>853</v>
      </c>
      <c r="G27" s="445">
        <v>56933616</v>
      </c>
    </row>
    <row r="28" spans="1:8" s="444" customFormat="1" x14ac:dyDescent="0.25">
      <c r="A28" s="444" t="str">
        <f t="shared" si="0"/>
        <v>Intereses Pagados sobre REPOS - Recompra</v>
      </c>
      <c r="B28" s="445">
        <f t="shared" si="1"/>
        <v>44910066</v>
      </c>
      <c r="C28" s="470">
        <f>+Tabla2[[#This Row],[31/3/2022]]/$B$3</f>
        <v>1.5314324263555024E-2</v>
      </c>
      <c r="F28" s="444" t="s">
        <v>852</v>
      </c>
      <c r="G28" s="445">
        <v>44910066</v>
      </c>
    </row>
    <row r="29" spans="1:8" s="444" customFormat="1" x14ac:dyDescent="0.25">
      <c r="A29" s="444" t="str">
        <f t="shared" si="0"/>
        <v>Aranceles pagados a CNV</v>
      </c>
      <c r="B29" s="445">
        <f t="shared" si="1"/>
        <v>2641530</v>
      </c>
      <c r="C29" s="470">
        <f>+Tabla2[[#This Row],[31/3/2022]]/$B$3</f>
        <v>9.0076124519408414E-4</v>
      </c>
      <c r="F29" s="444" t="s">
        <v>851</v>
      </c>
      <c r="G29" s="445">
        <v>2641530</v>
      </c>
    </row>
    <row r="30" spans="1:8" s="444" customFormat="1" x14ac:dyDescent="0.25">
      <c r="A30" s="444" t="str">
        <f t="shared" si="0"/>
        <v xml:space="preserve">Comisiones Pagadas Asesores Independientes </v>
      </c>
      <c r="B30" s="445">
        <f t="shared" si="1"/>
        <v>1443993</v>
      </c>
      <c r="C30" s="470">
        <f>+Tabla2[[#This Row],[31/3/2022]]/$B$3</f>
        <v>4.9240134798073131E-4</v>
      </c>
      <c r="F30" s="444" t="s">
        <v>850</v>
      </c>
      <c r="G30" s="445">
        <v>1443993</v>
      </c>
    </row>
    <row r="31" spans="1:8" s="444" customFormat="1" x14ac:dyDescent="0.25">
      <c r="A31" s="444" t="str">
        <f t="shared" si="0"/>
        <v>Comisiones Pagadas a Otras entidades por intermediación</v>
      </c>
      <c r="B31" s="445">
        <f t="shared" si="1"/>
        <v>375000</v>
      </c>
      <c r="C31" s="470">
        <f>+Tabla2[[#This Row],[31/3/2022]]/$B$3</f>
        <v>1.2787493117541029E-4</v>
      </c>
      <c r="F31" s="444" t="s">
        <v>849</v>
      </c>
      <c r="G31" s="445">
        <v>375000</v>
      </c>
    </row>
    <row r="32" spans="1:8" s="444" customFormat="1" x14ac:dyDescent="0.25">
      <c r="A32" s="444" t="str">
        <f t="shared" si="0"/>
        <v>Aranceles Pagados SEPRELAD</v>
      </c>
      <c r="B32" s="445">
        <f t="shared" si="1"/>
        <v>7563027</v>
      </c>
      <c r="C32" s="470">
        <f>+Tabla2[[#This Row],[31/3/2022]]/$B$3</f>
        <v>2.5789908189407192E-3</v>
      </c>
      <c r="F32" s="444" t="s">
        <v>898</v>
      </c>
      <c r="G32" s="445">
        <v>7563027</v>
      </c>
    </row>
    <row r="33" spans="1:7" s="444" customFormat="1" x14ac:dyDescent="0.25">
      <c r="A33" s="444" t="str">
        <f t="shared" si="0"/>
        <v>Gastos De Administración</v>
      </c>
      <c r="B33" s="445">
        <f t="shared" si="1"/>
        <v>405499682</v>
      </c>
      <c r="C33" s="470">
        <f>+Tabla2[[#This Row],[31/3/2022]]/$B$3</f>
        <v>0.13827531713973537</v>
      </c>
      <c r="F33" s="444" t="s">
        <v>848</v>
      </c>
      <c r="G33" s="445">
        <v>405499682</v>
      </c>
    </row>
    <row r="34" spans="1:7" s="444" customFormat="1" x14ac:dyDescent="0.25">
      <c r="A34" s="444" t="str">
        <f t="shared" si="0"/>
        <v>Sueldos Y Otras Remuneraciones Al Personal</v>
      </c>
      <c r="B34" s="445">
        <f t="shared" si="1"/>
        <v>33848471</v>
      </c>
      <c r="C34" s="470">
        <f>+Tabla2[[#This Row],[31/3/2022]]/$B$3</f>
        <v>1.1542322398714323E-2</v>
      </c>
      <c r="F34" s="444" t="s">
        <v>847</v>
      </c>
      <c r="G34" s="445">
        <v>33848471</v>
      </c>
    </row>
    <row r="35" spans="1:7" s="444" customFormat="1" x14ac:dyDescent="0.25">
      <c r="A35" s="444" t="str">
        <f t="shared" ref="A35:A64" si="2">+F35</f>
        <v>Sueldos Y Jornales</v>
      </c>
      <c r="B35" s="445">
        <f t="shared" ref="B35:B56" si="3">+G35</f>
        <v>24250000</v>
      </c>
      <c r="C35" s="470">
        <f>+Tabla2[[#This Row],[31/3/2022]]/$B$3</f>
        <v>8.2692455493431991E-3</v>
      </c>
      <c r="F35" s="444" t="s">
        <v>701</v>
      </c>
      <c r="G35" s="445">
        <v>24250000</v>
      </c>
    </row>
    <row r="36" spans="1:7" s="444" customFormat="1" x14ac:dyDescent="0.25">
      <c r="A36" s="444" t="str">
        <f t="shared" si="2"/>
        <v>Aporte Patronal</v>
      </c>
      <c r="B36" s="445">
        <f t="shared" si="3"/>
        <v>4001250</v>
      </c>
      <c r="C36" s="470">
        <f>+Tabla2[[#This Row],[31/3/2022]]/$B$3</f>
        <v>1.3644255156416278E-3</v>
      </c>
      <c r="F36" s="444" t="s">
        <v>218</v>
      </c>
      <c r="G36" s="445">
        <v>4001250</v>
      </c>
    </row>
    <row r="37" spans="1:7" s="444" customFormat="1" x14ac:dyDescent="0.25">
      <c r="A37" s="444" t="str">
        <f t="shared" si="2"/>
        <v>Otros Beneficios Al Personal</v>
      </c>
      <c r="B37" s="445">
        <f t="shared" si="3"/>
        <v>5597221</v>
      </c>
      <c r="C37" s="470">
        <f>+Tabla2[[#This Row],[31/3/2022]]/$B$3</f>
        <v>1.9086513337294964E-3</v>
      </c>
      <c r="F37" s="444" t="s">
        <v>702</v>
      </c>
      <c r="G37" s="445">
        <v>5597221</v>
      </c>
    </row>
    <row r="38" spans="1:7" s="444" customFormat="1" x14ac:dyDescent="0.25">
      <c r="A38" s="444" t="str">
        <f t="shared" si="2"/>
        <v>Remuneración Personal Superior</v>
      </c>
      <c r="B38" s="445">
        <f t="shared" si="3"/>
        <v>315454548</v>
      </c>
      <c r="C38" s="470">
        <f>+Tabla2[[#This Row],[31/3/2022]]/$B$3</f>
        <v>0.10756994297192043</v>
      </c>
      <c r="F38" s="444" t="s">
        <v>899</v>
      </c>
      <c r="G38" s="445">
        <v>315454548</v>
      </c>
    </row>
    <row r="39" spans="1:7" s="444" customFormat="1" x14ac:dyDescent="0.25">
      <c r="A39" s="444" t="str">
        <f t="shared" si="2"/>
        <v xml:space="preserve">Servicios Personales Independientes </v>
      </c>
      <c r="B39" s="445">
        <f t="shared" si="3"/>
        <v>315454548</v>
      </c>
      <c r="C39" s="470">
        <f>+Tabla2[[#This Row],[31/3/2022]]/$B$3</f>
        <v>0.10756994297192043</v>
      </c>
      <c r="F39" s="444" t="s">
        <v>900</v>
      </c>
      <c r="G39" s="445">
        <v>315454548</v>
      </c>
    </row>
    <row r="40" spans="1:7" s="444" customFormat="1" x14ac:dyDescent="0.25">
      <c r="A40" s="444" t="str">
        <f t="shared" si="2"/>
        <v>Servicios Prestados Por Terceros</v>
      </c>
      <c r="B40" s="445">
        <f t="shared" si="3"/>
        <v>56196663</v>
      </c>
      <c r="C40" s="470">
        <f>+Tabla2[[#This Row],[31/3/2022]]/$B$3</f>
        <v>1.9163051769100603E-2</v>
      </c>
      <c r="F40" s="444" t="s">
        <v>703</v>
      </c>
      <c r="G40" s="445">
        <v>56196663</v>
      </c>
    </row>
    <row r="41" spans="1:7" s="444" customFormat="1" x14ac:dyDescent="0.25">
      <c r="A41" s="444" t="str">
        <f t="shared" si="2"/>
        <v>Honorarios Profesionales</v>
      </c>
      <c r="B41" s="445">
        <f t="shared" si="3"/>
        <v>3863729</v>
      </c>
      <c r="C41" s="470">
        <f>+Tabla2[[#This Row],[31/3/2022]]/$B$3</f>
        <v>1.3175308798811648E-3</v>
      </c>
      <c r="F41" s="444" t="s">
        <v>622</v>
      </c>
      <c r="G41" s="445">
        <v>3863729</v>
      </c>
    </row>
    <row r="42" spans="1:7" s="444" customFormat="1" x14ac:dyDescent="0.25">
      <c r="A42" s="444" t="str">
        <f t="shared" si="2"/>
        <v>Servicios Contratados Ire</v>
      </c>
      <c r="B42" s="445">
        <f t="shared" si="3"/>
        <v>41991933</v>
      </c>
      <c r="C42" s="470">
        <f>+Tabla2[[#This Row],[31/3/2022]]/$B$3</f>
        <v>1.4319241446126507E-2</v>
      </c>
      <c r="D42" s="462"/>
      <c r="E42" s="462"/>
      <c r="F42" s="444" t="s">
        <v>704</v>
      </c>
      <c r="G42" s="445">
        <v>41991933</v>
      </c>
    </row>
    <row r="43" spans="1:7" s="444" customFormat="1" x14ac:dyDescent="0.25">
      <c r="A43" s="444" t="str">
        <f t="shared" si="2"/>
        <v>Servicios Personales Irp</v>
      </c>
      <c r="B43" s="445">
        <f t="shared" si="3"/>
        <v>245455</v>
      </c>
      <c r="C43" s="470">
        <f>+Tabla2[[#This Row],[31/3/2022]]/$B$3</f>
        <v>8.3700109951094224E-5</v>
      </c>
      <c r="F43" s="444" t="s">
        <v>705</v>
      </c>
      <c r="G43" s="445">
        <v>245455</v>
      </c>
    </row>
    <row r="44" spans="1:7" s="444" customFormat="1" x14ac:dyDescent="0.25">
      <c r="A44" s="444" t="str">
        <f t="shared" si="2"/>
        <v>Agua, Luz, Teléfono E Internet</v>
      </c>
      <c r="B44" s="445">
        <f t="shared" si="3"/>
        <v>2821334</v>
      </c>
      <c r="C44" s="470">
        <f>+Tabla2[[#This Row],[31/3/2022]]/$B$3</f>
        <v>9.6207437619425342E-4</v>
      </c>
      <c r="F44" s="444" t="s">
        <v>706</v>
      </c>
      <c r="G44" s="445">
        <v>2821334</v>
      </c>
    </row>
    <row r="45" spans="1:7" s="444" customFormat="1" x14ac:dyDescent="0.25">
      <c r="A45" s="444" t="str">
        <f t="shared" si="2"/>
        <v>Refrigerio Y Cafeteria</v>
      </c>
      <c r="B45" s="445">
        <f t="shared" si="3"/>
        <v>69864</v>
      </c>
      <c r="C45" s="470">
        <f>+Tabla2[[#This Row],[31/3/2022]]/$B$3</f>
        <v>2.382361117770364E-5</v>
      </c>
      <c r="F45" s="444" t="s">
        <v>846</v>
      </c>
      <c r="G45" s="445">
        <v>69864</v>
      </c>
    </row>
    <row r="46" spans="1:7" s="444" customFormat="1" x14ac:dyDescent="0.25">
      <c r="A46" s="444" t="str">
        <f t="shared" si="2"/>
        <v>Comunicaciones Y Progagandas</v>
      </c>
      <c r="B46" s="445">
        <f t="shared" si="3"/>
        <v>1090909</v>
      </c>
      <c r="C46" s="470">
        <f>+Tabla2[[#This Row],[31/3/2022]]/$B$3</f>
        <v>3.7199976878302842E-4</v>
      </c>
      <c r="F46" s="444" t="s">
        <v>707</v>
      </c>
      <c r="G46" s="445">
        <v>1090909</v>
      </c>
    </row>
    <row r="47" spans="1:7" s="444" customFormat="1" x14ac:dyDescent="0.25">
      <c r="A47" s="444" t="str">
        <f t="shared" si="2"/>
        <v>Papeleria E Impresos</v>
      </c>
      <c r="B47" s="445">
        <f t="shared" si="3"/>
        <v>458364</v>
      </c>
      <c r="C47" s="470">
        <f>+Tabla2[[#This Row],[31/3/2022]]/$B$3</f>
        <v>1.5630203987542871E-4</v>
      </c>
      <c r="F47" s="444" t="s">
        <v>708</v>
      </c>
      <c r="G47" s="445">
        <v>458364</v>
      </c>
    </row>
    <row r="48" spans="1:7" s="444" customFormat="1" x14ac:dyDescent="0.25">
      <c r="A48" s="444" t="str">
        <f t="shared" si="2"/>
        <v>Gastos No Deducibles</v>
      </c>
      <c r="B48" s="445">
        <f t="shared" si="3"/>
        <v>136685</v>
      </c>
      <c r="C48" s="470">
        <f>+Tabla2[[#This Row],[31/3/2022]]/$B$3</f>
        <v>4.6609559913895881E-5</v>
      </c>
      <c r="F48" s="444" t="s">
        <v>845</v>
      </c>
      <c r="G48" s="445">
        <v>136685</v>
      </c>
    </row>
    <row r="49" spans="1:7" s="444" customFormat="1" x14ac:dyDescent="0.25">
      <c r="A49" s="444" t="str">
        <f t="shared" si="2"/>
        <v>Dominios Y Suscripciones</v>
      </c>
      <c r="B49" s="445">
        <f t="shared" si="3"/>
        <v>160000</v>
      </c>
      <c r="C49" s="470">
        <f>+Tabla2[[#This Row],[31/3/2022]]/$B$3</f>
        <v>5.4559970634841725E-5</v>
      </c>
      <c r="F49" s="444" t="s">
        <v>901</v>
      </c>
      <c r="G49" s="445">
        <v>160000</v>
      </c>
    </row>
    <row r="50" spans="1:7" s="444" customFormat="1" x14ac:dyDescent="0.25">
      <c r="A50" s="444" t="str">
        <f t="shared" si="2"/>
        <v>Gastos administrativos</v>
      </c>
      <c r="B50" s="445">
        <f t="shared" si="3"/>
        <v>229779</v>
      </c>
      <c r="C50" s="470">
        <f>+Tabla2[[#This Row],[31/3/2022]]/$B$3</f>
        <v>7.8354596828145609E-5</v>
      </c>
      <c r="F50" s="444" t="s">
        <v>655</v>
      </c>
      <c r="G50" s="445">
        <v>229779</v>
      </c>
    </row>
    <row r="51" spans="1:7" s="444" customFormat="1" x14ac:dyDescent="0.25">
      <c r="A51" s="444" t="str">
        <f t="shared" si="2"/>
        <v>Gastos De Escribania</v>
      </c>
      <c r="B51" s="445">
        <f t="shared" si="3"/>
        <v>3422637</v>
      </c>
      <c r="C51" s="470">
        <f>+Tabla2[[#This Row],[31/3/2022]]/$B$3</f>
        <v>1.1671185888357674E-3</v>
      </c>
      <c r="F51" s="444" t="s">
        <v>709</v>
      </c>
      <c r="G51" s="445">
        <v>3422637</v>
      </c>
    </row>
    <row r="52" spans="1:7" s="444" customFormat="1" x14ac:dyDescent="0.25">
      <c r="A52" s="444" t="str">
        <f t="shared" si="2"/>
        <v>Gastos Informaticos</v>
      </c>
      <c r="B52" s="445">
        <f t="shared" si="3"/>
        <v>96156</v>
      </c>
      <c r="C52" s="470">
        <f>+Tabla2[[#This Row],[31/3/2022]]/$B$3</f>
        <v>3.2789178352274004E-5</v>
      </c>
      <c r="F52" s="444" t="s">
        <v>902</v>
      </c>
      <c r="G52" s="445">
        <v>96156</v>
      </c>
    </row>
    <row r="53" spans="1:7" s="444" customFormat="1" x14ac:dyDescent="0.25">
      <c r="A53" s="444" t="str">
        <f t="shared" si="2"/>
        <v>Gastos De Impuestos</v>
      </c>
      <c r="B53" s="445">
        <f t="shared" si="3"/>
        <v>1609818</v>
      </c>
      <c r="C53" s="470">
        <f>+Tabla2[[#This Row],[31/3/2022]]/$B$3</f>
        <v>5.4894764254649771E-4</v>
      </c>
      <c r="F53" s="444" t="s">
        <v>710</v>
      </c>
      <c r="G53" s="445">
        <v>1609818</v>
      </c>
    </row>
    <row r="54" spans="1:7" s="444" customFormat="1" x14ac:dyDescent="0.25">
      <c r="A54" s="444" t="str">
        <f t="shared" si="2"/>
        <v>Multas Y Sanciones</v>
      </c>
      <c r="B54" s="445">
        <f t="shared" si="3"/>
        <v>9818</v>
      </c>
      <c r="C54" s="470">
        <f>+Tabla2[[#This Row],[31/3/2022]]/$B$3</f>
        <v>3.3479361980804753E-6</v>
      </c>
      <c r="F54" s="444" t="s">
        <v>903</v>
      </c>
      <c r="G54" s="445">
        <v>9818</v>
      </c>
    </row>
    <row r="55" spans="1:7" s="444" customFormat="1" x14ac:dyDescent="0.25">
      <c r="A55" s="444" t="str">
        <f t="shared" si="2"/>
        <v>Impuestos, Patentes, Tasas Y Otras Contr</v>
      </c>
      <c r="B55" s="445">
        <f t="shared" si="3"/>
        <v>1600000</v>
      </c>
      <c r="C55" s="470">
        <f>+Tabla2[[#This Row],[31/3/2022]]/$B$3</f>
        <v>5.4559970634841728E-4</v>
      </c>
      <c r="F55" s="444" t="s">
        <v>711</v>
      </c>
      <c r="G55" s="445">
        <v>1600000</v>
      </c>
    </row>
    <row r="56" spans="1:7" s="444" customFormat="1" x14ac:dyDescent="0.25">
      <c r="A56" s="444" t="str">
        <f t="shared" si="2"/>
        <v>Gastos Bancarios Y Financieros</v>
      </c>
      <c r="B56" s="445">
        <f t="shared" si="3"/>
        <v>4105655</v>
      </c>
      <c r="C56" s="470">
        <f>+Tabla2[[#This Row],[31/3/2022]]/$B$3</f>
        <v>1.4000276014799443E-3</v>
      </c>
      <c r="F56" s="444" t="s">
        <v>843</v>
      </c>
      <c r="G56" s="445">
        <v>4105655</v>
      </c>
    </row>
    <row r="57" spans="1:7" s="444" customFormat="1" x14ac:dyDescent="0.25">
      <c r="A57" s="444" t="str">
        <f t="shared" si="2"/>
        <v>Intereses Pagados A Entidades Bancarias</v>
      </c>
      <c r="B57" s="445">
        <f t="shared" ref="B57:B63" si="4">+G57</f>
        <v>2583200</v>
      </c>
      <c r="C57" s="470">
        <f>+Tabla2[[#This Row],[31/3/2022]]/$B$3</f>
        <v>8.808707258995196E-4</v>
      </c>
      <c r="F57" s="444" t="s">
        <v>844</v>
      </c>
      <c r="G57" s="445">
        <v>2583200</v>
      </c>
    </row>
    <row r="58" spans="1:7" s="444" customFormat="1" x14ac:dyDescent="0.25">
      <c r="A58" s="444" t="str">
        <f t="shared" si="2"/>
        <v>Gastos Bancarios Y Financieros</v>
      </c>
      <c r="B58" s="445">
        <f t="shared" si="4"/>
        <v>2583200</v>
      </c>
      <c r="C58" s="470">
        <f>+Tabla2[[#This Row],[31/3/2022]]/$B$3</f>
        <v>8.808707258995196E-4</v>
      </c>
      <c r="F58" s="444" t="s">
        <v>843</v>
      </c>
      <c r="G58" s="445">
        <v>2583200</v>
      </c>
    </row>
    <row r="59" spans="1:7" s="444" customFormat="1" x14ac:dyDescent="0.25">
      <c r="A59" s="444" t="str">
        <f t="shared" si="2"/>
        <v>Intereses Devengados - Otros</v>
      </c>
      <c r="B59" s="445">
        <f t="shared" si="4"/>
        <v>1522455</v>
      </c>
      <c r="C59" s="470">
        <f>+Tabla2[[#This Row],[31/3/2022]]/$B$3</f>
        <v>5.1915687558042479E-4</v>
      </c>
      <c r="F59" s="444" t="s">
        <v>842</v>
      </c>
      <c r="G59" s="445">
        <v>1522455</v>
      </c>
    </row>
    <row r="60" spans="1:7" s="444" customFormat="1" x14ac:dyDescent="0.25">
      <c r="A60" s="444" t="str">
        <f t="shared" si="2"/>
        <v>Intereses Devengados - Otros</v>
      </c>
      <c r="B60" s="445">
        <f t="shared" si="4"/>
        <v>1522455</v>
      </c>
      <c r="C60" s="470">
        <f>+Tabla2[[#This Row],[31/3/2022]]/$B$3</f>
        <v>5.1915687558042479E-4</v>
      </c>
      <c r="F60" s="444" t="s">
        <v>842</v>
      </c>
      <c r="G60" s="445">
        <v>1522455</v>
      </c>
    </row>
    <row r="61" spans="1:7" s="444" customFormat="1" x14ac:dyDescent="0.25">
      <c r="A61" s="444" t="str">
        <f t="shared" si="2"/>
        <v>Diferencia De Cambio</v>
      </c>
      <c r="B61" s="445">
        <f t="shared" si="4"/>
        <v>-152236</v>
      </c>
      <c r="C61" s="470">
        <f>+Tabla2[[#This Row],[31/3/2022]]/$B$3</f>
        <v>-5.1912448059786031E-5</v>
      </c>
      <c r="F61" s="444" t="s">
        <v>841</v>
      </c>
      <c r="G61" s="445">
        <v>-152236</v>
      </c>
    </row>
    <row r="62" spans="1:7" s="444" customFormat="1" x14ac:dyDescent="0.25">
      <c r="A62" s="444" t="str">
        <f t="shared" si="2"/>
        <v>Diferencia De Cambio</v>
      </c>
      <c r="B62" s="445">
        <f t="shared" si="4"/>
        <v>-152236</v>
      </c>
      <c r="C62" s="470">
        <f>+Tabla2[[#This Row],[31/3/2022]]/$B$3</f>
        <v>-5.1912448059786031E-5</v>
      </c>
      <c r="F62" s="444" t="s">
        <v>841</v>
      </c>
      <c r="G62" s="445">
        <v>-152236</v>
      </c>
    </row>
    <row r="63" spans="1:7" s="444" customFormat="1" x14ac:dyDescent="0.25">
      <c r="A63" s="444" t="str">
        <f t="shared" si="2"/>
        <v>Utilidad Por Diferencia De Cambio</v>
      </c>
      <c r="B63" s="445">
        <f t="shared" si="4"/>
        <v>-1371296</v>
      </c>
      <c r="C63" s="470">
        <f>+Tabla2[[#This Row],[31/3/2022]]/$B$3</f>
        <v>-4.6761168432297447E-4</v>
      </c>
      <c r="F63" s="444" t="s">
        <v>840</v>
      </c>
      <c r="G63" s="445">
        <v>-1371296</v>
      </c>
    </row>
    <row r="64" spans="1:7" x14ac:dyDescent="0.25">
      <c r="A64" s="444" t="str">
        <f t="shared" si="2"/>
        <v>Perdida Por Diferencia De Cambio</v>
      </c>
      <c r="B64" s="445">
        <f>+G64</f>
        <v>1219060</v>
      </c>
      <c r="C64" s="470">
        <f>+Tabla2[[#This Row],[31/3/2022]]/$B$3</f>
        <v>4.1569923626318844E-4</v>
      </c>
      <c r="D64" s="444"/>
      <c r="F64" t="s">
        <v>839</v>
      </c>
      <c r="G64" s="446">
        <v>1219060</v>
      </c>
    </row>
    <row r="65" spans="1:3" x14ac:dyDescent="0.25">
      <c r="A65" s="468" t="s">
        <v>838</v>
      </c>
      <c r="B65" s="469">
        <f>+B3-B21</f>
        <v>12385251</v>
      </c>
      <c r="C65" s="461">
        <f>+B65/B3</f>
        <v>4.223368317907151E-3</v>
      </c>
    </row>
    <row r="67" spans="1:3" x14ac:dyDescent="0.25">
      <c r="B67" s="460">
        <f>+B65-'Balance Gral 30 06 2022'!B78</f>
        <v>0.27999999932944775</v>
      </c>
    </row>
  </sheetData>
  <pageMargins left="0.7" right="0.7" top="0.75" bottom="0.75" header="0.3" footer="0.3"/>
  <pageSetup paperSize="9" scale="95" fitToHeight="0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>
    <tabColor rgb="FF002060"/>
  </sheetPr>
  <dimension ref="B3:I24"/>
  <sheetViews>
    <sheetView showGridLines="0" zoomScale="112" zoomScaleNormal="112" workbookViewId="0">
      <selection activeCell="E77" sqref="E77"/>
    </sheetView>
  </sheetViews>
  <sheetFormatPr baseColWidth="10" defaultColWidth="11.42578125" defaultRowHeight="12" x14ac:dyDescent="0.2"/>
  <cols>
    <col min="1" max="1" width="3.5703125" style="29" customWidth="1"/>
    <col min="2" max="2" width="2.5703125" style="29" hidden="1" customWidth="1"/>
    <col min="3" max="3" width="28" style="29" bestFit="1" customWidth="1"/>
    <col min="4" max="4" width="15.140625" style="29" customWidth="1"/>
    <col min="5" max="5" width="15" style="103" customWidth="1"/>
    <col min="6" max="6" width="13.42578125" style="29" customWidth="1"/>
    <col min="7" max="7" width="14" style="29" customWidth="1"/>
    <col min="8" max="8" width="23.28515625" style="29" customWidth="1"/>
    <col min="9" max="10" width="14.28515625" style="29" customWidth="1"/>
    <col min="11" max="16384" width="11.42578125" style="29"/>
  </cols>
  <sheetData>
    <row r="3" spans="3:9" ht="15" x14ac:dyDescent="0.25">
      <c r="C3" s="399" t="s">
        <v>656</v>
      </c>
      <c r="D3" s="675" t="s">
        <v>1046</v>
      </c>
    </row>
    <row r="4" spans="3:9" x14ac:dyDescent="0.2">
      <c r="C4" s="101"/>
    </row>
    <row r="5" spans="3:9" x14ac:dyDescent="0.2">
      <c r="C5" s="712" t="s">
        <v>637</v>
      </c>
      <c r="D5" s="712"/>
      <c r="E5" s="712"/>
    </row>
    <row r="7" spans="3:9" ht="34.5" customHeight="1" x14ac:dyDescent="0.2">
      <c r="C7" s="33" t="s">
        <v>352</v>
      </c>
      <c r="D7" s="119" t="s">
        <v>434</v>
      </c>
      <c r="E7" s="119" t="s">
        <v>435</v>
      </c>
    </row>
    <row r="8" spans="3:9" x14ac:dyDescent="0.2">
      <c r="C8" s="37" t="s">
        <v>655</v>
      </c>
      <c r="D8" s="57">
        <f>57200+210000+67000+128876-0.768</f>
        <v>463075.23200000002</v>
      </c>
      <c r="E8" s="57"/>
      <c r="I8" s="120"/>
    </row>
    <row r="9" spans="3:9" x14ac:dyDescent="0.2">
      <c r="C9" s="37" t="s">
        <v>699</v>
      </c>
      <c r="D9" s="57">
        <f>(420+15.36)*6850.05</f>
        <v>2982237.7680000002</v>
      </c>
      <c r="E9" s="57"/>
      <c r="I9" s="120"/>
    </row>
    <row r="10" spans="3:9" x14ac:dyDescent="0.2">
      <c r="C10" s="37" t="s">
        <v>622</v>
      </c>
      <c r="D10" s="57">
        <f>240000</f>
        <v>240000</v>
      </c>
      <c r="E10" s="57"/>
      <c r="I10" s="120"/>
    </row>
    <row r="11" spans="3:9" x14ac:dyDescent="0.2">
      <c r="C11" s="37" t="s">
        <v>219</v>
      </c>
      <c r="D11" s="57">
        <f>1253260</f>
        <v>1253260</v>
      </c>
      <c r="E11" s="57"/>
      <c r="I11" s="120"/>
    </row>
    <row r="12" spans="3:9" x14ac:dyDescent="0.2">
      <c r="C12" s="37" t="s">
        <v>698</v>
      </c>
      <c r="D12" s="57">
        <v>744700</v>
      </c>
      <c r="E12" s="57"/>
      <c r="I12" s="120"/>
    </row>
    <row r="13" spans="3:9" x14ac:dyDescent="0.2">
      <c r="C13" s="37" t="s">
        <v>697</v>
      </c>
      <c r="D13" s="57">
        <v>948131</v>
      </c>
      <c r="E13" s="57"/>
      <c r="I13" s="120"/>
    </row>
    <row r="14" spans="3:9" x14ac:dyDescent="0.2">
      <c r="C14" s="37" t="s">
        <v>878</v>
      </c>
      <c r="D14" s="57">
        <v>0</v>
      </c>
      <c r="E14" s="57"/>
      <c r="I14" s="120"/>
    </row>
    <row r="15" spans="3:9" x14ac:dyDescent="0.2">
      <c r="C15" s="111" t="str">
        <f>+'NOTA K PRESTAMOS'!C11</f>
        <v>Total al 30/06/2022</v>
      </c>
      <c r="D15" s="108">
        <f>SUM(D8:D14)</f>
        <v>6631404</v>
      </c>
      <c r="E15" s="57">
        <v>0</v>
      </c>
      <c r="F15" s="43"/>
      <c r="G15" s="121"/>
      <c r="H15" s="59"/>
    </row>
    <row r="16" spans="3:9" x14ac:dyDescent="0.2">
      <c r="C16" s="111" t="str">
        <f>+'NOTA K PRESTAMOS'!C12</f>
        <v>Total al 31/12/2021</v>
      </c>
      <c r="D16" s="108">
        <v>14504430</v>
      </c>
      <c r="E16" s="108">
        <v>0</v>
      </c>
      <c r="F16" s="43"/>
    </row>
    <row r="17" spans="4:4" x14ac:dyDescent="0.2">
      <c r="D17" s="103"/>
    </row>
    <row r="18" spans="4:4" x14ac:dyDescent="0.2">
      <c r="D18" s="43">
        <f>+D15-'BALANCE GRAL 30_06_22'!G11</f>
        <v>0</v>
      </c>
    </row>
    <row r="19" spans="4:4" x14ac:dyDescent="0.2">
      <c r="D19" s="59"/>
    </row>
    <row r="21" spans="4:4" x14ac:dyDescent="0.2">
      <c r="D21" s="43"/>
    </row>
    <row r="22" spans="4:4" x14ac:dyDescent="0.2">
      <c r="D22" s="43"/>
    </row>
    <row r="23" spans="4:4" x14ac:dyDescent="0.2">
      <c r="D23" s="59"/>
    </row>
    <row r="24" spans="4:4" x14ac:dyDescent="0.2">
      <c r="D24" s="59"/>
    </row>
  </sheetData>
  <mergeCells count="1">
    <mergeCell ref="C5:E5"/>
  </mergeCells>
  <hyperlinks>
    <hyperlink ref="C3" location="'BALANCE GRAL 30,21'!A1" display="l)       Acreedores Varios (Corto y largo plazo)" xr:uid="{5E737BCA-950D-435D-924B-0EC48E0CE7FE}"/>
    <hyperlink ref="D3" location="'BALANCE GRAL 30_06_22'!A1" display="'BALANCE GRAL 30_06_22'!A1" xr:uid="{AAA68DD4-1007-4C1A-8B27-0CFC4D0F88E7}"/>
  </hyperlink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>
    <tabColor rgb="FF002060"/>
  </sheetPr>
  <dimension ref="B2:G42"/>
  <sheetViews>
    <sheetView showGridLines="0" topLeftCell="A23" zoomScale="125" zoomScaleNormal="85" workbookViewId="0">
      <selection activeCell="E77" sqref="E77"/>
    </sheetView>
  </sheetViews>
  <sheetFormatPr baseColWidth="10" defaultColWidth="11.42578125" defaultRowHeight="12" x14ac:dyDescent="0.2"/>
  <cols>
    <col min="1" max="1" width="5" style="122" customWidth="1"/>
    <col min="2" max="2" width="47.140625" style="122" customWidth="1"/>
    <col min="3" max="3" width="21.42578125" style="122" bestFit="1" customWidth="1"/>
    <col min="4" max="4" width="19.5703125" style="122" customWidth="1"/>
    <col min="5" max="5" width="11.42578125" style="122"/>
    <col min="6" max="6" width="13.42578125" style="122" customWidth="1"/>
    <col min="7" max="16384" width="11.42578125" style="122"/>
  </cols>
  <sheetData>
    <row r="2" spans="2:4" ht="15" x14ac:dyDescent="0.25">
      <c r="C2" s="188"/>
    </row>
    <row r="3" spans="2:4" ht="15" x14ac:dyDescent="0.25">
      <c r="B3" s="399" t="s">
        <v>676</v>
      </c>
    </row>
    <row r="4" spans="2:4" x14ac:dyDescent="0.2">
      <c r="B4" s="123"/>
    </row>
    <row r="5" spans="2:4" x14ac:dyDescent="0.2">
      <c r="B5" s="712" t="s">
        <v>637</v>
      </c>
      <c r="C5" s="712"/>
      <c r="D5" s="712"/>
    </row>
    <row r="7" spans="2:4" x14ac:dyDescent="0.2">
      <c r="B7" s="113" t="s">
        <v>352</v>
      </c>
      <c r="C7" s="113" t="s">
        <v>436</v>
      </c>
      <c r="D7" s="113" t="s">
        <v>437</v>
      </c>
    </row>
    <row r="8" spans="2:4" ht="24" x14ac:dyDescent="0.2">
      <c r="B8" s="124" t="s">
        <v>1030</v>
      </c>
      <c r="C8" s="125">
        <f>+'BALANCE GRAL 30_06_22'!G10</f>
        <v>179575179</v>
      </c>
      <c r="D8" s="126">
        <v>0</v>
      </c>
    </row>
    <row r="9" spans="2:4" x14ac:dyDescent="0.2">
      <c r="B9" s="127" t="str">
        <f>+'NOTA L ACREED VARIOS'!C15</f>
        <v>Total al 30/06/2022</v>
      </c>
      <c r="C9" s="129">
        <f>SUM(C8:C8)</f>
        <v>179575179</v>
      </c>
      <c r="D9" s="126">
        <v>0</v>
      </c>
    </row>
    <row r="10" spans="2:4" x14ac:dyDescent="0.2">
      <c r="B10" s="127" t="str">
        <f>+'NOTA L ACREED VARIOS'!C16</f>
        <v>Total al 31/12/2021</v>
      </c>
      <c r="C10" s="129">
        <v>5965366</v>
      </c>
      <c r="D10" s="126">
        <v>0</v>
      </c>
    </row>
    <row r="11" spans="2:4" x14ac:dyDescent="0.2">
      <c r="C11" s="425">
        <f>+C9-'BALANCE GRAL 30_06_22'!G10</f>
        <v>0</v>
      </c>
    </row>
    <row r="12" spans="2:4" x14ac:dyDescent="0.2">
      <c r="B12" s="123" t="s">
        <v>517</v>
      </c>
    </row>
    <row r="13" spans="2:4" ht="24" customHeight="1" x14ac:dyDescent="0.2">
      <c r="B13" s="711" t="s">
        <v>438</v>
      </c>
      <c r="C13" s="711"/>
      <c r="D13" s="711"/>
    </row>
    <row r="14" spans="2:4" x14ac:dyDescent="0.2">
      <c r="B14" s="130"/>
    </row>
    <row r="15" spans="2:4" ht="24" customHeight="1" x14ac:dyDescent="0.2">
      <c r="B15" s="717" t="s">
        <v>1047</v>
      </c>
      <c r="C15" s="717"/>
      <c r="D15" s="717"/>
    </row>
    <row r="16" spans="2:4" x14ac:dyDescent="0.2">
      <c r="B16" s="123"/>
    </row>
    <row r="17" spans="2:7" x14ac:dyDescent="0.2">
      <c r="B17" s="712" t="s">
        <v>637</v>
      </c>
      <c r="C17" s="712"/>
      <c r="D17" s="712"/>
    </row>
    <row r="18" spans="2:7" x14ac:dyDescent="0.2">
      <c r="B18" s="123"/>
    </row>
    <row r="19" spans="2:7" ht="24" x14ac:dyDescent="0.2">
      <c r="B19" s="113" t="s">
        <v>443</v>
      </c>
      <c r="C19" s="113" t="s">
        <v>444</v>
      </c>
      <c r="D19" s="113" t="s">
        <v>445</v>
      </c>
      <c r="E19" s="113" t="s">
        <v>446</v>
      </c>
      <c r="F19" s="113" t="s">
        <v>436</v>
      </c>
      <c r="G19" s="113" t="s">
        <v>437</v>
      </c>
    </row>
    <row r="20" spans="2:7" ht="24" x14ac:dyDescent="0.2">
      <c r="B20" s="124" t="s">
        <v>736</v>
      </c>
      <c r="C20" s="124" t="s">
        <v>737</v>
      </c>
      <c r="D20" s="124" t="s">
        <v>622</v>
      </c>
      <c r="E20" s="124" t="s">
        <v>879</v>
      </c>
      <c r="F20" s="125">
        <v>880000</v>
      </c>
      <c r="G20" s="126">
        <v>0</v>
      </c>
    </row>
    <row r="21" spans="2:7" x14ac:dyDescent="0.2">
      <c r="B21" s="124" t="s">
        <v>883</v>
      </c>
      <c r="C21" s="124" t="s">
        <v>880</v>
      </c>
      <c r="D21" s="124" t="s">
        <v>881</v>
      </c>
      <c r="E21" s="124" t="s">
        <v>882</v>
      </c>
      <c r="F21" s="125">
        <v>880000</v>
      </c>
      <c r="G21" s="126"/>
    </row>
    <row r="22" spans="2:7" ht="24" x14ac:dyDescent="0.2">
      <c r="B22" s="124" t="s">
        <v>1031</v>
      </c>
      <c r="C22" s="124" t="s">
        <v>1032</v>
      </c>
      <c r="D22" s="124" t="s">
        <v>1033</v>
      </c>
      <c r="E22" s="124" t="s">
        <v>1034</v>
      </c>
      <c r="F22" s="125">
        <v>16500000</v>
      </c>
      <c r="G22" s="126"/>
    </row>
    <row r="23" spans="2:7" x14ac:dyDescent="0.2">
      <c r="B23" s="127" t="str">
        <f>+B9</f>
        <v>Total al 30/06/2022</v>
      </c>
      <c r="C23" s="127"/>
      <c r="D23" s="127"/>
      <c r="E23" s="127"/>
      <c r="F23" s="337">
        <f>SUM(F20:F22)</f>
        <v>18260000</v>
      </c>
      <c r="G23" s="126">
        <v>0</v>
      </c>
    </row>
    <row r="24" spans="2:7" x14ac:dyDescent="0.2">
      <c r="B24" s="127" t="str">
        <f>+B10</f>
        <v>Total al 31/12/2021</v>
      </c>
      <c r="C24" s="127"/>
      <c r="D24" s="127"/>
      <c r="E24" s="127"/>
      <c r="F24" s="129">
        <v>440000</v>
      </c>
      <c r="G24" s="126">
        <v>0</v>
      </c>
    </row>
    <row r="25" spans="2:7" x14ac:dyDescent="0.2">
      <c r="B25" s="131"/>
      <c r="C25" s="132"/>
      <c r="D25" s="133"/>
      <c r="F25" s="425">
        <f>+F23-'BALANCE GRAL 30_06_22'!G12</f>
        <v>0</v>
      </c>
    </row>
    <row r="26" spans="2:7" ht="24" customHeight="1" x14ac:dyDescent="0.2">
      <c r="B26" s="716" t="s">
        <v>518</v>
      </c>
      <c r="C26" s="716"/>
      <c r="D26" s="716"/>
      <c r="E26" s="139"/>
    </row>
    <row r="27" spans="2:7" x14ac:dyDescent="0.2">
      <c r="B27" s="712" t="s">
        <v>637</v>
      </c>
      <c r="C27" s="712"/>
      <c r="D27" s="712"/>
    </row>
    <row r="28" spans="2:7" x14ac:dyDescent="0.2">
      <c r="B28" s="123"/>
      <c r="C28" s="123"/>
      <c r="D28" s="123"/>
    </row>
    <row r="29" spans="2:7" ht="24" customHeight="1" x14ac:dyDescent="0.2">
      <c r="B29" s="113" t="s">
        <v>373</v>
      </c>
      <c r="C29" s="113" t="s">
        <v>445</v>
      </c>
      <c r="D29" s="113" t="s">
        <v>648</v>
      </c>
      <c r="E29" s="113" t="s">
        <v>436</v>
      </c>
      <c r="F29" s="113" t="s">
        <v>437</v>
      </c>
    </row>
    <row r="30" spans="2:7" x14ac:dyDescent="0.2">
      <c r="B30" s="124"/>
      <c r="C30" s="713" t="s">
        <v>649</v>
      </c>
      <c r="D30" s="714"/>
      <c r="E30" s="714"/>
      <c r="F30" s="715"/>
    </row>
    <row r="31" spans="2:7" x14ac:dyDescent="0.2">
      <c r="B31" s="127" t="str">
        <f>+B23</f>
        <v>Total al 30/06/2022</v>
      </c>
      <c r="C31" s="127"/>
      <c r="D31" s="127"/>
      <c r="E31" s="337">
        <f>SUM(E30:E30)</f>
        <v>0</v>
      </c>
      <c r="F31" s="126">
        <v>0</v>
      </c>
    </row>
    <row r="32" spans="2:7" x14ac:dyDescent="0.2">
      <c r="B32" s="127" t="str">
        <f>+B24</f>
        <v>Total al 31/12/2021</v>
      </c>
      <c r="C32" s="127"/>
      <c r="D32" s="127"/>
      <c r="E32" s="129">
        <v>0</v>
      </c>
      <c r="F32" s="126">
        <v>0</v>
      </c>
    </row>
    <row r="34" spans="2:4" ht="15" x14ac:dyDescent="0.2">
      <c r="B34" s="400" t="s">
        <v>1048</v>
      </c>
    </row>
    <row r="35" spans="2:4" x14ac:dyDescent="0.2">
      <c r="B35" s="123"/>
    </row>
    <row r="36" spans="2:4" x14ac:dyDescent="0.2">
      <c r="B36" s="712" t="s">
        <v>637</v>
      </c>
      <c r="C36" s="712"/>
      <c r="D36" s="712"/>
    </row>
    <row r="38" spans="2:4" x14ac:dyDescent="0.2">
      <c r="B38" s="39" t="s">
        <v>352</v>
      </c>
      <c r="C38" s="119" t="s">
        <v>439</v>
      </c>
      <c r="D38" s="119" t="s">
        <v>440</v>
      </c>
    </row>
    <row r="39" spans="2:4" x14ac:dyDescent="0.2">
      <c r="B39" s="134" t="s">
        <v>678</v>
      </c>
      <c r="C39" s="136">
        <f>+'BALANCE GRAL 30_06_22'!G34</f>
        <v>586905370</v>
      </c>
      <c r="D39" s="135">
        <v>0</v>
      </c>
    </row>
    <row r="40" spans="2:4" x14ac:dyDescent="0.2">
      <c r="B40" s="127" t="str">
        <f>+B23</f>
        <v>Total al 30/06/2022</v>
      </c>
      <c r="C40" s="128">
        <f>SUM(C39:C39)</f>
        <v>586905370</v>
      </c>
      <c r="D40" s="135">
        <v>0</v>
      </c>
    </row>
    <row r="41" spans="2:4" x14ac:dyDescent="0.2">
      <c r="B41" s="127" t="str">
        <f>+B24</f>
        <v>Total al 31/12/2021</v>
      </c>
      <c r="C41" s="137">
        <v>297828231</v>
      </c>
      <c r="D41" s="135">
        <v>0</v>
      </c>
    </row>
    <row r="42" spans="2:4" x14ac:dyDescent="0.2">
      <c r="C42" s="139">
        <f>+C40-'BALANCE GRAL 30_06_22'!G34</f>
        <v>0</v>
      </c>
    </row>
  </sheetData>
  <mergeCells count="8">
    <mergeCell ref="B36:D36"/>
    <mergeCell ref="C30:F30"/>
    <mergeCell ref="B27:D27"/>
    <mergeCell ref="B13:D13"/>
    <mergeCell ref="B5:D5"/>
    <mergeCell ref="B17:D17"/>
    <mergeCell ref="B26:D26"/>
    <mergeCell ref="B15:D15"/>
  </mergeCells>
  <hyperlinks>
    <hyperlink ref="B3" location="'BALANCE GRAL 30_06_22'!A1" display="m)       Acreedores por Intermediación. Corto y Largo Plazo. " xr:uid="{198D39C7-CD71-421C-A0C6-BAD954F3461D}"/>
    <hyperlink ref="B15:D15" location="'BALANCE GRAL 30_06_22'!A1" display="o)       Cuentas a Pagar a personas y empresas relacionadas (Corto y Largo plazo)" xr:uid="{29F1541F-B515-46A8-948B-CA95EA333B24}"/>
    <hyperlink ref="B34" location="'BALANCE GRAL 30_06_22'!A1" display="q)       Otros Pasivos Corrientes y No Corrientes" xr:uid="{8DB6AFE3-B713-47DB-AA12-4930F195199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tabColor rgb="FF002060"/>
  </sheetPr>
  <dimension ref="B1:I22"/>
  <sheetViews>
    <sheetView showGridLines="0" topLeftCell="A4" zoomScale="106" zoomScaleNormal="80" workbookViewId="0">
      <selection activeCell="E77" sqref="E77"/>
    </sheetView>
  </sheetViews>
  <sheetFormatPr baseColWidth="10" defaultColWidth="11.42578125" defaultRowHeight="12" x14ac:dyDescent="0.2"/>
  <cols>
    <col min="1" max="1" width="2.5703125" style="122" customWidth="1"/>
    <col min="2" max="2" width="37.7109375" style="122" customWidth="1"/>
    <col min="3" max="3" width="27" style="122" bestFit="1" customWidth="1"/>
    <col min="4" max="4" width="23.28515625" style="122" bestFit="1" customWidth="1"/>
    <col min="5" max="5" width="21.7109375" style="138" customWidth="1"/>
    <col min="6" max="6" width="20.5703125" style="138" customWidth="1"/>
    <col min="7" max="7" width="14.28515625" style="122" bestFit="1" customWidth="1"/>
    <col min="8" max="8" width="14" style="139" bestFit="1" customWidth="1"/>
    <col min="9" max="16384" width="11.42578125" style="122"/>
  </cols>
  <sheetData>
    <row r="1" spans="2:9" ht="15" x14ac:dyDescent="0.25">
      <c r="C1" s="188"/>
    </row>
    <row r="3" spans="2:9" x14ac:dyDescent="0.2">
      <c r="B3" s="720" t="s">
        <v>441</v>
      </c>
      <c r="C3" s="720"/>
      <c r="D3" s="720"/>
      <c r="E3" s="720"/>
      <c r="F3" s="720"/>
    </row>
    <row r="4" spans="2:9" x14ac:dyDescent="0.2">
      <c r="B4" s="376"/>
      <c r="C4" s="376"/>
      <c r="D4" s="376"/>
      <c r="E4" s="376"/>
      <c r="F4" s="376"/>
    </row>
    <row r="5" spans="2:9" ht="12" customHeight="1" x14ac:dyDescent="0.2">
      <c r="B5" s="712" t="s">
        <v>637</v>
      </c>
      <c r="C5" s="712"/>
      <c r="D5" s="712"/>
      <c r="E5" s="712"/>
      <c r="F5" s="712"/>
    </row>
    <row r="6" spans="2:9" ht="12.75" thickBot="1" x14ac:dyDescent="0.25"/>
    <row r="7" spans="2:9" ht="35.25" customHeight="1" thickBot="1" x14ac:dyDescent="0.25">
      <c r="B7" s="352" t="s">
        <v>623</v>
      </c>
      <c r="C7" s="140"/>
      <c r="D7" s="141"/>
      <c r="E7" s="718" t="s">
        <v>442</v>
      </c>
      <c r="F7" s="719"/>
    </row>
    <row r="8" spans="2:9" x14ac:dyDescent="0.2">
      <c r="B8" s="142" t="s">
        <v>443</v>
      </c>
      <c r="C8" s="142" t="s">
        <v>444</v>
      </c>
      <c r="D8" s="142" t="s">
        <v>445</v>
      </c>
      <c r="E8" s="143" t="str">
        <f>+'NOTAS M-Q ACREED y CTAS A PAG'!B9</f>
        <v>Total al 30/06/2022</v>
      </c>
      <c r="F8" s="143" t="str">
        <f>+'NOTAS M-Q ACREED y CTAS A PAG'!B10</f>
        <v>Total al 31/12/2021</v>
      </c>
    </row>
    <row r="9" spans="2:9" ht="24" x14ac:dyDescent="0.2">
      <c r="B9" s="144" t="s">
        <v>625</v>
      </c>
      <c r="C9" s="144" t="s">
        <v>1037</v>
      </c>
      <c r="D9" s="144" t="s">
        <v>884</v>
      </c>
      <c r="E9" s="145">
        <v>28520000</v>
      </c>
      <c r="F9" s="145">
        <v>28520000</v>
      </c>
    </row>
    <row r="10" spans="2:9" x14ac:dyDescent="0.2">
      <c r="B10" s="144" t="s">
        <v>1035</v>
      </c>
      <c r="C10" s="144" t="s">
        <v>1036</v>
      </c>
      <c r="D10" s="144" t="s">
        <v>1038</v>
      </c>
      <c r="E10" s="145">
        <v>130600000</v>
      </c>
      <c r="F10" s="145">
        <v>0</v>
      </c>
    </row>
    <row r="11" spans="2:9" x14ac:dyDescent="0.2">
      <c r="B11" s="439" t="str">
        <f>+'NOTAS M-Q ACREED y CTAS A PAG'!B20</f>
        <v>Ysaias López Gómez</v>
      </c>
      <c r="C11" s="439" t="str">
        <f>+'NOTAS M-Q ACREED y CTAS A PAG'!C20</f>
        <v>Sindico</v>
      </c>
      <c r="D11" s="439" t="str">
        <f>+'NOTAS M-Q ACREED y CTAS A PAG'!D20</f>
        <v>Honorarios Profesionales</v>
      </c>
      <c r="E11" s="145">
        <f>+'NOTAS M-Q ACREED y CTAS A PAG'!F20</f>
        <v>880000</v>
      </c>
      <c r="F11" s="145">
        <v>1320000</v>
      </c>
    </row>
    <row r="12" spans="2:9" x14ac:dyDescent="0.2">
      <c r="B12" s="439" t="str">
        <f>+'NOTAS M-Q ACREED y CTAS A PAG'!B21</f>
        <v>Hp Auditores &amp; Contadores</v>
      </c>
      <c r="C12" s="439" t="str">
        <f>+'NOTAS M-Q ACREED y CTAS A PAG'!C21</f>
        <v>Auditores</v>
      </c>
      <c r="D12" s="439" t="str">
        <f>+'NOTAS M-Q ACREED y CTAS A PAG'!D21</f>
        <v>Servicios de Auditoria</v>
      </c>
      <c r="E12" s="145">
        <f>+'NOTAS M-Q ACREED y CTAS A PAG'!F21</f>
        <v>880000</v>
      </c>
      <c r="F12" s="145">
        <v>0</v>
      </c>
    </row>
    <row r="13" spans="2:9" x14ac:dyDescent="0.2">
      <c r="B13" s="439" t="str">
        <f>+'NOTAS M-Q ACREED y CTAS A PAG'!B22</f>
        <v>In Positiva SA</v>
      </c>
      <c r="C13" s="439" t="str">
        <f>+'NOTAS M-Q ACREED y CTAS A PAG'!C22</f>
        <v>Contadores</v>
      </c>
      <c r="D13" s="439" t="str">
        <f>+'NOTAS M-Q ACREED y CTAS A PAG'!D22</f>
        <v>Servicios de Contabilidad</v>
      </c>
      <c r="E13" s="145">
        <f>+'NOTAS M-Q ACREED y CTAS A PAG'!F22</f>
        <v>16500000</v>
      </c>
      <c r="F13" s="145"/>
    </row>
    <row r="14" spans="2:9" x14ac:dyDescent="0.2">
      <c r="B14" s="127" t="str">
        <f>+'NOTAS M-Q ACREED y CTAS A PAG'!B40</f>
        <v>Total al 30/06/2022</v>
      </c>
      <c r="C14" s="55"/>
      <c r="D14" s="144"/>
      <c r="E14" s="146">
        <f>SUM(E9:E13)</f>
        <v>177380000</v>
      </c>
      <c r="F14" s="147">
        <v>0</v>
      </c>
      <c r="G14" s="148"/>
      <c r="I14" s="148"/>
    </row>
    <row r="15" spans="2:9" x14ac:dyDescent="0.2">
      <c r="B15" s="127" t="str">
        <f>+'NOTAS M-Q ACREED y CTAS A PAG'!B24</f>
        <v>Total al 31/12/2021</v>
      </c>
      <c r="C15" s="355">
        <v>0</v>
      </c>
      <c r="D15" s="355">
        <v>0</v>
      </c>
      <c r="E15" s="146">
        <v>0</v>
      </c>
      <c r="F15" s="146">
        <f>SUM(F9:F14)</f>
        <v>29840000</v>
      </c>
      <c r="I15" s="148"/>
    </row>
    <row r="16" spans="2:9" x14ac:dyDescent="0.2">
      <c r="B16" s="131"/>
      <c r="C16" s="353"/>
      <c r="D16" s="353"/>
      <c r="E16" s="354"/>
      <c r="F16" s="354"/>
      <c r="I16" s="148"/>
    </row>
    <row r="17" spans="2:8" ht="12.75" thickBot="1" x14ac:dyDescent="0.25"/>
    <row r="18" spans="2:8" ht="12.75" thickBot="1" x14ac:dyDescent="0.25">
      <c r="B18" s="352" t="s">
        <v>624</v>
      </c>
      <c r="C18" s="352"/>
      <c r="D18" s="141"/>
      <c r="E18" s="718"/>
      <c r="F18" s="719"/>
      <c r="G18" s="662"/>
    </row>
    <row r="19" spans="2:8" ht="24" x14ac:dyDescent="0.2">
      <c r="B19" s="39" t="s">
        <v>443</v>
      </c>
      <c r="C19" s="119" t="s">
        <v>444</v>
      </c>
      <c r="D19" s="119" t="s">
        <v>445</v>
      </c>
      <c r="E19" s="119" t="s">
        <v>446</v>
      </c>
      <c r="F19" s="119" t="s">
        <v>398</v>
      </c>
      <c r="G19" s="119" t="s">
        <v>447</v>
      </c>
    </row>
    <row r="20" spans="2:8" x14ac:dyDescent="0.2">
      <c r="B20" s="437">
        <v>0</v>
      </c>
      <c r="C20" s="438">
        <v>0</v>
      </c>
      <c r="D20" s="438">
        <v>0</v>
      </c>
      <c r="E20" s="136">
        <v>0</v>
      </c>
      <c r="F20" s="136">
        <v>0</v>
      </c>
      <c r="G20" s="136">
        <v>0</v>
      </c>
    </row>
    <row r="21" spans="2:8" x14ac:dyDescent="0.2">
      <c r="B21" s="127" t="str">
        <f>+B14</f>
        <v>Total al 30/06/2022</v>
      </c>
      <c r="C21" s="126">
        <v>0</v>
      </c>
      <c r="D21" s="126">
        <v>0</v>
      </c>
      <c r="E21" s="126">
        <v>0</v>
      </c>
      <c r="F21" s="126">
        <v>0</v>
      </c>
      <c r="G21" s="337">
        <v>0</v>
      </c>
    </row>
    <row r="22" spans="2:8" x14ac:dyDescent="0.2">
      <c r="B22" s="127" t="str">
        <f>+B15</f>
        <v>Total al 31/12/2021</v>
      </c>
      <c r="C22" s="126">
        <v>0</v>
      </c>
      <c r="D22" s="126">
        <v>0</v>
      </c>
      <c r="E22" s="126">
        <v>0</v>
      </c>
      <c r="F22" s="126">
        <v>0</v>
      </c>
      <c r="G22" s="337">
        <v>0</v>
      </c>
      <c r="H22" s="139">
        <v>0</v>
      </c>
    </row>
  </sheetData>
  <autoFilter ref="B8:F15" xr:uid="{00000000-0009-0000-0000-000011000000}"/>
  <mergeCells count="4">
    <mergeCell ref="E7:F7"/>
    <mergeCell ref="B3:F3"/>
    <mergeCell ref="E18:F18"/>
    <mergeCell ref="B5:F5"/>
  </mergeCells>
  <pageMargins left="0.7" right="0.7" top="0.75" bottom="0.75" header="0.3" footer="0.3"/>
  <pageSetup paperSize="9" orientation="portrait" horizontalDpi="300" verticalDpi="30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>
    <tabColor rgb="FF002060"/>
  </sheetPr>
  <dimension ref="B1:O27"/>
  <sheetViews>
    <sheetView showGridLines="0" workbookViewId="0">
      <selection activeCell="E77" sqref="E77"/>
    </sheetView>
  </sheetViews>
  <sheetFormatPr baseColWidth="10" defaultColWidth="11.42578125" defaultRowHeight="12" x14ac:dyDescent="0.2"/>
  <cols>
    <col min="1" max="1" width="6.85546875" style="29" customWidth="1"/>
    <col min="2" max="2" width="41.5703125" style="29" customWidth="1"/>
    <col min="3" max="3" width="13" style="43" bestFit="1" customWidth="1"/>
    <col min="4" max="4" width="13" style="29" bestFit="1" customWidth="1"/>
    <col min="5" max="5" width="11.42578125" style="29"/>
    <col min="6" max="6" width="12" style="29" bestFit="1" customWidth="1"/>
    <col min="7" max="8" width="11.42578125" style="29"/>
    <col min="9" max="9" width="12.42578125" style="29" bestFit="1" customWidth="1"/>
    <col min="10" max="16384" width="11.42578125" style="29"/>
  </cols>
  <sheetData>
    <row r="1" spans="2:8" ht="15" x14ac:dyDescent="0.25">
      <c r="B1" s="188"/>
    </row>
    <row r="2" spans="2:8" ht="15" x14ac:dyDescent="0.25">
      <c r="B2" s="377"/>
    </row>
    <row r="3" spans="2:8" x14ac:dyDescent="0.2">
      <c r="B3" s="101" t="s">
        <v>519</v>
      </c>
    </row>
    <row r="4" spans="2:8" x14ac:dyDescent="0.2">
      <c r="B4" s="101"/>
    </row>
    <row r="5" spans="2:8" ht="12" customHeight="1" x14ac:dyDescent="0.2">
      <c r="B5" s="712" t="s">
        <v>637</v>
      </c>
      <c r="C5" s="712"/>
      <c r="D5" s="712"/>
      <c r="E5" s="390"/>
      <c r="F5" s="390"/>
    </row>
    <row r="6" spans="2:8" x14ac:dyDescent="0.2">
      <c r="B6" s="101"/>
    </row>
    <row r="7" spans="2:8" x14ac:dyDescent="0.2">
      <c r="B7" s="92" t="s">
        <v>448</v>
      </c>
      <c r="C7" s="149" t="s">
        <v>449</v>
      </c>
      <c r="D7" s="92" t="s">
        <v>450</v>
      </c>
    </row>
    <row r="8" spans="2:8" x14ac:dyDescent="0.2">
      <c r="B8" s="150" t="s">
        <v>738</v>
      </c>
      <c r="C8" s="151">
        <f>131047700/1.1</f>
        <v>119134272.72727272</v>
      </c>
      <c r="D8" s="152"/>
      <c r="F8" s="43"/>
      <c r="G8" s="43"/>
    </row>
    <row r="9" spans="2:8" x14ac:dyDescent="0.2">
      <c r="B9" s="150" t="s">
        <v>566</v>
      </c>
      <c r="C9" s="152">
        <f>143207.6/1.1</f>
        <v>130188.72727272726</v>
      </c>
      <c r="D9" s="152">
        <f>76610102/1.1</f>
        <v>69645547.272727266</v>
      </c>
      <c r="F9" s="43"/>
      <c r="G9" s="43"/>
    </row>
    <row r="10" spans="2:8" x14ac:dyDescent="0.2">
      <c r="B10" s="150" t="s">
        <v>568</v>
      </c>
      <c r="C10" s="152"/>
      <c r="D10" s="95">
        <f>52000000/1.1</f>
        <v>47272727.272727266</v>
      </c>
      <c r="F10" s="43"/>
      <c r="G10" s="43"/>
    </row>
    <row r="11" spans="2:8" x14ac:dyDescent="0.2">
      <c r="B11" s="150" t="s">
        <v>570</v>
      </c>
      <c r="C11" s="152"/>
      <c r="D11" s="95">
        <f>65000000/1.1</f>
        <v>59090909.090909086</v>
      </c>
      <c r="F11" s="43"/>
      <c r="G11" s="43"/>
      <c r="H11" s="59"/>
    </row>
    <row r="12" spans="2:8" x14ac:dyDescent="0.2">
      <c r="B12" s="150" t="s">
        <v>571</v>
      </c>
      <c r="C12" s="152"/>
      <c r="D12" s="95">
        <f>95000000/1.1</f>
        <v>86363636.36363636</v>
      </c>
      <c r="F12" s="43"/>
      <c r="G12" s="43"/>
    </row>
    <row r="13" spans="2:8" x14ac:dyDescent="0.2">
      <c r="B13" s="150" t="s">
        <v>887</v>
      </c>
      <c r="C13" s="152"/>
      <c r="D13" s="95">
        <f>4400000/1.1</f>
        <v>3999999.9999999995</v>
      </c>
      <c r="F13" s="43"/>
      <c r="G13" s="43"/>
    </row>
    <row r="14" spans="2:8" x14ac:dyDescent="0.2">
      <c r="B14" s="150" t="s">
        <v>736</v>
      </c>
      <c r="C14" s="152"/>
      <c r="D14" s="95">
        <f>2200000/1.1</f>
        <v>1999999.9999999998</v>
      </c>
      <c r="F14" s="43"/>
      <c r="G14" s="43"/>
    </row>
    <row r="15" spans="2:8" x14ac:dyDescent="0.2">
      <c r="B15" s="150"/>
      <c r="C15" s="152"/>
      <c r="D15" s="95"/>
      <c r="F15" s="43"/>
      <c r="G15" s="43"/>
    </row>
    <row r="16" spans="2:8" x14ac:dyDescent="0.2">
      <c r="B16" s="111" t="str">
        <f>+'NOTA R SALDOS Y TRANSACC'!B21</f>
        <v>Total al 30/06/2022</v>
      </c>
      <c r="C16" s="153">
        <f>SUM(C8:C15)</f>
        <v>119264461.45454545</v>
      </c>
      <c r="D16" s="153">
        <f>SUM(D8:D15)</f>
        <v>268372820</v>
      </c>
    </row>
    <row r="17" spans="2:15" x14ac:dyDescent="0.2">
      <c r="B17" s="111" t="str">
        <f>+'NOTA R SALDOS Y TRANSACC'!B22</f>
        <v>Total al 31/12/2021</v>
      </c>
      <c r="C17" s="154">
        <v>19062700</v>
      </c>
      <c r="D17" s="153">
        <v>358897959</v>
      </c>
    </row>
    <row r="20" spans="2:15" x14ac:dyDescent="0.2">
      <c r="K20" s="155"/>
      <c r="M20" s="156"/>
      <c r="O20" s="156"/>
    </row>
    <row r="21" spans="2:15" x14ac:dyDescent="0.2">
      <c r="K21" s="155"/>
      <c r="M21" s="156"/>
      <c r="O21" s="156"/>
    </row>
    <row r="22" spans="2:15" x14ac:dyDescent="0.2">
      <c r="K22" s="155"/>
      <c r="M22" s="156"/>
      <c r="O22" s="157"/>
    </row>
    <row r="27" spans="2:15" x14ac:dyDescent="0.2">
      <c r="G27" s="156"/>
    </row>
  </sheetData>
  <mergeCells count="1">
    <mergeCell ref="B5:D5"/>
  </mergeCell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tabColor rgb="FF002060"/>
  </sheetPr>
  <dimension ref="B1:H26"/>
  <sheetViews>
    <sheetView showGridLines="0" zoomScale="113" zoomScaleNormal="85" workbookViewId="0">
      <selection activeCell="E77" sqref="E77"/>
    </sheetView>
  </sheetViews>
  <sheetFormatPr baseColWidth="10" defaultColWidth="11.42578125" defaultRowHeight="12" x14ac:dyDescent="0.25"/>
  <cols>
    <col min="1" max="1" width="7" style="88" customWidth="1"/>
    <col min="2" max="2" width="32.42578125" style="88" customWidth="1"/>
    <col min="3" max="3" width="22.140625" style="88" bestFit="1" customWidth="1"/>
    <col min="4" max="4" width="14.42578125" style="88" bestFit="1" customWidth="1"/>
    <col min="5" max="5" width="14.140625" style="88" bestFit="1" customWidth="1"/>
    <col min="6" max="6" width="14.42578125" style="88" bestFit="1" customWidth="1"/>
    <col min="7" max="7" width="13.28515625" style="88" customWidth="1"/>
    <col min="8" max="9" width="12.140625" style="88" bestFit="1" customWidth="1"/>
    <col min="10" max="16384" width="11.42578125" style="88"/>
  </cols>
  <sheetData>
    <row r="1" spans="2:8" ht="15" x14ac:dyDescent="0.25">
      <c r="C1" s="188"/>
    </row>
    <row r="2" spans="2:8" ht="15" x14ac:dyDescent="0.25">
      <c r="C2" s="377"/>
    </row>
    <row r="3" spans="2:8" ht="15" x14ac:dyDescent="0.25">
      <c r="B3" s="399" t="s">
        <v>451</v>
      </c>
    </row>
    <row r="4" spans="2:8" x14ac:dyDescent="0.2">
      <c r="B4" s="158"/>
    </row>
    <row r="5" spans="2:8" ht="12" customHeight="1" x14ac:dyDescent="0.25">
      <c r="B5" s="712" t="s">
        <v>637</v>
      </c>
      <c r="C5" s="712"/>
      <c r="D5" s="712"/>
      <c r="E5" s="712"/>
      <c r="F5" s="712"/>
    </row>
    <row r="7" spans="2:8" ht="24" x14ac:dyDescent="0.25">
      <c r="B7" s="39" t="s">
        <v>352</v>
      </c>
      <c r="C7" s="39" t="s">
        <v>452</v>
      </c>
      <c r="D7" s="39" t="s">
        <v>423</v>
      </c>
      <c r="E7" s="39" t="s">
        <v>453</v>
      </c>
      <c r="F7" s="39" t="s">
        <v>1039</v>
      </c>
      <c r="G7" s="443" t="s">
        <v>739</v>
      </c>
    </row>
    <row r="8" spans="2:8" x14ac:dyDescent="0.25">
      <c r="B8" s="93" t="s">
        <v>454</v>
      </c>
      <c r="C8" s="493">
        <v>3386000000</v>
      </c>
      <c r="D8" s="160">
        <f>+F8-C8</f>
        <v>419000000</v>
      </c>
      <c r="E8" s="160">
        <v>0</v>
      </c>
      <c r="F8" s="159">
        <f>+'BALANCE GRAL 30_06_22'!$G$63</f>
        <v>3805000000</v>
      </c>
      <c r="G8" s="493">
        <v>3386000000</v>
      </c>
      <c r="H8" s="163"/>
    </row>
    <row r="9" spans="2:8" x14ac:dyDescent="0.25">
      <c r="B9" s="93" t="s">
        <v>455</v>
      </c>
      <c r="C9" s="159">
        <v>0</v>
      </c>
      <c r="D9" s="160">
        <v>0</v>
      </c>
      <c r="E9" s="160">
        <f>+C9</f>
        <v>0</v>
      </c>
      <c r="F9" s="159">
        <v>0</v>
      </c>
      <c r="G9" s="159">
        <v>0</v>
      </c>
      <c r="H9" s="163"/>
    </row>
    <row r="10" spans="2:8" x14ac:dyDescent="0.25">
      <c r="B10" s="93" t="s">
        <v>133</v>
      </c>
      <c r="C10" s="159">
        <v>0</v>
      </c>
      <c r="D10" s="162">
        <v>0</v>
      </c>
      <c r="E10" s="160">
        <v>0</v>
      </c>
      <c r="F10" s="159">
        <f>+'BALANCE GRAL 30_06_22'!$G$69</f>
        <v>0</v>
      </c>
      <c r="G10" s="159">
        <v>0</v>
      </c>
      <c r="H10" s="163"/>
    </row>
    <row r="11" spans="2:8" x14ac:dyDescent="0.25">
      <c r="B11" s="93" t="s">
        <v>144</v>
      </c>
      <c r="C11" s="160">
        <v>0</v>
      </c>
      <c r="D11" s="160">
        <v>0</v>
      </c>
      <c r="E11" s="160">
        <f>+C11-F11</f>
        <v>9529901</v>
      </c>
      <c r="F11" s="160">
        <f>+'BALANCE GRAL 30_06_22'!$G$72</f>
        <v>-9529901</v>
      </c>
      <c r="G11" s="160">
        <v>0</v>
      </c>
      <c r="H11" s="163"/>
    </row>
    <row r="12" spans="2:8" x14ac:dyDescent="0.25">
      <c r="B12" s="93" t="s">
        <v>146</v>
      </c>
      <c r="C12" s="159">
        <v>-9318361.7300000004</v>
      </c>
      <c r="D12" s="160">
        <f>+'BALANCE GRAL 30_06_22'!$G$73</f>
        <v>12385250.720000001</v>
      </c>
      <c r="E12" s="160">
        <f>+C12</f>
        <v>-9318361.7300000004</v>
      </c>
      <c r="F12" s="159">
        <f>+'BALANCE GRAL 30_06_22'!$G$73</f>
        <v>12385250.720000001</v>
      </c>
      <c r="G12" s="159">
        <v>-9318361.7300000004</v>
      </c>
      <c r="H12" s="163"/>
    </row>
    <row r="13" spans="2:8" x14ac:dyDescent="0.2">
      <c r="B13" s="111" t="str">
        <f>+'NOTA S RESULTADOS CON PERS'!B16</f>
        <v>Total al 30/06/2022</v>
      </c>
      <c r="C13" s="164">
        <f>SUM(C8:C12)</f>
        <v>3376681638.27</v>
      </c>
      <c r="D13" s="164">
        <f>SUM(D8:D12)</f>
        <v>431385250.72000003</v>
      </c>
      <c r="E13" s="164">
        <f>SUM(E8:E12)</f>
        <v>211539.26999999955</v>
      </c>
      <c r="F13" s="164">
        <f>SUM(F8:F12)</f>
        <v>3807855349.7199998</v>
      </c>
      <c r="G13" s="164">
        <v>0</v>
      </c>
      <c r="H13" s="163"/>
    </row>
    <row r="14" spans="2:8" x14ac:dyDescent="0.2">
      <c r="B14" s="111" t="str">
        <f>+'NOTA S RESULTADOS CON PERS'!B17</f>
        <v>Total al 31/12/2021</v>
      </c>
      <c r="C14" s="164">
        <v>0</v>
      </c>
      <c r="D14" s="164">
        <v>3376681638.27</v>
      </c>
      <c r="E14" s="165">
        <v>0</v>
      </c>
      <c r="F14" s="164">
        <v>0</v>
      </c>
      <c r="G14" s="164">
        <v>3376681638.27</v>
      </c>
    </row>
    <row r="15" spans="2:8" x14ac:dyDescent="0.25">
      <c r="D15" s="163"/>
      <c r="F15" s="161"/>
    </row>
    <row r="16" spans="2:8" x14ac:dyDescent="0.25">
      <c r="D16" s="163"/>
      <c r="E16" s="89"/>
      <c r="F16" s="166">
        <f>+F13-'ESTADO DE VARIAC PN 30_06_22'!J27</f>
        <v>0</v>
      </c>
    </row>
    <row r="17" spans="2:7" x14ac:dyDescent="0.25">
      <c r="B17" s="101" t="s">
        <v>520</v>
      </c>
      <c r="E17" s="163"/>
      <c r="F17" s="161"/>
    </row>
    <row r="18" spans="2:7" x14ac:dyDescent="0.25">
      <c r="B18" s="687" t="s">
        <v>456</v>
      </c>
      <c r="C18" s="687"/>
      <c r="D18" s="687"/>
      <c r="E18" s="687"/>
      <c r="F18" s="687"/>
    </row>
    <row r="20" spans="2:7" ht="24" x14ac:dyDescent="0.25">
      <c r="B20" s="39" t="s">
        <v>268</v>
      </c>
      <c r="C20" s="39" t="s">
        <v>452</v>
      </c>
      <c r="D20" s="39" t="s">
        <v>423</v>
      </c>
      <c r="E20" s="39" t="s">
        <v>453</v>
      </c>
      <c r="F20" s="39" t="str">
        <f>+F7</f>
        <v>Saldos al 30/06/2022</v>
      </c>
      <c r="G20" s="39" t="str">
        <f>+G7</f>
        <v>Saldos al 31/12/2021</v>
      </c>
    </row>
    <row r="21" spans="2:7" x14ac:dyDescent="0.25">
      <c r="B21" s="93" t="s">
        <v>650</v>
      </c>
      <c r="C21" s="159">
        <v>0</v>
      </c>
      <c r="D21" s="160">
        <v>0</v>
      </c>
      <c r="E21" s="160">
        <v>0</v>
      </c>
      <c r="F21" s="159">
        <v>0</v>
      </c>
      <c r="G21" s="159">
        <v>0</v>
      </c>
    </row>
    <row r="22" spans="2:7" x14ac:dyDescent="0.25">
      <c r="B22" s="93" t="s">
        <v>651</v>
      </c>
      <c r="C22" s="160">
        <v>0</v>
      </c>
      <c r="D22" s="160">
        <v>0</v>
      </c>
      <c r="E22" s="160">
        <f>+C22</f>
        <v>0</v>
      </c>
      <c r="F22" s="159">
        <v>0</v>
      </c>
      <c r="G22" s="159">
        <v>0</v>
      </c>
    </row>
    <row r="23" spans="2:7" x14ac:dyDescent="0.2">
      <c r="B23" s="111" t="s">
        <v>462</v>
      </c>
      <c r="C23" s="164">
        <v>0</v>
      </c>
      <c r="D23" s="164">
        <v>0</v>
      </c>
      <c r="E23" s="164">
        <v>0</v>
      </c>
      <c r="F23" s="164">
        <f>+'BALANCE GRAL 30_06_22'!$G$69</f>
        <v>0</v>
      </c>
      <c r="G23" s="164">
        <f>+'BALANCE GRAL 30_06_22'!$G$69</f>
        <v>0</v>
      </c>
    </row>
    <row r="24" spans="2:7" x14ac:dyDescent="0.25">
      <c r="B24" s="93" t="s">
        <v>652</v>
      </c>
      <c r="C24" s="160">
        <v>0</v>
      </c>
      <c r="D24" s="160">
        <v>0</v>
      </c>
      <c r="E24" s="160">
        <f>+C24-F24</f>
        <v>0</v>
      </c>
      <c r="F24" s="160">
        <v>0</v>
      </c>
      <c r="G24" s="160">
        <v>0</v>
      </c>
    </row>
    <row r="25" spans="2:7" x14ac:dyDescent="0.25">
      <c r="B25" s="93" t="s">
        <v>653</v>
      </c>
      <c r="C25" s="159">
        <v>0</v>
      </c>
      <c r="D25" s="160">
        <v>0</v>
      </c>
      <c r="E25" s="160">
        <f>+C25</f>
        <v>0</v>
      </c>
      <c r="F25" s="159">
        <v>0</v>
      </c>
      <c r="G25" s="159">
        <v>0</v>
      </c>
    </row>
    <row r="26" spans="2:7" x14ac:dyDescent="0.2">
      <c r="B26" s="111" t="s">
        <v>462</v>
      </c>
      <c r="C26" s="164">
        <f>SUM(C21:C25)</f>
        <v>0</v>
      </c>
      <c r="D26" s="164">
        <f>SUM(D21:D25)</f>
        <v>0</v>
      </c>
      <c r="E26" s="164">
        <f>SUM(E21:E25)</f>
        <v>0</v>
      </c>
      <c r="F26" s="164">
        <f>SUM(F21:F25)</f>
        <v>0</v>
      </c>
      <c r="G26" s="164">
        <f>SUM(G21:G25)</f>
        <v>0</v>
      </c>
    </row>
  </sheetData>
  <mergeCells count="2">
    <mergeCell ref="B5:F5"/>
    <mergeCell ref="B18:F18"/>
  </mergeCells>
  <hyperlinks>
    <hyperlink ref="B3" location="'BALANCE GRAL 30_06_22'!A1" display="t) Patrimonio" xr:uid="{846CFCA4-DD99-44C0-B931-2AF3198920E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rgb="FF002060"/>
  </sheetPr>
  <dimension ref="B1:F28"/>
  <sheetViews>
    <sheetView showGridLines="0" zoomScale="119" zoomScaleNormal="85" workbookViewId="0">
      <selection activeCell="E77" sqref="E77"/>
    </sheetView>
  </sheetViews>
  <sheetFormatPr baseColWidth="10" defaultColWidth="20.28515625" defaultRowHeight="12" x14ac:dyDescent="0.2"/>
  <cols>
    <col min="1" max="1" width="6.85546875" style="29" customWidth="1"/>
    <col min="2" max="2" width="35" style="29" bestFit="1" customWidth="1"/>
    <col min="3" max="4" width="20.7109375" style="29" customWidth="1"/>
    <col min="5" max="16384" width="20.28515625" style="29"/>
  </cols>
  <sheetData>
    <row r="1" spans="2:6" ht="15" x14ac:dyDescent="0.25">
      <c r="B1" s="188"/>
    </row>
    <row r="3" spans="2:6" ht="15" x14ac:dyDescent="0.25">
      <c r="B3" s="399" t="s">
        <v>687</v>
      </c>
    </row>
    <row r="4" spans="2:6" x14ac:dyDescent="0.2">
      <c r="B4" s="101"/>
    </row>
    <row r="5" spans="2:6" ht="12" customHeight="1" x14ac:dyDescent="0.2">
      <c r="B5" s="712" t="s">
        <v>637</v>
      </c>
      <c r="C5" s="712"/>
      <c r="D5" s="712"/>
      <c r="E5" s="390"/>
      <c r="F5" s="390"/>
    </row>
    <row r="7" spans="2:6" x14ac:dyDescent="0.2">
      <c r="B7" s="167" t="s">
        <v>457</v>
      </c>
    </row>
    <row r="8" spans="2:6" x14ac:dyDescent="0.2">
      <c r="B8" s="109" t="s">
        <v>352</v>
      </c>
      <c r="C8" s="665" t="str">
        <f>+INDICE!I3</f>
        <v>Al 30/6/2022</v>
      </c>
      <c r="D8" s="665" t="str">
        <f>+INDICE!J3</f>
        <v>Al 30/6/2021</v>
      </c>
    </row>
    <row r="9" spans="2:6" x14ac:dyDescent="0.2">
      <c r="B9" s="53" t="s">
        <v>740</v>
      </c>
      <c r="C9" s="426">
        <v>23332954</v>
      </c>
      <c r="D9" s="168">
        <v>0</v>
      </c>
    </row>
    <row r="10" spans="2:6" x14ac:dyDescent="0.2">
      <c r="B10" s="663" t="s">
        <v>741</v>
      </c>
      <c r="C10" s="664">
        <v>23332954</v>
      </c>
      <c r="D10" s="168">
        <v>0</v>
      </c>
    </row>
    <row r="11" spans="2:6" x14ac:dyDescent="0.2">
      <c r="B11" s="37" t="s">
        <v>742</v>
      </c>
      <c r="C11" s="116">
        <v>8850857</v>
      </c>
      <c r="D11" s="168">
        <v>0</v>
      </c>
    </row>
    <row r="12" spans="2:6" x14ac:dyDescent="0.2">
      <c r="B12" s="37" t="s">
        <v>743</v>
      </c>
      <c r="C12" s="116">
        <v>11801753</v>
      </c>
      <c r="D12" s="168">
        <v>0</v>
      </c>
    </row>
    <row r="13" spans="2:6" x14ac:dyDescent="0.2">
      <c r="B13" s="37" t="s">
        <v>896</v>
      </c>
      <c r="C13" s="116">
        <v>2680344</v>
      </c>
      <c r="D13" s="168">
        <v>0</v>
      </c>
    </row>
    <row r="14" spans="2:6" x14ac:dyDescent="0.2">
      <c r="B14" s="53" t="s">
        <v>744</v>
      </c>
      <c r="C14" s="117">
        <f>+C15</f>
        <v>1290287</v>
      </c>
      <c r="D14" s="168"/>
    </row>
    <row r="15" spans="2:6" x14ac:dyDescent="0.2">
      <c r="B15" s="663" t="s">
        <v>745</v>
      </c>
      <c r="C15" s="664">
        <f>+C16</f>
        <v>1290287</v>
      </c>
      <c r="D15" s="168"/>
    </row>
    <row r="16" spans="2:6" x14ac:dyDescent="0.2">
      <c r="B16" s="55" t="s">
        <v>746</v>
      </c>
      <c r="C16" s="116">
        <f>2371416119-'[8]EERR 2022'!$B$26</f>
        <v>1290287</v>
      </c>
      <c r="D16" s="168"/>
    </row>
    <row r="17" spans="2:4" x14ac:dyDescent="0.2">
      <c r="B17" s="55"/>
      <c r="C17" s="116"/>
      <c r="D17" s="168"/>
    </row>
    <row r="18" spans="2:4" x14ac:dyDescent="0.2">
      <c r="B18" s="53" t="s">
        <v>458</v>
      </c>
      <c r="C18" s="117">
        <f>+C9+C14</f>
        <v>24623241</v>
      </c>
      <c r="D18" s="117">
        <v>0</v>
      </c>
    </row>
    <row r="20" spans="2:4" x14ac:dyDescent="0.2">
      <c r="B20" s="167" t="s">
        <v>208</v>
      </c>
    </row>
    <row r="21" spans="2:4" x14ac:dyDescent="0.2">
      <c r="B21" s="109" t="s">
        <v>352</v>
      </c>
      <c r="C21" s="109" t="str">
        <f>+C8</f>
        <v>Al 30/6/2022</v>
      </c>
      <c r="D21" s="109" t="str">
        <f>+D8</f>
        <v>Al 30/6/2021</v>
      </c>
    </row>
    <row r="22" spans="2:4" x14ac:dyDescent="0.2">
      <c r="B22" s="37" t="s">
        <v>459</v>
      </c>
      <c r="C22" s="95">
        <f>+'ESTADOS DE RESULTADOS 30_06_22'!E33</f>
        <v>0</v>
      </c>
      <c r="D22" s="57">
        <v>0</v>
      </c>
    </row>
    <row r="23" spans="2:4" x14ac:dyDescent="0.2">
      <c r="B23" s="37" t="s">
        <v>460</v>
      </c>
      <c r="C23" s="95">
        <f>+'ESTADOS DE RESULTADOS 30_06_22'!E34</f>
        <v>0</v>
      </c>
      <c r="D23" s="95">
        <v>0</v>
      </c>
    </row>
    <row r="24" spans="2:4" x14ac:dyDescent="0.2">
      <c r="B24" s="37" t="s">
        <v>461</v>
      </c>
      <c r="C24" s="95">
        <f>+'ESTADOS DE RESULTADOS 30_06_22'!E35</f>
        <v>5895</v>
      </c>
      <c r="D24" s="95">
        <v>0</v>
      </c>
    </row>
    <row r="25" spans="2:4" x14ac:dyDescent="0.2">
      <c r="B25" s="53" t="s">
        <v>462</v>
      </c>
      <c r="C25" s="108">
        <f>SUM(C22:C24)</f>
        <v>5895</v>
      </c>
      <c r="D25" s="108">
        <v>0</v>
      </c>
    </row>
    <row r="27" spans="2:4" x14ac:dyDescent="0.2">
      <c r="C27" s="105"/>
      <c r="D27" s="105"/>
    </row>
    <row r="28" spans="2:4" x14ac:dyDescent="0.2">
      <c r="C28" s="105"/>
    </row>
  </sheetData>
  <mergeCells count="1">
    <mergeCell ref="B5:D5"/>
  </mergeCells>
  <hyperlinks>
    <hyperlink ref="B3" location="'ESTADOS DE RESULTADOS 30_06_22'!A1" display="v)       Ingresos Operativos" xr:uid="{FF0641DC-28F1-4815-855B-55C2C2D61CFD}"/>
  </hyperlinks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tabColor rgb="FF002060"/>
  </sheetPr>
  <dimension ref="B1:E37"/>
  <sheetViews>
    <sheetView showGridLines="0" zoomScale="133" zoomScaleNormal="100" workbookViewId="0">
      <selection activeCell="E77" sqref="E77"/>
    </sheetView>
  </sheetViews>
  <sheetFormatPr baseColWidth="10" defaultColWidth="11.42578125" defaultRowHeight="12" x14ac:dyDescent="0.2"/>
  <cols>
    <col min="1" max="1" width="7" style="29" customWidth="1"/>
    <col min="2" max="2" width="37.42578125" style="29" customWidth="1"/>
    <col min="3" max="4" width="20.7109375" style="29" customWidth="1"/>
    <col min="5" max="5" width="15.140625" style="29" bestFit="1" customWidth="1"/>
    <col min="6" max="16384" width="11.42578125" style="29"/>
  </cols>
  <sheetData>
    <row r="1" spans="2:5" s="63" customFormat="1" x14ac:dyDescent="0.2">
      <c r="B1" s="721"/>
      <c r="C1" s="722"/>
      <c r="D1" s="722"/>
    </row>
    <row r="2" spans="2:5" s="63" customFormat="1" x14ac:dyDescent="0.2">
      <c r="B2" s="169"/>
      <c r="C2" s="169"/>
      <c r="D2" s="169"/>
    </row>
    <row r="3" spans="2:5" s="63" customFormat="1" ht="15" x14ac:dyDescent="0.25">
      <c r="B3" s="399" t="s">
        <v>463</v>
      </c>
      <c r="C3" s="169"/>
      <c r="D3" s="169"/>
    </row>
    <row r="4" spans="2:5" s="63" customFormat="1" x14ac:dyDescent="0.2">
      <c r="B4" s="158"/>
      <c r="C4" s="169"/>
      <c r="D4" s="169"/>
    </row>
    <row r="5" spans="2:5" s="63" customFormat="1" x14ac:dyDescent="0.2">
      <c r="B5" s="712" t="s">
        <v>637</v>
      </c>
      <c r="C5" s="712"/>
      <c r="D5" s="712"/>
    </row>
    <row r="6" spans="2:5" x14ac:dyDescent="0.2">
      <c r="B6" s="170"/>
      <c r="C6" s="170"/>
      <c r="D6" s="170"/>
    </row>
    <row r="7" spans="2:5" x14ac:dyDescent="0.2">
      <c r="B7" s="403" t="s">
        <v>352</v>
      </c>
      <c r="C7" s="403" t="str">
        <f>+'NOTA V INGRESOS OPERATIVOS'!C8</f>
        <v>Al 30/6/2022</v>
      </c>
      <c r="D7" s="403" t="str">
        <f>+'NOTA V INGRESOS OPERATIVOS'!D8</f>
        <v>Al 30/6/2021</v>
      </c>
    </row>
    <row r="8" spans="2:5" x14ac:dyDescent="0.2">
      <c r="B8" s="53" t="s">
        <v>464</v>
      </c>
      <c r="C8" s="1">
        <f>+'ESTADOS DE RESULTADOS 30_06_22'!E37</f>
        <v>140588714</v>
      </c>
      <c r="D8" s="1">
        <v>0</v>
      </c>
      <c r="E8" s="59"/>
    </row>
    <row r="9" spans="2:5" x14ac:dyDescent="0.2">
      <c r="B9" s="37" t="s">
        <v>210</v>
      </c>
      <c r="C9" s="335">
        <f>+'ESTADOS DE RESULTADOS 30_06_22'!E38</f>
        <v>0</v>
      </c>
      <c r="D9" s="171">
        <v>0</v>
      </c>
    </row>
    <row r="10" spans="2:5" x14ac:dyDescent="0.2">
      <c r="B10" s="37" t="s">
        <v>211</v>
      </c>
      <c r="C10" s="335">
        <f>+'ESTADOS DE RESULTADOS 30_06_22'!E39</f>
        <v>0</v>
      </c>
      <c r="D10" s="171">
        <v>0</v>
      </c>
    </row>
    <row r="11" spans="2:5" x14ac:dyDescent="0.2">
      <c r="B11" s="37" t="s">
        <v>465</v>
      </c>
      <c r="C11" s="335">
        <v>0</v>
      </c>
      <c r="D11" s="171">
        <v>0</v>
      </c>
    </row>
    <row r="12" spans="2:5" x14ac:dyDescent="0.2">
      <c r="B12" s="172" t="s">
        <v>464</v>
      </c>
      <c r="C12" s="335">
        <f>+'ESTADOS DE RESULTADOS 30_06_22'!E40</f>
        <v>140588714</v>
      </c>
      <c r="D12" s="173">
        <v>0</v>
      </c>
    </row>
    <row r="13" spans="2:5" x14ac:dyDescent="0.2">
      <c r="B13" s="53"/>
      <c r="C13" s="174"/>
      <c r="D13" s="174"/>
    </row>
    <row r="14" spans="2:5" x14ac:dyDescent="0.2">
      <c r="B14" s="53" t="s">
        <v>213</v>
      </c>
      <c r="C14" s="1">
        <f>+'ESTADOS DE RESULTADOS 30_06_22'!E43</f>
        <v>0</v>
      </c>
      <c r="D14" s="1">
        <v>0</v>
      </c>
    </row>
    <row r="15" spans="2:5" x14ac:dyDescent="0.2">
      <c r="B15" s="37" t="s">
        <v>214</v>
      </c>
      <c r="C15" s="171">
        <f>+'ESTADOS DE RESULTADOS 30_06_22'!E44</f>
        <v>0</v>
      </c>
      <c r="D15" s="171">
        <v>0</v>
      </c>
    </row>
    <row r="16" spans="2:5" x14ac:dyDescent="0.2">
      <c r="B16" s="37" t="s">
        <v>215</v>
      </c>
      <c r="C16" s="171">
        <f>+'ESTADOS DE RESULTADOS 30_06_22'!E45</f>
        <v>0</v>
      </c>
      <c r="D16" s="171">
        <v>0</v>
      </c>
    </row>
    <row r="17" spans="2:4" x14ac:dyDescent="0.2">
      <c r="B17" s="37" t="s">
        <v>216</v>
      </c>
      <c r="C17" s="171">
        <f>+'ESTADOS DE RESULTADOS 30_06_22'!E46</f>
        <v>0</v>
      </c>
      <c r="D17" s="171">
        <v>0</v>
      </c>
    </row>
    <row r="18" spans="2:4" x14ac:dyDescent="0.2">
      <c r="B18" s="53"/>
      <c r="C18" s="174"/>
      <c r="D18" s="174"/>
    </row>
    <row r="19" spans="2:4" x14ac:dyDescent="0.2">
      <c r="B19" s="53" t="s">
        <v>217</v>
      </c>
      <c r="C19" s="1">
        <f>+C20+C24+C26</f>
        <v>405499682</v>
      </c>
      <c r="D19" s="1">
        <v>0</v>
      </c>
    </row>
    <row r="20" spans="2:4" x14ac:dyDescent="0.2">
      <c r="B20" s="494" t="str">
        <f>+'ESTADOS DE RESULTADOS 30_06_22'!C49</f>
        <v>Sueldos Y Otras Remuneraciones Al Personal</v>
      </c>
      <c r="C20" s="495">
        <f>+'ESTADOS DE RESULTADOS 30_06_22'!E49</f>
        <v>33848471</v>
      </c>
      <c r="D20" s="171">
        <v>0</v>
      </c>
    </row>
    <row r="21" spans="2:4" x14ac:dyDescent="0.2">
      <c r="B21" s="427" t="str">
        <f>+'ESTADOS DE RESULTADOS 30_06_22'!C50</f>
        <v>Sueldos Y Jornales</v>
      </c>
      <c r="C21" s="171">
        <f>+'ESTADOS DE RESULTADOS 30_06_22'!E50</f>
        <v>24250000</v>
      </c>
      <c r="D21" s="171">
        <v>0</v>
      </c>
    </row>
    <row r="22" spans="2:4" x14ac:dyDescent="0.2">
      <c r="B22" s="427" t="str">
        <f>+'ESTADOS DE RESULTADOS 30_06_22'!C51</f>
        <v>Aporte Patronal</v>
      </c>
      <c r="C22" s="171">
        <f>+'ESTADOS DE RESULTADOS 30_06_22'!E51</f>
        <v>4001250</v>
      </c>
      <c r="D22" s="171">
        <v>0</v>
      </c>
    </row>
    <row r="23" spans="2:4" x14ac:dyDescent="0.2">
      <c r="B23" s="427" t="str">
        <f>+'ESTADOS DE RESULTADOS 30_06_22'!C52</f>
        <v>Otros Beneficios Al Personal</v>
      </c>
      <c r="C23" s="171">
        <f>+'ESTADOS DE RESULTADOS 30_06_22'!E52</f>
        <v>5597221</v>
      </c>
      <c r="D23" s="171">
        <v>0</v>
      </c>
    </row>
    <row r="24" spans="2:4" x14ac:dyDescent="0.2">
      <c r="B24" s="494" t="str">
        <f>+'ESTADOS DE RESULTADOS 30_06_22'!C53</f>
        <v>Remuneración Personal Superior</v>
      </c>
      <c r="C24" s="495">
        <f>+'ESTADOS DE RESULTADOS 30_06_22'!E53</f>
        <v>315454548</v>
      </c>
      <c r="D24" s="171">
        <v>0</v>
      </c>
    </row>
    <row r="25" spans="2:4" x14ac:dyDescent="0.2">
      <c r="B25" s="427" t="str">
        <f>+'ESTADOS DE RESULTADOS 30_06_22'!C54</f>
        <v xml:space="preserve">Servicios Personales Independientes </v>
      </c>
      <c r="C25" s="171">
        <f>+'ESTADOS DE RESULTADOS 30_06_22'!E54</f>
        <v>315454548</v>
      </c>
      <c r="D25" s="171">
        <v>0</v>
      </c>
    </row>
    <row r="26" spans="2:4" s="158" customFormat="1" x14ac:dyDescent="0.2">
      <c r="B26" s="494" t="str">
        <f>+'ESTADOS DE RESULTADOS 30_06_22'!C55</f>
        <v>Servicios Prestados Por Terceros</v>
      </c>
      <c r="C26" s="495">
        <f>+'ESTADOS DE RESULTADOS 30_06_22'!E55</f>
        <v>56196663</v>
      </c>
      <c r="D26" s="174">
        <v>0</v>
      </c>
    </row>
    <row r="27" spans="2:4" x14ac:dyDescent="0.2">
      <c r="B27" s="427" t="str">
        <f>+'ESTADOS DE RESULTADOS 30_06_22'!C56</f>
        <v>Honorarios Profesionales</v>
      </c>
      <c r="C27" s="171">
        <f>+'ESTADOS DE RESULTADOS 30_06_22'!E56</f>
        <v>3863729</v>
      </c>
      <c r="D27" s="171">
        <v>0</v>
      </c>
    </row>
    <row r="28" spans="2:4" s="158" customFormat="1" x14ac:dyDescent="0.2">
      <c r="B28" s="427" t="str">
        <f>+'ESTADOS DE RESULTADOS 30_06_22'!C57</f>
        <v>Servicios Contratados Ire</v>
      </c>
      <c r="C28" s="171">
        <f>+'ESTADOS DE RESULTADOS 30_06_22'!E57</f>
        <v>41991933</v>
      </c>
      <c r="D28" s="428">
        <v>0</v>
      </c>
    </row>
    <row r="29" spans="2:4" x14ac:dyDescent="0.2">
      <c r="B29" s="427" t="str">
        <f>+'ESTADOS DE RESULTADOS 30_06_22'!C58</f>
        <v>Servicios Personales Irp</v>
      </c>
      <c r="C29" s="171">
        <f>+'ESTADOS DE RESULTADOS 30_06_22'!E58</f>
        <v>245455</v>
      </c>
      <c r="D29" s="171">
        <v>0</v>
      </c>
    </row>
    <row r="30" spans="2:4" x14ac:dyDescent="0.2">
      <c r="B30" s="427" t="str">
        <f>+'ESTADOS DE RESULTADOS 30_06_22'!C59</f>
        <v>Agua, Luz, Teléfono E Internet</v>
      </c>
      <c r="C30" s="171">
        <f>+'ESTADOS DE RESULTADOS 30_06_22'!E59</f>
        <v>2821334</v>
      </c>
      <c r="D30" s="171">
        <v>0</v>
      </c>
    </row>
    <row r="31" spans="2:4" x14ac:dyDescent="0.2">
      <c r="B31" s="427" t="str">
        <f>+'ESTADOS DE RESULTADOS 30_06_22'!C60</f>
        <v>Refrigerio Y Cafeteria</v>
      </c>
      <c r="C31" s="171">
        <f>+'ESTADOS DE RESULTADOS 30_06_22'!E60</f>
        <v>69864</v>
      </c>
      <c r="D31" s="175">
        <v>0</v>
      </c>
    </row>
    <row r="32" spans="2:4" x14ac:dyDescent="0.2">
      <c r="B32" s="427" t="str">
        <f>+'ESTADOS DE RESULTADOS 30_06_22'!C61</f>
        <v>Comunicaciones Y Progagandas</v>
      </c>
      <c r="C32" s="171">
        <f>+'ESTADOS DE RESULTADOS 30_06_22'!E61</f>
        <v>1090909</v>
      </c>
      <c r="D32" s="171">
        <v>0</v>
      </c>
    </row>
    <row r="33" spans="2:4" x14ac:dyDescent="0.2">
      <c r="B33" s="427" t="str">
        <f>+'ESTADOS DE RESULTADOS 30_06_22'!C62</f>
        <v>Papeleria E Impresos</v>
      </c>
      <c r="C33" s="171">
        <f>+'ESTADOS DE RESULTADOS 30_06_22'!E62</f>
        <v>458364</v>
      </c>
      <c r="D33" s="171">
        <v>0</v>
      </c>
    </row>
    <row r="34" spans="2:4" x14ac:dyDescent="0.2">
      <c r="B34" s="427" t="str">
        <f>+'ESTADOS DE RESULTADOS 30_06_22'!C63</f>
        <v>Gastos No Deducibles</v>
      </c>
      <c r="C34" s="171">
        <f>+'ESTADOS DE RESULTADOS 30_06_22'!E63</f>
        <v>136685</v>
      </c>
      <c r="D34" s="171">
        <v>0</v>
      </c>
    </row>
    <row r="35" spans="2:4" x14ac:dyDescent="0.2">
      <c r="B35" s="494" t="str">
        <f>+'ESTADOS DE RESULTADOS 30_06_22'!C68</f>
        <v>Gastos De Impuestos</v>
      </c>
      <c r="C35" s="495">
        <f>+'ESTADOS DE RESULTADOS 30_06_22'!E68</f>
        <v>1609818</v>
      </c>
      <c r="D35" s="171">
        <v>0</v>
      </c>
    </row>
    <row r="36" spans="2:4" x14ac:dyDescent="0.2">
      <c r="B36" s="427" t="str">
        <f>+'ESTADOS DE RESULTADOS 30_06_22'!C69</f>
        <v>Multas Y Sanciones</v>
      </c>
      <c r="C36" s="171">
        <f>+'ESTADOS DE RESULTADOS 30_06_22'!E69</f>
        <v>9818</v>
      </c>
      <c r="D36" s="171">
        <v>0</v>
      </c>
    </row>
    <row r="37" spans="2:4" x14ac:dyDescent="0.2">
      <c r="B37" s="427" t="str">
        <f>+'ESTADOS DE RESULTADOS 30_06_22'!C70</f>
        <v>Impuestos, Patentes, Tasas Y Otras Contr</v>
      </c>
      <c r="C37" s="171">
        <f>+'ESTADOS DE RESULTADOS 30_06_22'!E70</f>
        <v>1600000</v>
      </c>
      <c r="D37" s="171"/>
    </row>
  </sheetData>
  <mergeCells count="2">
    <mergeCell ref="B1:D1"/>
    <mergeCell ref="B5:D5"/>
  </mergeCells>
  <hyperlinks>
    <hyperlink ref="B3" location="'ESTADOS DE RESULTADOS 30_06_22'!A1" display="w) Otros Gastos Operativos, de comercialización y de administración" xr:uid="{442B7E06-4CFF-4B10-A54A-78022907AB1C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>
    <tabColor rgb="FF002060"/>
  </sheetPr>
  <dimension ref="B1:D12"/>
  <sheetViews>
    <sheetView showGridLines="0" zoomScaleNormal="100" workbookViewId="0">
      <selection activeCell="E77" sqref="E77"/>
    </sheetView>
  </sheetViews>
  <sheetFormatPr baseColWidth="10" defaultColWidth="11.42578125" defaultRowHeight="12" x14ac:dyDescent="0.2"/>
  <cols>
    <col min="1" max="1" width="7.28515625" style="29" customWidth="1"/>
    <col min="2" max="2" width="37.7109375" style="29" bestFit="1" customWidth="1"/>
    <col min="3" max="3" width="13.7109375" style="29" bestFit="1" customWidth="1"/>
    <col min="4" max="4" width="13.28515625" style="29" bestFit="1" customWidth="1"/>
    <col min="5" max="16384" width="11.42578125" style="29"/>
  </cols>
  <sheetData>
    <row r="1" spans="2:4" ht="15" x14ac:dyDescent="0.25">
      <c r="B1" s="188"/>
    </row>
    <row r="2" spans="2:4" ht="15" x14ac:dyDescent="0.25">
      <c r="B2" s="377"/>
    </row>
    <row r="3" spans="2:4" ht="15" x14ac:dyDescent="0.25">
      <c r="B3" s="399" t="s">
        <v>688</v>
      </c>
    </row>
    <row r="4" spans="2:4" x14ac:dyDescent="0.2">
      <c r="B4" s="101"/>
    </row>
    <row r="5" spans="2:4" x14ac:dyDescent="0.2">
      <c r="B5" s="712" t="s">
        <v>637</v>
      </c>
      <c r="C5" s="712"/>
      <c r="D5" s="712"/>
    </row>
    <row r="7" spans="2:4" x14ac:dyDescent="0.2">
      <c r="B7" s="184" t="s">
        <v>352</v>
      </c>
      <c r="C7" s="184" t="str">
        <f>+'NOTA W OTROS GASTOS OPER'!C7</f>
        <v>Al 30/6/2022</v>
      </c>
      <c r="D7" s="184" t="str">
        <f>+'NOTA W OTROS GASTOS OPER'!D7</f>
        <v>Al 30/6/2021</v>
      </c>
    </row>
    <row r="8" spans="2:4" x14ac:dyDescent="0.2">
      <c r="B8" s="53" t="s">
        <v>222</v>
      </c>
      <c r="C8" s="176">
        <f>+C9</f>
        <v>0</v>
      </c>
      <c r="D8" s="108">
        <v>0</v>
      </c>
    </row>
    <row r="9" spans="2:4" x14ac:dyDescent="0.2">
      <c r="B9" s="37" t="s">
        <v>222</v>
      </c>
      <c r="C9" s="177">
        <f>+'ESTADOS DE RESULTADOS 30_06_22'!E77</f>
        <v>0</v>
      </c>
      <c r="D9" s="57">
        <v>0</v>
      </c>
    </row>
    <row r="10" spans="2:4" x14ac:dyDescent="0.2">
      <c r="B10" s="53" t="s">
        <v>221</v>
      </c>
      <c r="C10" s="176">
        <f>+C11</f>
        <v>196454547</v>
      </c>
      <c r="D10" s="108">
        <v>0</v>
      </c>
    </row>
    <row r="11" spans="2:4" x14ac:dyDescent="0.2">
      <c r="B11" s="37" t="s">
        <v>221</v>
      </c>
      <c r="C11" s="177">
        <f>+'ESTADOS DE RESULTADOS 30_06_22'!E76</f>
        <v>196454547</v>
      </c>
      <c r="D11" s="57">
        <v>0</v>
      </c>
    </row>
    <row r="12" spans="2:4" x14ac:dyDescent="0.2">
      <c r="B12" s="53" t="s">
        <v>462</v>
      </c>
      <c r="C12" s="176">
        <v>0</v>
      </c>
      <c r="D12" s="108">
        <v>0</v>
      </c>
    </row>
  </sheetData>
  <mergeCells count="1">
    <mergeCell ref="B5:D5"/>
  </mergeCells>
  <hyperlinks>
    <hyperlink ref="B3" location="'ESTADOS DE RESULTADOS 30_06_22'!A1" display="x)       Otros Ingresos y Egresos" xr:uid="{1D63381C-A472-4830-ABBB-9AF62F31765E}"/>
  </hyperlinks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5">
    <tabColor rgb="FF002060"/>
  </sheetPr>
  <dimension ref="B1:D18"/>
  <sheetViews>
    <sheetView showGridLines="0" zoomScale="115" zoomScaleNormal="115" workbookViewId="0">
      <selection activeCell="E77" sqref="E77"/>
    </sheetView>
  </sheetViews>
  <sheetFormatPr baseColWidth="10" defaultColWidth="11.42578125" defaultRowHeight="12" x14ac:dyDescent="0.2"/>
  <cols>
    <col min="1" max="1" width="17.7109375" style="29" customWidth="1"/>
    <col min="2" max="2" width="37.7109375" style="29" bestFit="1" customWidth="1"/>
    <col min="3" max="4" width="14.28515625" style="29" bestFit="1" customWidth="1"/>
    <col min="5" max="16384" width="11.42578125" style="29"/>
  </cols>
  <sheetData>
    <row r="1" spans="2:4" ht="15" x14ac:dyDescent="0.25">
      <c r="B1" s="188"/>
    </row>
    <row r="3" spans="2:4" ht="15" x14ac:dyDescent="0.25">
      <c r="B3" s="399" t="s">
        <v>689</v>
      </c>
    </row>
    <row r="4" spans="2:4" x14ac:dyDescent="0.2">
      <c r="B4" s="101"/>
    </row>
    <row r="5" spans="2:4" x14ac:dyDescent="0.2">
      <c r="B5" s="712" t="s">
        <v>637</v>
      </c>
      <c r="C5" s="712"/>
      <c r="D5" s="712"/>
    </row>
    <row r="7" spans="2:4" x14ac:dyDescent="0.2">
      <c r="B7" s="109" t="s">
        <v>352</v>
      </c>
      <c r="C7" s="109" t="str">
        <f>+'NOTA W OTROS GASTOS OPER'!C7</f>
        <v>Al 30/6/2022</v>
      </c>
      <c r="D7" s="109" t="str">
        <f>+'NOTA W OTROS GASTOS OPER'!D7</f>
        <v>Al 30/6/2021</v>
      </c>
    </row>
    <row r="8" spans="2:4" x14ac:dyDescent="0.2">
      <c r="B8" s="53" t="s">
        <v>466</v>
      </c>
      <c r="C8" s="57"/>
      <c r="D8" s="57"/>
    </row>
    <row r="9" spans="2:4" x14ac:dyDescent="0.2">
      <c r="B9" s="37" t="s">
        <v>467</v>
      </c>
      <c r="C9" s="57">
        <f>+'ESTADOS DE RESULTADOS 30_06_22'!E82</f>
        <v>341343383</v>
      </c>
      <c r="D9" s="57">
        <v>0</v>
      </c>
    </row>
    <row r="10" spans="2:4" x14ac:dyDescent="0.2">
      <c r="B10" s="37" t="s">
        <v>225</v>
      </c>
      <c r="C10" s="57">
        <f>+'ESTADOS DE RESULTADOS 30_06_22'!E83</f>
        <v>1371296</v>
      </c>
      <c r="D10" s="57">
        <v>0</v>
      </c>
    </row>
    <row r="11" spans="2:4" x14ac:dyDescent="0.2">
      <c r="B11" s="53" t="s">
        <v>462</v>
      </c>
      <c r="C11" s="108">
        <f>SUM(C9:C10)</f>
        <v>342714679</v>
      </c>
      <c r="D11" s="108">
        <v>0</v>
      </c>
    </row>
    <row r="12" spans="2:4" x14ac:dyDescent="0.2">
      <c r="B12" s="53" t="s">
        <v>468</v>
      </c>
      <c r="C12" s="57"/>
      <c r="D12" s="57"/>
    </row>
    <row r="13" spans="2:4" x14ac:dyDescent="0.2">
      <c r="B13" s="37" t="s">
        <v>469</v>
      </c>
      <c r="C13" s="95">
        <f>-'ESTADOS DE RESULTADOS 30_06_22'!E85</f>
        <v>-4105655</v>
      </c>
      <c r="D13" s="95">
        <v>0</v>
      </c>
    </row>
    <row r="14" spans="2:4" x14ac:dyDescent="0.2">
      <c r="B14" s="37" t="s">
        <v>225</v>
      </c>
      <c r="C14" s="95">
        <f>-'ESTADOS DE RESULTADOS 30_06_22'!E86</f>
        <v>-1219060</v>
      </c>
      <c r="D14" s="95">
        <v>0</v>
      </c>
    </row>
    <row r="15" spans="2:4" x14ac:dyDescent="0.2">
      <c r="B15" s="53" t="s">
        <v>462</v>
      </c>
      <c r="C15" s="174">
        <f>SUM(C13:C14)</f>
        <v>-5324715</v>
      </c>
      <c r="D15" s="108">
        <v>0</v>
      </c>
    </row>
    <row r="18" spans="3:3" x14ac:dyDescent="0.2">
      <c r="C18" s="59">
        <f>+C11+C15-'ESTADOS DE RESULTADOS 30_06_22'!E79</f>
        <v>0</v>
      </c>
    </row>
  </sheetData>
  <mergeCells count="1">
    <mergeCell ref="B5:D5"/>
  </mergeCells>
  <hyperlinks>
    <hyperlink ref="B3" location="'ESTADOS DE RESULTADOS 30_06_22'!A1" display="y)       Resultados Financieros" xr:uid="{F06DB941-09F5-4CCD-9096-F6969776BCE9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6">
    <tabColor rgb="FF002060"/>
  </sheetPr>
  <dimension ref="B1:D16"/>
  <sheetViews>
    <sheetView showGridLines="0" zoomScaleNormal="100" workbookViewId="0">
      <selection activeCell="E77" sqref="E77"/>
    </sheetView>
  </sheetViews>
  <sheetFormatPr baseColWidth="10" defaultColWidth="11.42578125" defaultRowHeight="12" x14ac:dyDescent="0.2"/>
  <cols>
    <col min="1" max="1" width="23.85546875" style="29" customWidth="1"/>
    <col min="2" max="2" width="37.7109375" style="29" bestFit="1" customWidth="1"/>
    <col min="3" max="3" width="13.7109375" style="29" bestFit="1" customWidth="1"/>
    <col min="4" max="4" width="13.28515625" style="29" bestFit="1" customWidth="1"/>
    <col min="5" max="16384" width="11.42578125" style="29"/>
  </cols>
  <sheetData>
    <row r="1" spans="2:4" ht="15" x14ac:dyDescent="0.25">
      <c r="B1" s="188"/>
    </row>
    <row r="3" spans="2:4" ht="15" x14ac:dyDescent="0.25">
      <c r="B3" s="399" t="s">
        <v>690</v>
      </c>
    </row>
    <row r="5" spans="2:4" x14ac:dyDescent="0.2">
      <c r="B5" s="712" t="s">
        <v>637</v>
      </c>
      <c r="C5" s="712"/>
      <c r="D5" s="712"/>
    </row>
    <row r="7" spans="2:4" x14ac:dyDescent="0.2">
      <c r="B7" s="184" t="s">
        <v>352</v>
      </c>
      <c r="C7" s="184" t="str">
        <f>+'NOTA Y RESULTADOS FINANC'!C7</f>
        <v>Al 30/6/2022</v>
      </c>
      <c r="D7" s="184" t="str">
        <f>+'NOTA W OTROS GASTOS OPER'!D7</f>
        <v>Al 30/6/2021</v>
      </c>
    </row>
    <row r="8" spans="2:4" x14ac:dyDescent="0.2">
      <c r="B8" s="53" t="s">
        <v>470</v>
      </c>
      <c r="C8" s="53"/>
      <c r="D8" s="53"/>
    </row>
    <row r="9" spans="2:4" x14ac:dyDescent="0.2">
      <c r="B9" s="37" t="s">
        <v>471</v>
      </c>
      <c r="C9" s="178">
        <v>0</v>
      </c>
      <c r="D9" s="177">
        <v>0</v>
      </c>
    </row>
    <row r="10" spans="2:4" x14ac:dyDescent="0.2">
      <c r="B10" s="53" t="s">
        <v>462</v>
      </c>
      <c r="C10" s="179">
        <f>SUM(C9)</f>
        <v>0</v>
      </c>
      <c r="D10" s="179">
        <f>SUM(D9)</f>
        <v>0</v>
      </c>
    </row>
    <row r="11" spans="2:4" x14ac:dyDescent="0.2">
      <c r="B11" s="53" t="s">
        <v>472</v>
      </c>
      <c r="C11" s="53"/>
      <c r="D11" s="53"/>
    </row>
    <row r="12" spans="2:4" x14ac:dyDescent="0.2">
      <c r="B12" s="37" t="s">
        <v>473</v>
      </c>
      <c r="C12" s="178">
        <v>0</v>
      </c>
      <c r="D12" s="178">
        <v>0</v>
      </c>
    </row>
    <row r="13" spans="2:4" x14ac:dyDescent="0.2">
      <c r="B13" s="53" t="s">
        <v>462</v>
      </c>
      <c r="C13" s="179">
        <f>SUM(C12)</f>
        <v>0</v>
      </c>
      <c r="D13" s="179">
        <f>SUM(D12)</f>
        <v>0</v>
      </c>
    </row>
    <row r="16" spans="2:4" x14ac:dyDescent="0.2">
      <c r="C16" s="59">
        <f>+C13-'ESTADOS DE RESULTADOS 30_06_22'!E88</f>
        <v>0</v>
      </c>
    </row>
  </sheetData>
  <mergeCells count="1">
    <mergeCell ref="B5:D5"/>
  </mergeCells>
  <hyperlinks>
    <hyperlink ref="B3" location="'ESTADOS DE RESULTADOS 30_06_22'!A1" display="z)  Resultados Extraordinarios " xr:uid="{DC8EE314-95F9-4287-9659-3ED24EF51C04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68"/>
  <sheetViews>
    <sheetView showGridLines="0" topLeftCell="A59" zoomScale="120" zoomScaleNormal="120" workbookViewId="0">
      <selection activeCell="E77" sqref="E77"/>
    </sheetView>
  </sheetViews>
  <sheetFormatPr baseColWidth="10" defaultColWidth="11.28515625" defaultRowHeight="12.75" x14ac:dyDescent="0.2"/>
  <cols>
    <col min="1" max="1" width="21.28515625" style="5" bestFit="1" customWidth="1"/>
    <col min="2" max="2" width="10.140625" style="5" bestFit="1" customWidth="1"/>
    <col min="3" max="3" width="42" style="5" bestFit="1" customWidth="1"/>
    <col min="4" max="4" width="39.28515625" style="7" bestFit="1" customWidth="1"/>
    <col min="5" max="5" width="49.85546875" style="5" bestFit="1" customWidth="1"/>
    <col min="6" max="6" width="6.7109375" style="5" bestFit="1" customWidth="1"/>
    <col min="7" max="8" width="0" style="5" hidden="1" customWidth="1"/>
    <col min="9" max="9" width="15" style="5" hidden="1" customWidth="1"/>
    <col min="10" max="11" width="0" style="5" hidden="1" customWidth="1"/>
    <col min="12" max="16384" width="11.28515625" style="5"/>
  </cols>
  <sheetData>
    <row r="1" spans="1:10" ht="55.15" customHeight="1" x14ac:dyDescent="0.25">
      <c r="G1" s="508" t="s">
        <v>905</v>
      </c>
      <c r="H1" s="508" t="s">
        <v>907</v>
      </c>
    </row>
    <row r="2" spans="1:10" ht="14.45" customHeight="1" x14ac:dyDescent="0.2">
      <c r="B2" s="678" t="s">
        <v>543</v>
      </c>
      <c r="C2" s="678"/>
      <c r="D2" s="678"/>
      <c r="G2" s="5" t="s">
        <v>1003</v>
      </c>
      <c r="I2" s="640" t="s">
        <v>1042</v>
      </c>
      <c r="J2" s="640" t="s">
        <v>1043</v>
      </c>
    </row>
    <row r="3" spans="1:10" ht="14.45" customHeight="1" x14ac:dyDescent="0.2">
      <c r="B3" s="678" t="s">
        <v>693</v>
      </c>
      <c r="C3" s="678"/>
      <c r="D3" s="678"/>
      <c r="G3" s="5" t="s">
        <v>1004</v>
      </c>
      <c r="I3" s="640" t="s">
        <v>1040</v>
      </c>
      <c r="J3" s="640" t="s">
        <v>1041</v>
      </c>
    </row>
    <row r="6" spans="1:10" ht="40.9" customHeight="1" x14ac:dyDescent="0.25">
      <c r="A6" s="6" t="s">
        <v>0</v>
      </c>
      <c r="B6" s="677">
        <v>44742</v>
      </c>
      <c r="C6" s="677"/>
      <c r="D6" s="677"/>
    </row>
    <row r="7" spans="1:10" ht="12.75" hidden="1" customHeight="1" x14ac:dyDescent="0.2">
      <c r="A7" s="8"/>
      <c r="B7" s="8"/>
      <c r="C7" s="8"/>
      <c r="D7" s="9"/>
    </row>
    <row r="8" spans="1:10" x14ac:dyDescent="0.2">
      <c r="A8" s="10"/>
    </row>
    <row r="9" spans="1:10" ht="26.25" customHeight="1" x14ac:dyDescent="0.2">
      <c r="B9" s="11"/>
      <c r="C9" s="12" t="s">
        <v>1</v>
      </c>
      <c r="D9" s="13" t="s">
        <v>2</v>
      </c>
    </row>
    <row r="10" spans="1:10" ht="26.25" customHeight="1" x14ac:dyDescent="0.2">
      <c r="B10" s="14" t="s">
        <v>3</v>
      </c>
      <c r="C10" s="15"/>
      <c r="D10" s="4"/>
    </row>
    <row r="11" spans="1:10" ht="26.25" customHeight="1" x14ac:dyDescent="0.2">
      <c r="B11" s="16"/>
      <c r="C11" s="15"/>
      <c r="D11" s="17"/>
    </row>
    <row r="12" spans="1:10" ht="26.25" customHeight="1" x14ac:dyDescent="0.2">
      <c r="B12" s="14" t="s">
        <v>4</v>
      </c>
      <c r="C12" s="18"/>
      <c r="D12" s="17"/>
    </row>
    <row r="13" spans="1:10" x14ac:dyDescent="0.2">
      <c r="A13" s="7"/>
      <c r="B13" s="16"/>
      <c r="C13" s="5" t="s">
        <v>5</v>
      </c>
      <c r="D13" s="2" t="s">
        <v>485</v>
      </c>
    </row>
    <row r="14" spans="1:10" x14ac:dyDescent="0.2">
      <c r="A14" s="7"/>
      <c r="B14" s="16"/>
      <c r="C14" s="5" t="s">
        <v>6</v>
      </c>
      <c r="D14" s="2" t="s">
        <v>486</v>
      </c>
    </row>
    <row r="15" spans="1:10" x14ac:dyDescent="0.2">
      <c r="A15" s="7"/>
      <c r="B15" s="16"/>
      <c r="C15" s="5" t="s">
        <v>7</v>
      </c>
      <c r="D15" s="2" t="s">
        <v>487</v>
      </c>
    </row>
    <row r="16" spans="1:10" x14ac:dyDescent="0.2">
      <c r="A16" s="7"/>
      <c r="B16" s="16"/>
      <c r="C16" s="5" t="s">
        <v>8</v>
      </c>
      <c r="D16" s="2" t="s">
        <v>488</v>
      </c>
    </row>
    <row r="17" spans="1:4" x14ac:dyDescent="0.2">
      <c r="A17" s="7"/>
      <c r="B17" s="16"/>
      <c r="C17" s="5" t="s">
        <v>9</v>
      </c>
      <c r="D17" s="2" t="s">
        <v>489</v>
      </c>
    </row>
    <row r="18" spans="1:4" x14ac:dyDescent="0.2">
      <c r="A18" s="7"/>
      <c r="B18" s="16"/>
      <c r="C18" s="5" t="s">
        <v>10</v>
      </c>
      <c r="D18" s="2" t="s">
        <v>490</v>
      </c>
    </row>
    <row r="19" spans="1:4" ht="15" x14ac:dyDescent="0.25">
      <c r="A19" s="7"/>
      <c r="B19" s="16"/>
      <c r="C19" s="5" t="s">
        <v>11</v>
      </c>
      <c r="D19" s="19" t="s">
        <v>891</v>
      </c>
    </row>
    <row r="20" spans="1:4" ht="15" x14ac:dyDescent="0.25">
      <c r="A20" s="7"/>
      <c r="B20" s="16"/>
      <c r="C20" s="5" t="s">
        <v>12</v>
      </c>
      <c r="D20" s="19" t="s">
        <v>891</v>
      </c>
    </row>
    <row r="21" spans="1:4" ht="15" x14ac:dyDescent="0.25">
      <c r="A21" s="7"/>
      <c r="B21" s="16"/>
      <c r="C21" s="5" t="s">
        <v>13</v>
      </c>
      <c r="D21" s="19" t="s">
        <v>891</v>
      </c>
    </row>
    <row r="22" spans="1:4" ht="15" x14ac:dyDescent="0.25">
      <c r="A22" s="7"/>
      <c r="B22" s="16"/>
      <c r="D22" s="19"/>
    </row>
    <row r="23" spans="1:4" ht="15" x14ac:dyDescent="0.25">
      <c r="A23" s="7"/>
      <c r="B23" s="14" t="s">
        <v>14</v>
      </c>
      <c r="D23" s="20"/>
    </row>
    <row r="24" spans="1:4" x14ac:dyDescent="0.2">
      <c r="A24" s="7"/>
      <c r="B24" s="16"/>
      <c r="D24" s="21"/>
    </row>
    <row r="25" spans="1:4" x14ac:dyDescent="0.2">
      <c r="A25" s="7"/>
      <c r="B25" s="16"/>
      <c r="C25" s="22" t="s">
        <v>15</v>
      </c>
      <c r="D25" s="2" t="s">
        <v>492</v>
      </c>
    </row>
    <row r="26" spans="1:4" x14ac:dyDescent="0.2">
      <c r="A26" s="7"/>
      <c r="B26" s="16"/>
      <c r="C26" s="22" t="s">
        <v>16</v>
      </c>
      <c r="D26" s="2" t="s">
        <v>493</v>
      </c>
    </row>
    <row r="27" spans="1:4" x14ac:dyDescent="0.2">
      <c r="A27" s="7"/>
      <c r="B27" s="16"/>
      <c r="C27" s="22" t="s">
        <v>17</v>
      </c>
      <c r="D27" s="2" t="s">
        <v>491</v>
      </c>
    </row>
    <row r="28" spans="1:4" x14ac:dyDescent="0.2">
      <c r="A28" s="7"/>
      <c r="B28" s="16"/>
      <c r="C28" s="22" t="s">
        <v>18</v>
      </c>
      <c r="D28" s="2" t="s">
        <v>491</v>
      </c>
    </row>
    <row r="29" spans="1:4" x14ac:dyDescent="0.2">
      <c r="A29" s="7"/>
      <c r="B29" s="16"/>
      <c r="C29" s="22" t="s">
        <v>19</v>
      </c>
      <c r="D29" s="3"/>
    </row>
    <row r="30" spans="1:4" x14ac:dyDescent="0.2">
      <c r="A30" s="7"/>
      <c r="B30" s="16"/>
      <c r="C30" s="5" t="s">
        <v>20</v>
      </c>
      <c r="D30" s="2" t="s">
        <v>494</v>
      </c>
    </row>
    <row r="31" spans="1:4" x14ac:dyDescent="0.2">
      <c r="A31" s="7"/>
      <c r="B31" s="16"/>
      <c r="C31" s="5" t="s">
        <v>21</v>
      </c>
      <c r="D31" s="2" t="s">
        <v>494</v>
      </c>
    </row>
    <row r="32" spans="1:4" x14ac:dyDescent="0.2">
      <c r="A32" s="7"/>
      <c r="B32" s="16"/>
      <c r="C32" s="5" t="s">
        <v>22</v>
      </c>
      <c r="D32" s="2" t="s">
        <v>494</v>
      </c>
    </row>
    <row r="33" spans="1:4" x14ac:dyDescent="0.2">
      <c r="A33" s="7"/>
      <c r="B33" s="16"/>
      <c r="C33" s="5" t="s">
        <v>23</v>
      </c>
      <c r="D33" s="2" t="s">
        <v>495</v>
      </c>
    </row>
    <row r="34" spans="1:4" x14ac:dyDescent="0.2">
      <c r="A34" s="7"/>
      <c r="B34" s="16"/>
      <c r="C34" s="5" t="s">
        <v>24</v>
      </c>
      <c r="D34" s="2" t="s">
        <v>496</v>
      </c>
    </row>
    <row r="35" spans="1:4" x14ac:dyDescent="0.2">
      <c r="A35" s="7"/>
      <c r="B35" s="16"/>
      <c r="C35" s="5" t="s">
        <v>25</v>
      </c>
      <c r="D35" s="2" t="s">
        <v>497</v>
      </c>
    </row>
    <row r="36" spans="1:4" x14ac:dyDescent="0.2">
      <c r="A36" s="7"/>
      <c r="B36" s="16"/>
      <c r="C36" s="5" t="s">
        <v>26</v>
      </c>
      <c r="D36" s="2" t="s">
        <v>498</v>
      </c>
    </row>
    <row r="37" spans="1:4" x14ac:dyDescent="0.2">
      <c r="A37" s="7"/>
      <c r="B37" s="16"/>
      <c r="C37" s="5" t="s">
        <v>27</v>
      </c>
      <c r="D37" s="2" t="s">
        <v>499</v>
      </c>
    </row>
    <row r="38" spans="1:4" x14ac:dyDescent="0.2">
      <c r="A38" s="7"/>
      <c r="B38" s="16"/>
      <c r="C38" s="5" t="s">
        <v>28</v>
      </c>
      <c r="D38" s="2" t="s">
        <v>500</v>
      </c>
    </row>
    <row r="39" spans="1:4" x14ac:dyDescent="0.2">
      <c r="A39" s="7"/>
      <c r="B39" s="16"/>
      <c r="C39" s="5" t="s">
        <v>29</v>
      </c>
      <c r="D39" s="2" t="s">
        <v>501</v>
      </c>
    </row>
    <row r="40" spans="1:4" x14ac:dyDescent="0.2">
      <c r="A40" s="7"/>
      <c r="B40" s="16"/>
      <c r="C40" s="5" t="s">
        <v>30</v>
      </c>
      <c r="D40" s="2" t="s">
        <v>502</v>
      </c>
    </row>
    <row r="41" spans="1:4" x14ac:dyDescent="0.2">
      <c r="A41" s="7"/>
      <c r="B41" s="16"/>
      <c r="C41" s="5" t="s">
        <v>31</v>
      </c>
      <c r="D41" s="2" t="s">
        <v>503</v>
      </c>
    </row>
    <row r="42" spans="1:4" x14ac:dyDescent="0.2">
      <c r="A42" s="7"/>
      <c r="B42" s="16"/>
      <c r="C42" s="5" t="s">
        <v>32</v>
      </c>
      <c r="D42" s="2" t="s">
        <v>504</v>
      </c>
    </row>
    <row r="43" spans="1:4" x14ac:dyDescent="0.2">
      <c r="A43" s="7"/>
      <c r="B43" s="16"/>
      <c r="C43" s="5" t="s">
        <v>33</v>
      </c>
      <c r="D43" s="2" t="s">
        <v>504</v>
      </c>
    </row>
    <row r="44" spans="1:4" x14ac:dyDescent="0.2">
      <c r="A44" s="7"/>
      <c r="B44" s="16"/>
      <c r="C44" s="5" t="s">
        <v>34</v>
      </c>
      <c r="D44" s="2" t="s">
        <v>504</v>
      </c>
    </row>
    <row r="45" spans="1:4" x14ac:dyDescent="0.2">
      <c r="A45" s="7"/>
      <c r="B45" s="16"/>
      <c r="C45" s="5" t="s">
        <v>35</v>
      </c>
      <c r="D45" s="2" t="s">
        <v>504</v>
      </c>
    </row>
    <row r="46" spans="1:4" x14ac:dyDescent="0.2">
      <c r="A46" s="7"/>
      <c r="B46" s="16"/>
      <c r="C46" s="5" t="s">
        <v>36</v>
      </c>
      <c r="D46" s="2" t="s">
        <v>504</v>
      </c>
    </row>
    <row r="47" spans="1:4" x14ac:dyDescent="0.2">
      <c r="A47" s="7"/>
      <c r="B47" s="16"/>
      <c r="C47" s="5" t="s">
        <v>37</v>
      </c>
      <c r="D47" s="2" t="s">
        <v>505</v>
      </c>
    </row>
    <row r="48" spans="1:4" x14ac:dyDescent="0.2">
      <c r="A48" s="7"/>
      <c r="B48" s="16"/>
      <c r="C48" s="5" t="s">
        <v>38</v>
      </c>
      <c r="D48" s="2" t="s">
        <v>506</v>
      </c>
    </row>
    <row r="49" spans="1:4" x14ac:dyDescent="0.2">
      <c r="A49" s="7"/>
      <c r="B49" s="16"/>
      <c r="C49" s="5" t="s">
        <v>39</v>
      </c>
      <c r="D49" s="2" t="s">
        <v>507</v>
      </c>
    </row>
    <row r="50" spans="1:4" x14ac:dyDescent="0.2">
      <c r="A50" s="7"/>
      <c r="B50" s="16"/>
      <c r="C50" s="5" t="s">
        <v>40</v>
      </c>
      <c r="D50" s="2" t="s">
        <v>507</v>
      </c>
    </row>
    <row r="51" spans="1:4" x14ac:dyDescent="0.2">
      <c r="A51" s="7"/>
      <c r="B51" s="16"/>
      <c r="C51" s="5" t="s">
        <v>41</v>
      </c>
      <c r="D51" s="2" t="s">
        <v>508</v>
      </c>
    </row>
    <row r="52" spans="1:4" x14ac:dyDescent="0.2">
      <c r="A52" s="7"/>
      <c r="B52" s="14"/>
      <c r="C52" s="5" t="s">
        <v>42</v>
      </c>
      <c r="D52" s="2" t="s">
        <v>509</v>
      </c>
    </row>
    <row r="53" spans="1:4" x14ac:dyDescent="0.2">
      <c r="A53" s="7"/>
      <c r="B53" s="16"/>
      <c r="C53" s="5" t="s">
        <v>43</v>
      </c>
      <c r="D53" s="2" t="s">
        <v>510</v>
      </c>
    </row>
    <row r="54" spans="1:4" x14ac:dyDescent="0.2">
      <c r="A54" s="7"/>
      <c r="B54" s="16"/>
      <c r="C54" s="5" t="s">
        <v>44</v>
      </c>
      <c r="D54" s="2" t="s">
        <v>511</v>
      </c>
    </row>
    <row r="55" spans="1:4" x14ac:dyDescent="0.2">
      <c r="A55" s="7"/>
      <c r="B55" s="16"/>
      <c r="C55" s="5" t="s">
        <v>45</v>
      </c>
      <c r="D55" s="2" t="s">
        <v>512</v>
      </c>
    </row>
    <row r="56" spans="1:4" x14ac:dyDescent="0.2">
      <c r="A56" s="7"/>
      <c r="B56" s="16"/>
      <c r="D56" s="3"/>
    </row>
    <row r="57" spans="1:4" x14ac:dyDescent="0.2">
      <c r="A57" s="7"/>
      <c r="B57" s="16"/>
      <c r="C57" s="22" t="s">
        <v>46</v>
      </c>
      <c r="D57" s="2" t="s">
        <v>513</v>
      </c>
    </row>
    <row r="58" spans="1:4" x14ac:dyDescent="0.2">
      <c r="A58" s="7"/>
      <c r="B58" s="16"/>
      <c r="C58" s="5" t="s">
        <v>47</v>
      </c>
      <c r="D58" s="3"/>
    </row>
    <row r="59" spans="1:4" x14ac:dyDescent="0.2">
      <c r="A59" s="7"/>
      <c r="B59" s="16"/>
      <c r="C59" s="5" t="s">
        <v>48</v>
      </c>
      <c r="D59" s="3"/>
    </row>
    <row r="60" spans="1:4" ht="15" x14ac:dyDescent="0.25">
      <c r="A60" s="7"/>
      <c r="B60" s="16"/>
      <c r="C60" s="5" t="s">
        <v>49</v>
      </c>
      <c r="D60" s="19"/>
    </row>
    <row r="61" spans="1:4" ht="15" x14ac:dyDescent="0.25">
      <c r="A61" s="7"/>
      <c r="B61" s="16"/>
      <c r="C61" s="5" t="s">
        <v>50</v>
      </c>
      <c r="D61" s="19"/>
    </row>
    <row r="62" spans="1:4" ht="15" x14ac:dyDescent="0.25">
      <c r="A62" s="7"/>
      <c r="B62" s="16"/>
      <c r="C62" s="5" t="s">
        <v>51</v>
      </c>
      <c r="D62" s="19"/>
    </row>
    <row r="63" spans="1:4" ht="15" x14ac:dyDescent="0.25">
      <c r="A63" s="7"/>
      <c r="B63" s="16"/>
      <c r="C63" s="5" t="s">
        <v>52</v>
      </c>
      <c r="D63" s="19"/>
    </row>
    <row r="64" spans="1:4" ht="15" x14ac:dyDescent="0.25">
      <c r="A64" s="7"/>
      <c r="B64" s="16"/>
      <c r="C64" s="5" t="s">
        <v>53</v>
      </c>
      <c r="D64" s="19"/>
    </row>
    <row r="65" spans="1:4" ht="15" x14ac:dyDescent="0.25">
      <c r="A65" s="7"/>
      <c r="B65" s="16"/>
      <c r="C65" s="5" t="s">
        <v>54</v>
      </c>
      <c r="D65" s="19"/>
    </row>
    <row r="66" spans="1:4" ht="15" x14ac:dyDescent="0.25">
      <c r="A66" s="7"/>
      <c r="B66" s="16"/>
      <c r="D66" s="19"/>
    </row>
    <row r="67" spans="1:4" ht="15" x14ac:dyDescent="0.2">
      <c r="A67" s="7"/>
      <c r="B67" s="23"/>
      <c r="C67" s="24"/>
      <c r="D67" s="25"/>
    </row>
    <row r="68" spans="1:4" ht="21" customHeight="1" x14ac:dyDescent="0.2">
      <c r="A68" s="26"/>
      <c r="D68" s="27"/>
    </row>
  </sheetData>
  <mergeCells count="3">
    <mergeCell ref="B6:D6"/>
    <mergeCell ref="B2:D2"/>
    <mergeCell ref="B3:D3"/>
  </mergeCells>
  <pageMargins left="0.7" right="0.7" top="0.75" bottom="0.75" header="0.3" footer="0.3"/>
  <pageSetup orientation="portrait" verticalDpi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7">
    <tabColor rgb="FF002060"/>
  </sheetPr>
  <dimension ref="B1:B31"/>
  <sheetViews>
    <sheetView showGridLines="0" zoomScaleNormal="100" workbookViewId="0">
      <selection activeCell="E77" sqref="E77"/>
    </sheetView>
  </sheetViews>
  <sheetFormatPr baseColWidth="10" defaultColWidth="9.140625" defaultRowHeight="12" x14ac:dyDescent="0.2"/>
  <cols>
    <col min="1" max="1" width="7" style="29" customWidth="1"/>
    <col min="2" max="2" width="93.140625" style="329" customWidth="1"/>
    <col min="3" max="255" width="11.42578125" style="29" customWidth="1"/>
    <col min="256" max="16384" width="9.140625" style="29"/>
  </cols>
  <sheetData>
    <row r="1" spans="2:2" ht="15" x14ac:dyDescent="0.25">
      <c r="B1" s="188"/>
    </row>
    <row r="3" spans="2:2" x14ac:dyDescent="0.2">
      <c r="B3" s="30" t="s">
        <v>474</v>
      </c>
    </row>
    <row r="4" spans="2:2" x14ac:dyDescent="0.2">
      <c r="B4" s="30" t="s">
        <v>530</v>
      </c>
    </row>
    <row r="5" spans="2:2" x14ac:dyDescent="0.2">
      <c r="B5" s="88" t="s">
        <v>475</v>
      </c>
    </row>
    <row r="6" spans="2:2" x14ac:dyDescent="0.2">
      <c r="B6" s="30" t="s">
        <v>531</v>
      </c>
    </row>
    <row r="7" spans="2:2" x14ac:dyDescent="0.2">
      <c r="B7" s="88" t="s">
        <v>475</v>
      </c>
    </row>
    <row r="8" spans="2:2" x14ac:dyDescent="0.2">
      <c r="B8" s="88"/>
    </row>
    <row r="9" spans="2:2" x14ac:dyDescent="0.2">
      <c r="B9" s="30" t="s">
        <v>532</v>
      </c>
    </row>
    <row r="10" spans="2:2" ht="36" x14ac:dyDescent="0.2">
      <c r="B10" s="393" t="s">
        <v>654</v>
      </c>
    </row>
    <row r="11" spans="2:2" x14ac:dyDescent="0.2">
      <c r="B11" s="393"/>
    </row>
    <row r="12" spans="2:2" x14ac:dyDescent="0.2">
      <c r="B12" s="30" t="s">
        <v>476</v>
      </c>
    </row>
    <row r="13" spans="2:2" x14ac:dyDescent="0.2">
      <c r="B13" s="88" t="s">
        <v>477</v>
      </c>
    </row>
    <row r="14" spans="2:2" x14ac:dyDescent="0.2">
      <c r="B14" s="88"/>
    </row>
    <row r="15" spans="2:2" ht="28.15" customHeight="1" x14ac:dyDescent="0.2">
      <c r="B15" s="328" t="s">
        <v>533</v>
      </c>
    </row>
    <row r="16" spans="2:2" x14ac:dyDescent="0.2">
      <c r="B16" s="88" t="s">
        <v>477</v>
      </c>
    </row>
    <row r="17" spans="2:2" x14ac:dyDescent="0.2">
      <c r="B17" s="88"/>
    </row>
    <row r="18" spans="2:2" x14ac:dyDescent="0.2">
      <c r="B18" s="30" t="s">
        <v>478</v>
      </c>
    </row>
    <row r="19" spans="2:2" x14ac:dyDescent="0.2">
      <c r="B19" s="88" t="s">
        <v>477</v>
      </c>
    </row>
    <row r="20" spans="2:2" x14ac:dyDescent="0.2">
      <c r="B20" s="88"/>
    </row>
    <row r="21" spans="2:2" x14ac:dyDescent="0.2">
      <c r="B21" s="30" t="s">
        <v>479</v>
      </c>
    </row>
    <row r="22" spans="2:2" x14ac:dyDescent="0.2">
      <c r="B22" s="88" t="s">
        <v>477</v>
      </c>
    </row>
    <row r="23" spans="2:2" x14ac:dyDescent="0.2">
      <c r="B23" s="88"/>
    </row>
    <row r="24" spans="2:2" x14ac:dyDescent="0.2">
      <c r="B24" s="30" t="s">
        <v>480</v>
      </c>
    </row>
    <row r="25" spans="2:2" x14ac:dyDescent="0.2">
      <c r="B25" s="88" t="s">
        <v>481</v>
      </c>
    </row>
    <row r="31" spans="2:2" ht="9.6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69AA4-58F1-4C01-A983-9E8C86C1A922}">
  <sheetPr>
    <tabColor rgb="FF002060"/>
  </sheetPr>
  <dimension ref="A1:K280"/>
  <sheetViews>
    <sheetView showGridLines="0" topLeftCell="A59" workbookViewId="0">
      <selection activeCell="E77" sqref="E77"/>
    </sheetView>
  </sheetViews>
  <sheetFormatPr baseColWidth="10" defaultColWidth="11.5703125" defaultRowHeight="12" x14ac:dyDescent="0.2"/>
  <cols>
    <col min="1" max="1" width="4" style="100" customWidth="1"/>
    <col min="2" max="2" width="40.85546875" style="100" bestFit="1" customWidth="1"/>
    <col min="3" max="3" width="19.28515625" style="100" customWidth="1"/>
    <col min="4" max="4" width="20" style="100" bestFit="1" customWidth="1"/>
    <col min="5" max="5" width="35.28515625" style="100" customWidth="1"/>
    <col min="6" max="6" width="11.5703125" style="29"/>
    <col min="7" max="7" width="22.140625" style="29" customWidth="1"/>
    <col min="8" max="8" width="11.5703125" style="29"/>
    <col min="9" max="9" width="14.5703125" style="356" bestFit="1" customWidth="1"/>
    <col min="10" max="10" width="12" style="29" bestFit="1" customWidth="1"/>
    <col min="11" max="16384" width="11.5703125" style="29"/>
  </cols>
  <sheetData>
    <row r="1" spans="1:11" ht="55.15" customHeight="1" x14ac:dyDescent="0.2">
      <c r="A1" s="330"/>
    </row>
    <row r="2" spans="1:11" x14ac:dyDescent="0.2">
      <c r="A2" s="330"/>
    </row>
    <row r="3" spans="1:11" x14ac:dyDescent="0.2">
      <c r="A3" s="357"/>
      <c r="B3" s="358" t="s">
        <v>544</v>
      </c>
      <c r="C3" s="357"/>
      <c r="D3" s="357"/>
      <c r="E3" s="357"/>
      <c r="F3" s="357"/>
      <c r="G3" s="357"/>
      <c r="H3" s="357"/>
      <c r="I3" s="357"/>
      <c r="J3" s="357"/>
      <c r="K3" s="357"/>
    </row>
    <row r="4" spans="1:11" x14ac:dyDescent="0.2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</row>
    <row r="5" spans="1:11" ht="20.45" customHeight="1" x14ac:dyDescent="0.2">
      <c r="A5" s="357"/>
      <c r="B5" s="359" t="s">
        <v>545</v>
      </c>
      <c r="C5" s="357"/>
      <c r="D5" s="357"/>
      <c r="E5" s="357"/>
      <c r="F5" s="357"/>
      <c r="G5" s="357"/>
      <c r="H5" s="357"/>
      <c r="I5" s="357"/>
      <c r="J5" s="357"/>
      <c r="K5" s="357"/>
    </row>
    <row r="6" spans="1:11" ht="20.45" customHeight="1" x14ac:dyDescent="0.2">
      <c r="A6" s="357"/>
      <c r="B6" s="357"/>
      <c r="C6" s="360" t="s">
        <v>546</v>
      </c>
      <c r="D6" s="357" t="s">
        <v>547</v>
      </c>
      <c r="E6" s="357"/>
      <c r="F6" s="357"/>
      <c r="G6" s="357"/>
      <c r="H6" s="357"/>
      <c r="I6" s="357"/>
      <c r="J6" s="357"/>
      <c r="K6" s="357"/>
    </row>
    <row r="7" spans="1:11" ht="20.45" customHeight="1" x14ac:dyDescent="0.2">
      <c r="A7" s="357"/>
      <c r="B7" s="361"/>
      <c r="C7" s="357" t="s">
        <v>548</v>
      </c>
      <c r="D7" s="357" t="s">
        <v>549</v>
      </c>
      <c r="E7" s="361"/>
      <c r="F7" s="357"/>
      <c r="G7" s="357"/>
      <c r="H7" s="357"/>
      <c r="I7" s="357"/>
      <c r="J7" s="357"/>
      <c r="K7" s="357"/>
    </row>
    <row r="8" spans="1:11" ht="20.45" customHeight="1" x14ac:dyDescent="0.2">
      <c r="A8" s="357"/>
      <c r="B8" s="361"/>
      <c r="C8" s="357" t="s">
        <v>550</v>
      </c>
      <c r="D8" s="371">
        <v>14822</v>
      </c>
      <c r="E8" s="361"/>
      <c r="F8" s="357"/>
      <c r="G8" s="357"/>
      <c r="H8" s="357"/>
      <c r="I8" s="357"/>
      <c r="J8" s="357"/>
      <c r="K8" s="357"/>
    </row>
    <row r="9" spans="1:11" ht="20.45" customHeight="1" x14ac:dyDescent="0.2">
      <c r="A9" s="357"/>
      <c r="B9" s="361"/>
      <c r="C9" s="360" t="s">
        <v>551</v>
      </c>
      <c r="D9" s="357" t="s">
        <v>552</v>
      </c>
      <c r="E9" s="357"/>
      <c r="F9" s="357"/>
      <c r="G9" s="357"/>
      <c r="H9" s="357"/>
      <c r="I9" s="357"/>
      <c r="J9" s="357"/>
      <c r="K9" s="357"/>
    </row>
    <row r="10" spans="1:11" x14ac:dyDescent="0.2">
      <c r="A10" s="357"/>
      <c r="B10" s="361"/>
      <c r="C10" s="357" t="s">
        <v>553</v>
      </c>
      <c r="D10" s="360" t="s">
        <v>886</v>
      </c>
      <c r="E10" s="357"/>
      <c r="F10" s="357"/>
      <c r="G10" s="357"/>
      <c r="H10" s="357"/>
      <c r="I10" s="357"/>
      <c r="J10" s="357"/>
      <c r="K10" s="357"/>
    </row>
    <row r="11" spans="1:11" ht="14.45" customHeight="1" x14ac:dyDescent="0.2">
      <c r="A11" s="357"/>
      <c r="B11" s="361"/>
      <c r="C11" s="357" t="s">
        <v>554</v>
      </c>
      <c r="D11" s="362" t="s">
        <v>555</v>
      </c>
      <c r="E11" s="357"/>
      <c r="F11" s="357"/>
      <c r="G11" s="357"/>
      <c r="H11" s="357"/>
      <c r="I11" s="357"/>
      <c r="J11" s="357"/>
      <c r="K11" s="357"/>
    </row>
    <row r="12" spans="1:11" x14ac:dyDescent="0.2">
      <c r="A12" s="357"/>
      <c r="B12" s="361"/>
      <c r="C12" s="357" t="s">
        <v>556</v>
      </c>
      <c r="D12" s="362" t="s">
        <v>557</v>
      </c>
      <c r="E12" s="357"/>
      <c r="F12" s="357"/>
      <c r="G12" s="357"/>
      <c r="H12" s="357"/>
      <c r="I12" s="357"/>
      <c r="J12" s="357"/>
      <c r="K12" s="357"/>
    </row>
    <row r="13" spans="1:11" x14ac:dyDescent="0.2">
      <c r="A13" s="357"/>
      <c r="B13" s="361"/>
      <c r="C13" s="357" t="s">
        <v>558</v>
      </c>
      <c r="D13" s="357" t="s">
        <v>552</v>
      </c>
      <c r="E13" s="357"/>
      <c r="F13" s="357"/>
      <c r="G13" s="357"/>
      <c r="H13" s="357"/>
      <c r="I13" s="357"/>
      <c r="J13" s="357"/>
      <c r="K13" s="357"/>
    </row>
    <row r="14" spans="1:11" ht="20.45" customHeight="1" x14ac:dyDescent="0.2">
      <c r="A14" s="357"/>
      <c r="B14" s="357"/>
      <c r="C14" s="357"/>
      <c r="D14" s="357"/>
      <c r="E14" s="357"/>
      <c r="F14" s="357"/>
      <c r="G14" s="357"/>
      <c r="H14" s="357"/>
      <c r="I14" s="357"/>
      <c r="J14" s="357"/>
      <c r="K14" s="357"/>
    </row>
    <row r="15" spans="1:11" ht="20.45" customHeight="1" x14ac:dyDescent="0.2">
      <c r="A15" s="357"/>
      <c r="B15" s="363" t="s">
        <v>559</v>
      </c>
      <c r="C15" s="357"/>
      <c r="D15" s="357"/>
      <c r="E15" s="357"/>
      <c r="F15" s="357"/>
      <c r="G15" s="357"/>
      <c r="H15" s="357"/>
      <c r="I15" s="357"/>
      <c r="J15" s="357"/>
      <c r="K15" s="357"/>
    </row>
    <row r="16" spans="1:11" x14ac:dyDescent="0.2">
      <c r="A16" s="357"/>
      <c r="B16" s="357"/>
      <c r="C16" s="357" t="s">
        <v>560</v>
      </c>
      <c r="D16" s="357"/>
      <c r="E16" s="357"/>
      <c r="F16" s="357"/>
      <c r="G16" s="357"/>
      <c r="H16" s="357"/>
      <c r="I16" s="357"/>
      <c r="J16" s="357"/>
      <c r="K16" s="357"/>
    </row>
    <row r="17" spans="1:11" x14ac:dyDescent="0.2">
      <c r="A17" s="357"/>
      <c r="B17" s="357"/>
      <c r="C17" s="357" t="s">
        <v>561</v>
      </c>
      <c r="D17" s="357"/>
      <c r="E17" s="357"/>
      <c r="F17" s="357"/>
      <c r="G17" s="357"/>
      <c r="H17" s="357"/>
      <c r="I17" s="357"/>
      <c r="J17" s="357"/>
      <c r="K17" s="357"/>
    </row>
    <row r="18" spans="1:11" x14ac:dyDescent="0.2">
      <c r="A18" s="357"/>
      <c r="B18" s="357"/>
      <c r="C18" s="357"/>
      <c r="D18" s="357"/>
      <c r="E18" s="357"/>
      <c r="F18" s="357"/>
      <c r="G18" s="357"/>
      <c r="H18" s="357"/>
      <c r="I18" s="357"/>
      <c r="J18" s="357"/>
      <c r="K18" s="357"/>
    </row>
    <row r="19" spans="1:11" x14ac:dyDescent="0.2">
      <c r="A19" s="357"/>
      <c r="B19" s="363" t="s">
        <v>562</v>
      </c>
      <c r="C19" s="357"/>
      <c r="D19" s="357"/>
      <c r="E19" s="357"/>
      <c r="F19" s="357"/>
      <c r="G19" s="357"/>
      <c r="H19" s="357"/>
      <c r="I19" s="357"/>
      <c r="J19" s="357"/>
      <c r="K19" s="357"/>
    </row>
    <row r="20" spans="1:11" x14ac:dyDescent="0.2">
      <c r="A20" s="357"/>
      <c r="B20" s="357"/>
      <c r="C20" s="357"/>
      <c r="D20" s="357"/>
      <c r="E20" s="357"/>
      <c r="F20" s="357"/>
      <c r="G20" s="357"/>
      <c r="H20" s="357"/>
      <c r="I20" s="357"/>
      <c r="J20" s="357"/>
      <c r="K20" s="357"/>
    </row>
    <row r="21" spans="1:11" x14ac:dyDescent="0.2">
      <c r="A21" s="357"/>
      <c r="B21" s="357"/>
      <c r="C21" s="440" t="s">
        <v>563</v>
      </c>
      <c r="D21" s="685" t="s">
        <v>564</v>
      </c>
      <c r="E21" s="685"/>
      <c r="F21" s="685"/>
      <c r="G21" s="357"/>
      <c r="H21" s="357"/>
      <c r="I21" s="357"/>
      <c r="J21" s="357"/>
      <c r="K21" s="357"/>
    </row>
    <row r="22" spans="1:11" x14ac:dyDescent="0.2">
      <c r="A22" s="357"/>
      <c r="B22" s="357"/>
      <c r="C22" s="364" t="s">
        <v>565</v>
      </c>
      <c r="D22" s="681" t="s">
        <v>566</v>
      </c>
      <c r="E22" s="681"/>
      <c r="F22" s="681"/>
      <c r="G22" s="357"/>
      <c r="H22" s="357"/>
      <c r="I22" s="357"/>
      <c r="J22" s="357"/>
      <c r="K22" s="357"/>
    </row>
    <row r="23" spans="1:11" x14ac:dyDescent="0.2">
      <c r="A23" s="357"/>
      <c r="B23" s="357"/>
      <c r="C23" s="364" t="s">
        <v>567</v>
      </c>
      <c r="D23" s="681" t="s">
        <v>568</v>
      </c>
      <c r="E23" s="681"/>
      <c r="F23" s="681"/>
      <c r="G23" s="357"/>
      <c r="H23" s="357"/>
      <c r="I23" s="357"/>
      <c r="J23" s="357"/>
      <c r="K23" s="357"/>
    </row>
    <row r="24" spans="1:11" x14ac:dyDescent="0.2">
      <c r="A24" s="357"/>
      <c r="B24" s="357"/>
      <c r="C24" s="364" t="s">
        <v>569</v>
      </c>
      <c r="D24" s="681" t="s">
        <v>570</v>
      </c>
      <c r="E24" s="681"/>
      <c r="F24" s="681"/>
      <c r="G24" s="357"/>
      <c r="H24" s="357"/>
      <c r="I24" s="357"/>
      <c r="J24" s="357"/>
      <c r="K24" s="357"/>
    </row>
    <row r="25" spans="1:11" x14ac:dyDescent="0.2">
      <c r="A25" s="357"/>
      <c r="B25" s="357"/>
      <c r="C25" s="364" t="s">
        <v>569</v>
      </c>
      <c r="D25" s="681" t="s">
        <v>571</v>
      </c>
      <c r="E25" s="681"/>
      <c r="F25" s="681"/>
      <c r="G25" s="357"/>
      <c r="H25" s="357"/>
      <c r="I25" s="357"/>
      <c r="J25" s="357"/>
      <c r="K25" s="357"/>
    </row>
    <row r="26" spans="1:11" x14ac:dyDescent="0.2">
      <c r="A26" s="357"/>
      <c r="B26" s="357"/>
      <c r="C26" s="364" t="s">
        <v>569</v>
      </c>
      <c r="D26" s="681" t="s">
        <v>572</v>
      </c>
      <c r="E26" s="681"/>
      <c r="F26" s="681"/>
      <c r="G26" s="357"/>
      <c r="H26" s="357"/>
      <c r="I26" s="357"/>
      <c r="J26" s="357"/>
      <c r="K26" s="357"/>
    </row>
    <row r="27" spans="1:11" x14ac:dyDescent="0.2">
      <c r="A27" s="357"/>
      <c r="B27" s="357"/>
      <c r="C27" s="364" t="s">
        <v>573</v>
      </c>
      <c r="D27" s="681" t="s">
        <v>574</v>
      </c>
      <c r="E27" s="681"/>
      <c r="F27" s="681"/>
      <c r="G27" s="357"/>
      <c r="H27" s="357"/>
      <c r="I27" s="357"/>
      <c r="J27" s="357"/>
      <c r="K27" s="357"/>
    </row>
    <row r="28" spans="1:11" x14ac:dyDescent="0.2">
      <c r="A28" s="357"/>
      <c r="B28" s="357"/>
      <c r="C28" s="357"/>
      <c r="D28" s="357"/>
      <c r="E28" s="357"/>
      <c r="F28" s="357"/>
      <c r="G28" s="357"/>
      <c r="H28" s="357"/>
      <c r="I28" s="357"/>
      <c r="J28" s="357"/>
      <c r="K28" s="357"/>
    </row>
    <row r="29" spans="1:11" x14ac:dyDescent="0.2">
      <c r="A29" s="357"/>
      <c r="B29" s="363" t="s">
        <v>575</v>
      </c>
      <c r="C29" s="357"/>
      <c r="D29" s="357"/>
      <c r="E29" s="357"/>
      <c r="F29" s="357"/>
      <c r="G29" s="357"/>
      <c r="H29" s="357"/>
      <c r="I29" s="357"/>
      <c r="J29" s="357"/>
      <c r="K29" s="357"/>
    </row>
    <row r="30" spans="1:11" x14ac:dyDescent="0.2">
      <c r="A30" s="357"/>
      <c r="B30" s="357"/>
      <c r="C30" s="357" t="s">
        <v>576</v>
      </c>
      <c r="D30" s="357"/>
      <c r="E30" s="357"/>
      <c r="F30" s="357"/>
      <c r="G30" s="357"/>
      <c r="H30" s="357"/>
      <c r="I30" s="357"/>
      <c r="J30" s="357"/>
      <c r="K30" s="357"/>
    </row>
    <row r="31" spans="1:11" x14ac:dyDescent="0.2">
      <c r="A31" s="357"/>
      <c r="B31" s="357"/>
      <c r="C31" s="357" t="s">
        <v>577</v>
      </c>
      <c r="D31" s="357"/>
      <c r="E31" s="357"/>
      <c r="F31" s="357"/>
      <c r="G31" s="357"/>
      <c r="H31" s="357"/>
      <c r="I31" s="357"/>
      <c r="J31" s="357"/>
      <c r="K31" s="357"/>
    </row>
    <row r="32" spans="1:11" x14ac:dyDescent="0.2">
      <c r="A32" s="357"/>
      <c r="B32" s="357"/>
      <c r="C32" s="357" t="s">
        <v>578</v>
      </c>
      <c r="D32" s="357"/>
      <c r="E32" s="357"/>
      <c r="F32" s="357"/>
      <c r="G32" s="357"/>
      <c r="H32" s="357"/>
      <c r="I32" s="357"/>
      <c r="J32" s="357"/>
      <c r="K32" s="357"/>
    </row>
    <row r="33" spans="1:11" x14ac:dyDescent="0.2">
      <c r="A33" s="357"/>
      <c r="B33" s="357"/>
      <c r="C33" s="357" t="s">
        <v>579</v>
      </c>
      <c r="D33" s="357"/>
      <c r="E33" s="357"/>
      <c r="F33" s="357"/>
      <c r="G33" s="357"/>
      <c r="H33" s="357"/>
      <c r="I33" s="357"/>
      <c r="J33" s="357"/>
      <c r="K33" s="357"/>
    </row>
    <row r="34" spans="1:11" x14ac:dyDescent="0.2">
      <c r="A34" s="357"/>
      <c r="B34" s="357"/>
      <c r="C34" s="357" t="s">
        <v>1010</v>
      </c>
      <c r="D34" s="357"/>
      <c r="E34" s="357"/>
      <c r="F34" s="357"/>
      <c r="G34" s="357"/>
      <c r="H34" s="357"/>
      <c r="I34" s="357"/>
      <c r="J34" s="357"/>
      <c r="K34" s="357"/>
    </row>
    <row r="35" spans="1:11" x14ac:dyDescent="0.2">
      <c r="A35" s="357"/>
      <c r="B35" s="357"/>
      <c r="C35" s="357" t="s">
        <v>580</v>
      </c>
      <c r="D35" s="357"/>
      <c r="E35" s="357"/>
      <c r="F35" s="357"/>
      <c r="G35" s="357"/>
      <c r="H35" s="357"/>
      <c r="I35" s="357"/>
      <c r="J35" s="357"/>
      <c r="K35" s="357"/>
    </row>
    <row r="36" spans="1:11" x14ac:dyDescent="0.2">
      <c r="A36" s="357"/>
      <c r="B36" s="357"/>
      <c r="C36" s="357"/>
      <c r="D36" s="357"/>
      <c r="E36" s="357"/>
      <c r="F36" s="357"/>
      <c r="G36" s="357"/>
      <c r="H36" s="357"/>
      <c r="I36" s="357"/>
      <c r="J36" s="357"/>
      <c r="K36" s="357"/>
    </row>
    <row r="37" spans="1:11" x14ac:dyDescent="0.2">
      <c r="A37" s="357"/>
      <c r="B37" s="357"/>
      <c r="C37" s="682" t="s">
        <v>581</v>
      </c>
      <c r="D37" s="682"/>
      <c r="E37" s="682"/>
      <c r="F37" s="357"/>
      <c r="G37" s="357"/>
      <c r="H37" s="357"/>
      <c r="I37" s="357"/>
      <c r="J37" s="357"/>
      <c r="K37" s="357"/>
    </row>
    <row r="38" spans="1:11" ht="48" x14ac:dyDescent="0.2">
      <c r="A38" s="365" t="s">
        <v>582</v>
      </c>
      <c r="B38" s="365" t="s">
        <v>583</v>
      </c>
      <c r="C38" s="365" t="s">
        <v>584</v>
      </c>
      <c r="D38" s="365" t="s">
        <v>585</v>
      </c>
      <c r="E38" s="365" t="s">
        <v>586</v>
      </c>
      <c r="F38" s="366" t="s">
        <v>587</v>
      </c>
      <c r="G38" s="366" t="s">
        <v>588</v>
      </c>
      <c r="H38" s="366" t="s">
        <v>589</v>
      </c>
      <c r="I38" s="367" t="s">
        <v>590</v>
      </c>
      <c r="J38" s="357"/>
      <c r="K38" s="357"/>
    </row>
    <row r="39" spans="1:11" x14ac:dyDescent="0.2">
      <c r="A39" s="37">
        <v>1</v>
      </c>
      <c r="B39" s="37" t="s">
        <v>591</v>
      </c>
      <c r="C39" s="368" t="s">
        <v>592</v>
      </c>
      <c r="D39" s="340" t="s">
        <v>1011</v>
      </c>
      <c r="E39" s="369">
        <v>3255</v>
      </c>
      <c r="F39" s="369" t="s">
        <v>593</v>
      </c>
      <c r="G39" s="369" t="s">
        <v>594</v>
      </c>
      <c r="H39" s="178">
        <v>3255000000</v>
      </c>
      <c r="I39" s="492">
        <v>0.85545335085413932</v>
      </c>
      <c r="J39" s="357"/>
      <c r="K39" s="357"/>
    </row>
    <row r="40" spans="1:11" x14ac:dyDescent="0.2">
      <c r="A40" s="37">
        <v>2</v>
      </c>
      <c r="B40" s="37" t="s">
        <v>566</v>
      </c>
      <c r="C40" s="368" t="s">
        <v>592</v>
      </c>
      <c r="D40" s="340" t="s">
        <v>606</v>
      </c>
      <c r="E40" s="369">
        <v>200</v>
      </c>
      <c r="F40" s="369" t="s">
        <v>593</v>
      </c>
      <c r="G40" s="369" t="s">
        <v>594</v>
      </c>
      <c r="H40" s="178">
        <v>200000000</v>
      </c>
      <c r="I40" s="492">
        <v>5.2562417871222074E-2</v>
      </c>
      <c r="J40" s="357"/>
      <c r="K40" s="357"/>
    </row>
    <row r="41" spans="1:11" x14ac:dyDescent="0.2">
      <c r="A41" s="37">
        <v>3</v>
      </c>
      <c r="B41" s="37" t="s">
        <v>568</v>
      </c>
      <c r="C41" s="368" t="s">
        <v>592</v>
      </c>
      <c r="D41" s="340" t="s">
        <v>595</v>
      </c>
      <c r="E41" s="369">
        <v>50</v>
      </c>
      <c r="F41" s="369" t="s">
        <v>593</v>
      </c>
      <c r="G41" s="369" t="s">
        <v>594</v>
      </c>
      <c r="H41" s="178">
        <v>50000000</v>
      </c>
      <c r="I41" s="492">
        <v>1.3140604467805518E-2</v>
      </c>
      <c r="J41" s="357"/>
      <c r="K41" s="357"/>
    </row>
    <row r="42" spans="1:11" x14ac:dyDescent="0.2">
      <c r="A42" s="37">
        <v>4</v>
      </c>
      <c r="B42" s="37" t="s">
        <v>570</v>
      </c>
      <c r="C42" s="368" t="s">
        <v>592</v>
      </c>
      <c r="D42" s="340" t="s">
        <v>596</v>
      </c>
      <c r="E42" s="369">
        <v>50</v>
      </c>
      <c r="F42" s="369" t="s">
        <v>593</v>
      </c>
      <c r="G42" s="369" t="s">
        <v>594</v>
      </c>
      <c r="H42" s="178">
        <v>50000000</v>
      </c>
      <c r="I42" s="492">
        <v>1.3140604467805518E-2</v>
      </c>
      <c r="J42" s="357"/>
      <c r="K42" s="357"/>
    </row>
    <row r="43" spans="1:11" x14ac:dyDescent="0.2">
      <c r="A43" s="37">
        <v>5</v>
      </c>
      <c r="B43" s="37" t="s">
        <v>534</v>
      </c>
      <c r="C43" s="368" t="s">
        <v>592</v>
      </c>
      <c r="D43" s="340" t="s">
        <v>597</v>
      </c>
      <c r="E43" s="369">
        <v>50</v>
      </c>
      <c r="F43" s="369" t="s">
        <v>593</v>
      </c>
      <c r="G43" s="369" t="s">
        <v>594</v>
      </c>
      <c r="H43" s="178">
        <v>50000000</v>
      </c>
      <c r="I43" s="492">
        <v>1.3140604467805518E-2</v>
      </c>
      <c r="J43" s="357"/>
      <c r="K43" s="357"/>
    </row>
    <row r="44" spans="1:11" x14ac:dyDescent="0.2">
      <c r="A44" s="37">
        <v>6</v>
      </c>
      <c r="B44" s="37" t="s">
        <v>598</v>
      </c>
      <c r="C44" s="368" t="s">
        <v>592</v>
      </c>
      <c r="D44" s="340" t="s">
        <v>599</v>
      </c>
      <c r="E44" s="369">
        <v>50</v>
      </c>
      <c r="F44" s="369" t="s">
        <v>593</v>
      </c>
      <c r="G44" s="369" t="s">
        <v>594</v>
      </c>
      <c r="H44" s="178">
        <v>50000000</v>
      </c>
      <c r="I44" s="492">
        <v>1.3140604467805518E-2</v>
      </c>
      <c r="J44" s="357"/>
      <c r="K44" s="357"/>
    </row>
    <row r="45" spans="1:11" x14ac:dyDescent="0.2">
      <c r="A45" s="37">
        <v>7</v>
      </c>
      <c r="B45" s="37" t="s">
        <v>600</v>
      </c>
      <c r="C45" s="368" t="s">
        <v>592</v>
      </c>
      <c r="D45" s="340" t="s">
        <v>601</v>
      </c>
      <c r="E45" s="369">
        <v>50</v>
      </c>
      <c r="F45" s="369" t="s">
        <v>593</v>
      </c>
      <c r="G45" s="369" t="s">
        <v>594</v>
      </c>
      <c r="H45" s="178">
        <v>50000000</v>
      </c>
      <c r="I45" s="492">
        <v>1.3140604467805518E-2</v>
      </c>
      <c r="J45" s="357"/>
      <c r="K45" s="357"/>
    </row>
    <row r="46" spans="1:11" x14ac:dyDescent="0.2">
      <c r="A46" s="37">
        <v>8</v>
      </c>
      <c r="B46" s="37" t="s">
        <v>602</v>
      </c>
      <c r="C46" s="368" t="s">
        <v>592</v>
      </c>
      <c r="D46" s="340" t="s">
        <v>603</v>
      </c>
      <c r="E46" s="369">
        <v>50</v>
      </c>
      <c r="F46" s="369" t="s">
        <v>593</v>
      </c>
      <c r="G46" s="369" t="s">
        <v>594</v>
      </c>
      <c r="H46" s="178">
        <v>50000000</v>
      </c>
      <c r="I46" s="492">
        <v>1.3140604467805518E-2</v>
      </c>
      <c r="J46" s="357"/>
      <c r="K46" s="357"/>
    </row>
    <row r="47" spans="1:11" x14ac:dyDescent="0.2">
      <c r="A47" s="37">
        <v>9</v>
      </c>
      <c r="B47" s="37" t="s">
        <v>571</v>
      </c>
      <c r="C47" s="368" t="s">
        <v>592</v>
      </c>
      <c r="D47" s="340" t="s">
        <v>694</v>
      </c>
      <c r="E47" s="369">
        <v>50</v>
      </c>
      <c r="F47" s="369" t="s">
        <v>593</v>
      </c>
      <c r="G47" s="369" t="s">
        <v>594</v>
      </c>
      <c r="H47" s="178">
        <v>50000000</v>
      </c>
      <c r="I47" s="492">
        <v>1.3140604467805518E-2</v>
      </c>
      <c r="J47" s="357"/>
      <c r="K47" s="357"/>
    </row>
    <row r="48" spans="1:11" x14ac:dyDescent="0.2">
      <c r="A48" s="357"/>
      <c r="B48" s="357"/>
      <c r="C48" s="357"/>
      <c r="D48" s="357"/>
      <c r="E48" s="357"/>
      <c r="F48" s="357"/>
      <c r="G48" s="357"/>
      <c r="H48" s="491">
        <f>SUM(H39:H47)</f>
        <v>3805000000</v>
      </c>
      <c r="I48" s="357"/>
      <c r="J48" s="357"/>
      <c r="K48" s="357"/>
    </row>
    <row r="49" spans="1:11" x14ac:dyDescent="0.2">
      <c r="A49" s="357"/>
      <c r="B49" s="357"/>
      <c r="C49" s="682" t="s">
        <v>604</v>
      </c>
      <c r="D49" s="682"/>
      <c r="E49" s="682"/>
      <c r="F49" s="357"/>
      <c r="G49" s="357"/>
      <c r="H49" s="357"/>
      <c r="I49" s="357"/>
      <c r="J49" s="357"/>
      <c r="K49" s="357"/>
    </row>
    <row r="50" spans="1:11" ht="26.45" customHeight="1" x14ac:dyDescent="0.2">
      <c r="A50" s="365" t="s">
        <v>582</v>
      </c>
      <c r="B50" s="683" t="s">
        <v>583</v>
      </c>
      <c r="C50" s="684"/>
      <c r="D50" s="365" t="s">
        <v>584</v>
      </c>
      <c r="E50" s="365" t="s">
        <v>585</v>
      </c>
      <c r="F50" s="365" t="s">
        <v>586</v>
      </c>
      <c r="G50" s="366" t="s">
        <v>587</v>
      </c>
      <c r="H50" s="366" t="s">
        <v>588</v>
      </c>
      <c r="I50" s="366" t="s">
        <v>589</v>
      </c>
      <c r="J50" s="367" t="s">
        <v>605</v>
      </c>
      <c r="K50" s="357"/>
    </row>
    <row r="51" spans="1:11" x14ac:dyDescent="0.2">
      <c r="A51" s="37">
        <v>1</v>
      </c>
      <c r="B51" s="679" t="s">
        <v>591</v>
      </c>
      <c r="C51" s="680"/>
      <c r="D51" s="368" t="s">
        <v>592</v>
      </c>
      <c r="E51" s="340" t="s">
        <v>695</v>
      </c>
      <c r="F51" s="369">
        <v>4450</v>
      </c>
      <c r="G51" s="369" t="s">
        <v>593</v>
      </c>
      <c r="H51" s="369" t="s">
        <v>594</v>
      </c>
      <c r="I51" s="178">
        <v>4450000000</v>
      </c>
      <c r="J51" s="370">
        <v>0.89</v>
      </c>
      <c r="K51" s="357"/>
    </row>
    <row r="52" spans="1:11" x14ac:dyDescent="0.2">
      <c r="A52" s="37">
        <v>2</v>
      </c>
      <c r="B52" s="679" t="s">
        <v>566</v>
      </c>
      <c r="C52" s="680"/>
      <c r="D52" s="368" t="s">
        <v>592</v>
      </c>
      <c r="E52" s="340" t="s">
        <v>606</v>
      </c>
      <c r="F52" s="369">
        <v>200</v>
      </c>
      <c r="G52" s="369" t="s">
        <v>593</v>
      </c>
      <c r="H52" s="369" t="s">
        <v>594</v>
      </c>
      <c r="I52" s="178">
        <v>200000000</v>
      </c>
      <c r="J52" s="370">
        <v>0.04</v>
      </c>
      <c r="K52" s="357"/>
    </row>
    <row r="53" spans="1:11" x14ac:dyDescent="0.2">
      <c r="A53" s="37">
        <v>3</v>
      </c>
      <c r="B53" s="679" t="s">
        <v>568</v>
      </c>
      <c r="C53" s="680"/>
      <c r="D53" s="368" t="s">
        <v>592</v>
      </c>
      <c r="E53" s="340" t="s">
        <v>595</v>
      </c>
      <c r="F53" s="369">
        <v>50</v>
      </c>
      <c r="G53" s="369" t="s">
        <v>593</v>
      </c>
      <c r="H53" s="369" t="s">
        <v>594</v>
      </c>
      <c r="I53" s="178">
        <v>50000000</v>
      </c>
      <c r="J53" s="370">
        <v>0.01</v>
      </c>
      <c r="K53" s="357"/>
    </row>
    <row r="54" spans="1:11" x14ac:dyDescent="0.2">
      <c r="A54" s="37">
        <v>4</v>
      </c>
      <c r="B54" s="679" t="s">
        <v>570</v>
      </c>
      <c r="C54" s="680"/>
      <c r="D54" s="368" t="s">
        <v>592</v>
      </c>
      <c r="E54" s="340" t="s">
        <v>596</v>
      </c>
      <c r="F54" s="369">
        <v>50</v>
      </c>
      <c r="G54" s="369" t="s">
        <v>593</v>
      </c>
      <c r="H54" s="369" t="s">
        <v>594</v>
      </c>
      <c r="I54" s="178">
        <v>50000000</v>
      </c>
      <c r="J54" s="370">
        <v>0.01</v>
      </c>
      <c r="K54" s="357"/>
    </row>
    <row r="55" spans="1:11" x14ac:dyDescent="0.2">
      <c r="A55" s="37">
        <v>5</v>
      </c>
      <c r="B55" s="679" t="s">
        <v>534</v>
      </c>
      <c r="C55" s="680"/>
      <c r="D55" s="368" t="s">
        <v>592</v>
      </c>
      <c r="E55" s="340" t="s">
        <v>597</v>
      </c>
      <c r="F55" s="369">
        <v>50</v>
      </c>
      <c r="G55" s="369" t="s">
        <v>593</v>
      </c>
      <c r="H55" s="369" t="s">
        <v>594</v>
      </c>
      <c r="I55" s="178">
        <v>50000000</v>
      </c>
      <c r="J55" s="370">
        <v>0.01</v>
      </c>
      <c r="K55" s="357"/>
    </row>
    <row r="56" spans="1:11" x14ac:dyDescent="0.2">
      <c r="A56" s="37">
        <v>6</v>
      </c>
      <c r="B56" s="679" t="s">
        <v>598</v>
      </c>
      <c r="C56" s="680"/>
      <c r="D56" s="368" t="s">
        <v>592</v>
      </c>
      <c r="E56" s="340" t="s">
        <v>599</v>
      </c>
      <c r="F56" s="369">
        <v>50</v>
      </c>
      <c r="G56" s="369" t="s">
        <v>593</v>
      </c>
      <c r="H56" s="369" t="s">
        <v>594</v>
      </c>
      <c r="I56" s="178">
        <v>50000000</v>
      </c>
      <c r="J56" s="370">
        <v>0.01</v>
      </c>
      <c r="K56" s="357"/>
    </row>
    <row r="57" spans="1:11" x14ac:dyDescent="0.2">
      <c r="A57" s="37">
        <v>7</v>
      </c>
      <c r="B57" s="679" t="s">
        <v>600</v>
      </c>
      <c r="C57" s="680"/>
      <c r="D57" s="368" t="s">
        <v>592</v>
      </c>
      <c r="E57" s="340" t="s">
        <v>601</v>
      </c>
      <c r="F57" s="369">
        <v>50</v>
      </c>
      <c r="G57" s="369" t="s">
        <v>593</v>
      </c>
      <c r="H57" s="369" t="s">
        <v>594</v>
      </c>
      <c r="I57" s="178">
        <v>50000000</v>
      </c>
      <c r="J57" s="370">
        <v>0.01</v>
      </c>
      <c r="K57" s="357"/>
    </row>
    <row r="58" spans="1:11" x14ac:dyDescent="0.2">
      <c r="A58" s="37">
        <v>8</v>
      </c>
      <c r="B58" s="681" t="s">
        <v>602</v>
      </c>
      <c r="C58" s="681"/>
      <c r="D58" s="368" t="s">
        <v>592</v>
      </c>
      <c r="E58" s="340" t="s">
        <v>603</v>
      </c>
      <c r="F58" s="369">
        <v>50</v>
      </c>
      <c r="G58" s="369" t="s">
        <v>593</v>
      </c>
      <c r="H58" s="369" t="s">
        <v>594</v>
      </c>
      <c r="I58" s="178">
        <v>50000000</v>
      </c>
      <c r="J58" s="370">
        <v>0.01</v>
      </c>
      <c r="K58" s="357"/>
    </row>
    <row r="59" spans="1:11" x14ac:dyDescent="0.2">
      <c r="A59" s="37">
        <v>9</v>
      </c>
      <c r="B59" s="679" t="s">
        <v>571</v>
      </c>
      <c r="C59" s="680"/>
      <c r="D59" s="368" t="s">
        <v>592</v>
      </c>
      <c r="E59" s="340" t="s">
        <v>694</v>
      </c>
      <c r="F59" s="369">
        <v>50</v>
      </c>
      <c r="G59" s="369" t="s">
        <v>593</v>
      </c>
      <c r="H59" s="369" t="s">
        <v>594</v>
      </c>
      <c r="I59" s="178">
        <v>50000000</v>
      </c>
      <c r="J59" s="370">
        <v>0.01</v>
      </c>
      <c r="K59" s="357"/>
    </row>
    <row r="60" spans="1:11" x14ac:dyDescent="0.2">
      <c r="A60" s="357"/>
      <c r="B60" s="357"/>
      <c r="C60" s="357"/>
      <c r="D60" s="357"/>
      <c r="E60" s="357"/>
      <c r="F60" s="357"/>
      <c r="G60" s="357"/>
      <c r="H60" s="357"/>
      <c r="I60" s="178">
        <f>SUM(I51:I59)</f>
        <v>5000000000</v>
      </c>
      <c r="J60" s="357"/>
      <c r="K60" s="357"/>
    </row>
    <row r="61" spans="1:11" x14ac:dyDescent="0.2">
      <c r="A61" s="357"/>
      <c r="B61" s="363" t="s">
        <v>607</v>
      </c>
      <c r="C61" s="357"/>
      <c r="D61" s="357"/>
      <c r="E61" s="357"/>
      <c r="F61" s="357"/>
      <c r="G61" s="357"/>
      <c r="H61" s="357"/>
      <c r="I61" s="357"/>
      <c r="J61" s="357"/>
      <c r="K61" s="357"/>
    </row>
    <row r="62" spans="1:11" x14ac:dyDescent="0.2">
      <c r="A62" s="357"/>
      <c r="B62" s="357"/>
      <c r="C62" s="357" t="s">
        <v>608</v>
      </c>
      <c r="D62" s="357"/>
      <c r="E62" s="357"/>
      <c r="F62" s="357"/>
      <c r="G62" s="357"/>
      <c r="H62" s="357"/>
      <c r="I62" s="357"/>
      <c r="J62" s="357"/>
      <c r="K62" s="357"/>
    </row>
    <row r="63" spans="1:11" x14ac:dyDescent="0.2">
      <c r="A63" s="357"/>
      <c r="B63" s="357"/>
      <c r="C63" s="357" t="s">
        <v>609</v>
      </c>
      <c r="D63" s="357"/>
      <c r="E63" s="357"/>
      <c r="F63" s="357"/>
      <c r="G63" s="357"/>
      <c r="H63" s="357"/>
      <c r="I63" s="357"/>
      <c r="J63" s="357"/>
      <c r="K63" s="357"/>
    </row>
    <row r="64" spans="1:11" x14ac:dyDescent="0.2">
      <c r="A64" s="357"/>
      <c r="B64" s="357"/>
      <c r="C64" s="357"/>
      <c r="D64" s="357"/>
      <c r="E64" s="357"/>
      <c r="F64" s="357"/>
      <c r="G64" s="357"/>
      <c r="H64" s="357"/>
      <c r="I64" s="357"/>
      <c r="J64" s="357"/>
      <c r="K64" s="357"/>
    </row>
    <row r="65" spans="1:11" x14ac:dyDescent="0.2">
      <c r="A65" s="357"/>
      <c r="B65" s="363" t="s">
        <v>885</v>
      </c>
      <c r="C65" s="357"/>
      <c r="D65" s="357"/>
      <c r="E65" s="357"/>
      <c r="F65" s="357"/>
      <c r="G65" s="357"/>
      <c r="H65" s="357"/>
      <c r="I65" s="357"/>
      <c r="J65" s="357"/>
      <c r="K65" s="357"/>
    </row>
    <row r="66" spans="1:11" x14ac:dyDescent="0.2">
      <c r="A66" s="357"/>
      <c r="B66" s="357" t="s">
        <v>610</v>
      </c>
      <c r="C66" s="357"/>
      <c r="D66" s="357"/>
      <c r="E66" s="357"/>
      <c r="F66" s="357"/>
      <c r="G66" s="357"/>
      <c r="H66" s="357"/>
      <c r="I66" s="357"/>
      <c r="J66" s="357"/>
      <c r="K66" s="357"/>
    </row>
    <row r="67" spans="1:11" x14ac:dyDescent="0.2">
      <c r="A67" s="357"/>
      <c r="B67" s="357"/>
      <c r="C67" s="357" t="s">
        <v>565</v>
      </c>
      <c r="D67" s="371" t="s">
        <v>566</v>
      </c>
      <c r="E67" s="371"/>
      <c r="F67" s="371"/>
      <c r="G67" s="357"/>
      <c r="H67" s="357"/>
      <c r="I67" s="357"/>
      <c r="J67" s="357"/>
      <c r="K67" s="357"/>
    </row>
    <row r="68" spans="1:11" x14ac:dyDescent="0.2">
      <c r="A68" s="357"/>
      <c r="B68" s="357"/>
      <c r="C68" s="357" t="s">
        <v>567</v>
      </c>
      <c r="D68" s="371" t="s">
        <v>568</v>
      </c>
      <c r="E68" s="371"/>
      <c r="F68" s="371"/>
      <c r="G68" s="357"/>
      <c r="H68" s="357"/>
      <c r="I68" s="357"/>
      <c r="J68" s="357"/>
      <c r="K68" s="357"/>
    </row>
    <row r="69" spans="1:11" x14ac:dyDescent="0.2">
      <c r="A69" s="357"/>
      <c r="B69" s="357"/>
      <c r="C69" s="357" t="s">
        <v>569</v>
      </c>
      <c r="D69" s="371" t="s">
        <v>570</v>
      </c>
      <c r="E69" s="371"/>
      <c r="F69" s="371"/>
      <c r="G69" s="357"/>
      <c r="H69" s="357"/>
      <c r="I69" s="357"/>
      <c r="J69" s="357"/>
      <c r="K69" s="357"/>
    </row>
    <row r="70" spans="1:11" x14ac:dyDescent="0.2">
      <c r="A70" s="357"/>
      <c r="B70" s="357"/>
      <c r="C70" s="357" t="s">
        <v>569</v>
      </c>
      <c r="D70" s="371" t="s">
        <v>571</v>
      </c>
      <c r="E70" s="371"/>
      <c r="F70" s="371"/>
      <c r="G70" s="357"/>
      <c r="H70" s="357"/>
      <c r="I70" s="357"/>
      <c r="J70" s="357"/>
      <c r="K70" s="357"/>
    </row>
    <row r="71" spans="1:11" x14ac:dyDescent="0.2">
      <c r="A71" s="357"/>
      <c r="B71" s="357"/>
      <c r="C71" s="357" t="s">
        <v>569</v>
      </c>
      <c r="D71" s="371" t="s">
        <v>572</v>
      </c>
      <c r="E71" s="371"/>
      <c r="F71" s="371"/>
      <c r="G71" s="357"/>
      <c r="H71" s="357"/>
      <c r="I71" s="357"/>
      <c r="J71" s="357"/>
      <c r="K71" s="357"/>
    </row>
    <row r="72" spans="1:11" x14ac:dyDescent="0.2">
      <c r="A72" s="357"/>
      <c r="B72" s="357"/>
      <c r="C72" s="357" t="s">
        <v>611</v>
      </c>
      <c r="D72" s="371" t="s">
        <v>574</v>
      </c>
      <c r="E72" s="371"/>
      <c r="F72" s="371"/>
      <c r="G72" s="357"/>
      <c r="H72" s="357"/>
      <c r="I72" s="357"/>
      <c r="J72" s="357"/>
      <c r="K72" s="357"/>
    </row>
    <row r="73" spans="1:11" x14ac:dyDescent="0.2">
      <c r="A73" s="357"/>
      <c r="B73" s="357"/>
      <c r="C73" s="357" t="s">
        <v>612</v>
      </c>
      <c r="D73" s="371" t="s">
        <v>613</v>
      </c>
      <c r="E73" s="371"/>
      <c r="F73" s="371"/>
      <c r="G73" s="357"/>
      <c r="H73" s="357"/>
      <c r="I73" s="357"/>
      <c r="J73" s="357"/>
      <c r="K73" s="357"/>
    </row>
    <row r="74" spans="1:11" x14ac:dyDescent="0.2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</row>
    <row r="75" spans="1:11" x14ac:dyDescent="0.2">
      <c r="A75" s="357"/>
      <c r="B75" s="357" t="s">
        <v>614</v>
      </c>
      <c r="C75" s="357"/>
      <c r="D75" s="357"/>
      <c r="E75" s="357"/>
      <c r="F75" s="357"/>
      <c r="G75" s="357"/>
      <c r="H75" s="357"/>
      <c r="I75" s="357"/>
      <c r="J75" s="357"/>
      <c r="K75" s="357"/>
    </row>
    <row r="76" spans="1:11" x14ac:dyDescent="0.2">
      <c r="A76" s="357"/>
      <c r="B76" s="357"/>
      <c r="C76" s="357" t="s">
        <v>615</v>
      </c>
      <c r="D76" s="357" t="s">
        <v>591</v>
      </c>
      <c r="E76" s="357"/>
      <c r="F76" s="357"/>
      <c r="G76" s="357"/>
      <c r="H76" s="357"/>
      <c r="I76" s="357"/>
      <c r="J76" s="357"/>
      <c r="K76" s="357"/>
    </row>
    <row r="77" spans="1:11" x14ac:dyDescent="0.2">
      <c r="A77" s="357"/>
      <c r="B77" s="357"/>
      <c r="C77" s="357" t="s">
        <v>616</v>
      </c>
      <c r="D77" s="357" t="s">
        <v>617</v>
      </c>
      <c r="E77" s="357"/>
      <c r="F77" s="357"/>
      <c r="G77" s="357"/>
      <c r="H77" s="357"/>
      <c r="I77" s="357"/>
      <c r="J77" s="357"/>
      <c r="K77" s="357"/>
    </row>
    <row r="78" spans="1:11" x14ac:dyDescent="0.2">
      <c r="A78" s="357"/>
      <c r="B78" s="357"/>
      <c r="C78" s="357" t="s">
        <v>618</v>
      </c>
      <c r="D78" s="357" t="s">
        <v>619</v>
      </c>
      <c r="E78" s="357"/>
      <c r="F78" s="357"/>
      <c r="G78" s="357"/>
      <c r="H78" s="357"/>
      <c r="I78" s="357"/>
      <c r="J78" s="357"/>
      <c r="K78" s="357"/>
    </row>
    <row r="79" spans="1:11" x14ac:dyDescent="0.2">
      <c r="A79" s="357"/>
      <c r="B79" s="357"/>
      <c r="C79" s="357" t="s">
        <v>620</v>
      </c>
      <c r="D79" s="372">
        <v>0.89</v>
      </c>
      <c r="E79" s="357"/>
      <c r="F79" s="357"/>
      <c r="G79" s="357"/>
      <c r="H79" s="357"/>
      <c r="I79" s="357"/>
      <c r="J79" s="357"/>
      <c r="K79" s="357"/>
    </row>
    <row r="80" spans="1:11" x14ac:dyDescent="0.2">
      <c r="A80" s="357"/>
      <c r="B80" s="357"/>
      <c r="C80" s="357" t="s">
        <v>621</v>
      </c>
      <c r="D80" s="372">
        <v>0.89</v>
      </c>
      <c r="E80" s="357"/>
      <c r="F80" s="357"/>
      <c r="G80" s="357"/>
      <c r="H80" s="357"/>
      <c r="I80" s="357"/>
      <c r="J80" s="357"/>
      <c r="K80" s="357"/>
    </row>
    <row r="81" spans="1:11" x14ac:dyDescent="0.2">
      <c r="A81" s="357"/>
      <c r="B81" s="357"/>
      <c r="C81" s="357"/>
      <c r="D81" s="357"/>
      <c r="E81" s="357"/>
      <c r="F81" s="357"/>
      <c r="G81" s="357"/>
      <c r="H81" s="357"/>
      <c r="I81" s="357"/>
      <c r="J81" s="357"/>
      <c r="K81" s="357"/>
    </row>
    <row r="82" spans="1:11" x14ac:dyDescent="0.2">
      <c r="A82" s="357"/>
      <c r="B82" s="357"/>
      <c r="C82" s="357"/>
      <c r="D82" s="357"/>
      <c r="E82" s="357"/>
      <c r="F82" s="357"/>
      <c r="G82" s="357"/>
      <c r="H82" s="357"/>
      <c r="I82" s="357"/>
      <c r="J82" s="357"/>
      <c r="K82" s="357"/>
    </row>
    <row r="83" spans="1:11" x14ac:dyDescent="0.2">
      <c r="A83" s="357"/>
      <c r="B83" s="357"/>
      <c r="C83" s="357"/>
      <c r="D83" s="357"/>
      <c r="E83" s="357"/>
      <c r="F83" s="357"/>
      <c r="G83" s="357"/>
      <c r="H83" s="357"/>
      <c r="I83" s="357"/>
      <c r="J83" s="357"/>
      <c r="K83" s="357"/>
    </row>
    <row r="84" spans="1:11" x14ac:dyDescent="0.2">
      <c r="A84" s="357"/>
      <c r="B84" s="357"/>
      <c r="C84" s="357"/>
      <c r="D84" s="357"/>
      <c r="E84" s="357"/>
      <c r="F84" s="357"/>
      <c r="G84" s="357"/>
      <c r="H84" s="357"/>
      <c r="I84" s="357"/>
      <c r="J84" s="357"/>
      <c r="K84" s="357"/>
    </row>
    <row r="85" spans="1:11" x14ac:dyDescent="0.2">
      <c r="A85" s="357"/>
      <c r="B85" s="357"/>
      <c r="C85" s="357"/>
      <c r="D85" s="357"/>
      <c r="E85" s="357"/>
      <c r="F85" s="357"/>
      <c r="G85" s="357"/>
      <c r="H85" s="357"/>
      <c r="I85" s="357"/>
      <c r="J85" s="357"/>
      <c r="K85" s="357"/>
    </row>
    <row r="86" spans="1:11" x14ac:dyDescent="0.2">
      <c r="A86" s="357"/>
      <c r="B86" s="357"/>
      <c r="C86" s="357"/>
      <c r="D86" s="357"/>
      <c r="E86" s="357"/>
      <c r="F86" s="357"/>
      <c r="G86" s="357"/>
      <c r="H86" s="357"/>
      <c r="I86" s="357"/>
      <c r="J86" s="357"/>
      <c r="K86" s="357"/>
    </row>
    <row r="87" spans="1:11" x14ac:dyDescent="0.2">
      <c r="A87" s="357"/>
      <c r="B87" s="357"/>
      <c r="C87" s="357"/>
      <c r="D87" s="357"/>
      <c r="E87" s="357"/>
      <c r="F87" s="357"/>
      <c r="G87" s="357"/>
      <c r="H87" s="357"/>
      <c r="I87" s="357"/>
      <c r="J87" s="357"/>
      <c r="K87" s="357"/>
    </row>
    <row r="88" spans="1:11" x14ac:dyDescent="0.2">
      <c r="A88" s="357"/>
      <c r="B88" s="357"/>
      <c r="C88" s="357"/>
      <c r="D88" s="357"/>
      <c r="E88" s="357"/>
      <c r="F88" s="357"/>
      <c r="G88" s="357"/>
      <c r="H88" s="357"/>
      <c r="I88" s="357"/>
      <c r="J88" s="357"/>
      <c r="K88" s="357"/>
    </row>
    <row r="89" spans="1:11" x14ac:dyDescent="0.2">
      <c r="A89" s="357"/>
      <c r="B89" s="357"/>
      <c r="C89" s="357"/>
      <c r="D89" s="357"/>
      <c r="E89" s="357"/>
      <c r="F89" s="357"/>
      <c r="G89" s="357"/>
      <c r="H89" s="357"/>
      <c r="I89" s="357"/>
      <c r="J89" s="357"/>
      <c r="K89" s="357"/>
    </row>
    <row r="90" spans="1:11" x14ac:dyDescent="0.2">
      <c r="A90" s="357"/>
      <c r="B90" s="357"/>
      <c r="C90" s="357"/>
      <c r="D90" s="357"/>
      <c r="E90" s="357"/>
      <c r="F90" s="357"/>
      <c r="G90" s="357"/>
      <c r="H90" s="357"/>
      <c r="I90" s="357"/>
      <c r="J90" s="357"/>
      <c r="K90" s="357"/>
    </row>
    <row r="91" spans="1:11" x14ac:dyDescent="0.2">
      <c r="A91" s="357"/>
      <c r="B91" s="357"/>
      <c r="C91" s="357"/>
      <c r="D91" s="357"/>
      <c r="E91" s="357"/>
      <c r="F91" s="357"/>
      <c r="G91" s="357"/>
      <c r="H91" s="357"/>
      <c r="I91" s="357"/>
      <c r="J91" s="357"/>
      <c r="K91" s="357"/>
    </row>
    <row r="92" spans="1:11" x14ac:dyDescent="0.2">
      <c r="A92" s="357"/>
      <c r="B92" s="357"/>
      <c r="C92" s="357"/>
      <c r="D92" s="357"/>
      <c r="E92" s="357"/>
      <c r="F92" s="357"/>
      <c r="G92" s="357"/>
      <c r="H92" s="357"/>
      <c r="I92" s="357"/>
      <c r="J92" s="357"/>
      <c r="K92" s="357"/>
    </row>
    <row r="93" spans="1:11" x14ac:dyDescent="0.2">
      <c r="A93" s="357"/>
      <c r="B93" s="357"/>
      <c r="C93" s="357"/>
      <c r="D93" s="357"/>
      <c r="E93" s="357"/>
      <c r="F93" s="357"/>
      <c r="G93" s="357"/>
      <c r="H93" s="357"/>
      <c r="I93" s="357"/>
      <c r="J93" s="357"/>
      <c r="K93" s="357"/>
    </row>
    <row r="94" spans="1:11" x14ac:dyDescent="0.2">
      <c r="A94" s="357"/>
      <c r="B94" s="357"/>
      <c r="C94" s="357"/>
      <c r="D94" s="357"/>
      <c r="E94" s="357"/>
      <c r="F94" s="357"/>
      <c r="G94" s="357"/>
      <c r="H94" s="357"/>
      <c r="I94" s="357"/>
      <c r="J94" s="357"/>
      <c r="K94" s="357"/>
    </row>
    <row r="95" spans="1:11" x14ac:dyDescent="0.2">
      <c r="A95" s="357"/>
      <c r="B95" s="357"/>
      <c r="C95" s="357"/>
      <c r="D95" s="357"/>
      <c r="E95" s="357"/>
      <c r="F95" s="357"/>
      <c r="G95" s="357"/>
      <c r="H95" s="357"/>
      <c r="I95" s="357"/>
      <c r="J95" s="357"/>
      <c r="K95" s="357"/>
    </row>
    <row r="96" spans="1:11" x14ac:dyDescent="0.2">
      <c r="A96" s="357"/>
      <c r="B96" s="357"/>
      <c r="C96" s="357"/>
      <c r="D96" s="357"/>
      <c r="E96" s="357"/>
      <c r="F96" s="357"/>
      <c r="G96" s="357"/>
      <c r="H96" s="357"/>
      <c r="I96" s="357"/>
      <c r="J96" s="357"/>
      <c r="K96" s="357"/>
    </row>
    <row r="97" spans="1:11" x14ac:dyDescent="0.2">
      <c r="A97" s="357"/>
      <c r="B97" s="357"/>
      <c r="C97" s="357"/>
      <c r="D97" s="357"/>
      <c r="E97" s="357"/>
      <c r="F97" s="357"/>
      <c r="G97" s="357"/>
      <c r="H97" s="357"/>
      <c r="I97" s="357"/>
      <c r="J97" s="357"/>
      <c r="K97" s="357"/>
    </row>
    <row r="98" spans="1:11" x14ac:dyDescent="0.2">
      <c r="A98" s="357"/>
      <c r="B98" s="357"/>
      <c r="C98" s="357"/>
      <c r="D98" s="357"/>
      <c r="E98" s="357"/>
      <c r="F98" s="357"/>
      <c r="G98" s="357"/>
      <c r="H98" s="357"/>
      <c r="I98" s="357"/>
      <c r="J98" s="357"/>
      <c r="K98" s="357"/>
    </row>
    <row r="99" spans="1:11" x14ac:dyDescent="0.2">
      <c r="A99" s="357"/>
      <c r="B99" s="357"/>
      <c r="C99" s="357"/>
      <c r="D99" s="357"/>
      <c r="E99" s="357"/>
      <c r="F99" s="357"/>
      <c r="G99" s="357"/>
      <c r="H99" s="357"/>
      <c r="I99" s="357"/>
      <c r="J99" s="357"/>
      <c r="K99" s="357"/>
    </row>
    <row r="100" spans="1:11" x14ac:dyDescent="0.2">
      <c r="A100" s="357"/>
      <c r="B100" s="357"/>
      <c r="C100" s="357"/>
      <c r="D100" s="357"/>
      <c r="E100" s="357"/>
      <c r="F100" s="357"/>
      <c r="G100" s="357"/>
      <c r="H100" s="357"/>
      <c r="I100" s="357"/>
      <c r="J100" s="357"/>
      <c r="K100" s="357"/>
    </row>
    <row r="101" spans="1:11" x14ac:dyDescent="0.2">
      <c r="A101" s="357"/>
      <c r="B101" s="357"/>
      <c r="C101" s="357"/>
      <c r="D101" s="357"/>
      <c r="E101" s="357"/>
      <c r="F101" s="357"/>
      <c r="G101" s="357"/>
      <c r="H101" s="357"/>
      <c r="I101" s="357"/>
      <c r="J101" s="357"/>
      <c r="K101" s="357"/>
    </row>
    <row r="102" spans="1:11" x14ac:dyDescent="0.2">
      <c r="A102" s="357"/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</row>
    <row r="103" spans="1:11" x14ac:dyDescent="0.2">
      <c r="A103" s="357"/>
      <c r="B103" s="357"/>
      <c r="C103" s="357"/>
      <c r="D103" s="357"/>
      <c r="E103" s="357"/>
      <c r="F103" s="357"/>
      <c r="G103" s="357"/>
      <c r="H103" s="357"/>
      <c r="I103" s="357"/>
      <c r="J103" s="357"/>
      <c r="K103" s="357"/>
    </row>
    <row r="104" spans="1:11" x14ac:dyDescent="0.2">
      <c r="A104" s="357"/>
      <c r="B104" s="357"/>
      <c r="C104" s="357"/>
      <c r="D104" s="357"/>
      <c r="E104" s="357"/>
      <c r="F104" s="357"/>
      <c r="G104" s="357"/>
      <c r="H104" s="357"/>
      <c r="I104" s="357"/>
      <c r="J104" s="357"/>
      <c r="K104" s="357"/>
    </row>
    <row r="105" spans="1:11" x14ac:dyDescent="0.2">
      <c r="A105" s="357"/>
      <c r="B105" s="357"/>
      <c r="C105" s="357"/>
      <c r="D105" s="357"/>
      <c r="E105" s="357"/>
      <c r="F105" s="357"/>
      <c r="G105" s="357"/>
      <c r="H105" s="357"/>
      <c r="I105" s="357"/>
      <c r="J105" s="357"/>
      <c r="K105" s="357"/>
    </row>
    <row r="106" spans="1:11" x14ac:dyDescent="0.2">
      <c r="A106" s="357"/>
      <c r="B106" s="357"/>
      <c r="C106" s="357"/>
      <c r="D106" s="357"/>
      <c r="E106" s="357"/>
      <c r="F106" s="357"/>
      <c r="G106" s="357"/>
      <c r="H106" s="357"/>
      <c r="I106" s="357"/>
      <c r="J106" s="357"/>
      <c r="K106" s="357"/>
    </row>
    <row r="107" spans="1:11" x14ac:dyDescent="0.2">
      <c r="A107" s="357"/>
      <c r="B107" s="357"/>
      <c r="C107" s="357"/>
      <c r="D107" s="357"/>
      <c r="E107" s="357"/>
      <c r="F107" s="357"/>
      <c r="G107" s="357"/>
      <c r="H107" s="357"/>
      <c r="I107" s="357"/>
      <c r="J107" s="357"/>
      <c r="K107" s="357"/>
    </row>
    <row r="108" spans="1:11" x14ac:dyDescent="0.2">
      <c r="A108" s="357"/>
      <c r="B108" s="357"/>
      <c r="C108" s="357"/>
      <c r="D108" s="357"/>
      <c r="E108" s="357"/>
      <c r="F108" s="357"/>
      <c r="G108" s="357"/>
      <c r="H108" s="357"/>
      <c r="I108" s="357"/>
      <c r="J108" s="357"/>
      <c r="K108" s="357"/>
    </row>
    <row r="109" spans="1:11" x14ac:dyDescent="0.2">
      <c r="A109" s="357"/>
      <c r="B109" s="357"/>
      <c r="C109" s="357"/>
      <c r="D109" s="357"/>
      <c r="E109" s="357"/>
      <c r="F109" s="357"/>
      <c r="G109" s="357"/>
      <c r="H109" s="357"/>
      <c r="I109" s="357"/>
      <c r="J109" s="357"/>
      <c r="K109" s="357"/>
    </row>
    <row r="110" spans="1:11" x14ac:dyDescent="0.2">
      <c r="A110" s="357"/>
      <c r="B110" s="357"/>
      <c r="C110" s="357"/>
      <c r="D110" s="357"/>
      <c r="E110" s="357"/>
      <c r="F110" s="357"/>
      <c r="G110" s="357"/>
      <c r="H110" s="357"/>
      <c r="I110" s="357"/>
      <c r="J110" s="357"/>
      <c r="K110" s="357"/>
    </row>
    <row r="111" spans="1:11" x14ac:dyDescent="0.2">
      <c r="A111" s="357"/>
      <c r="B111" s="357"/>
      <c r="C111" s="357"/>
      <c r="D111" s="357"/>
      <c r="E111" s="357"/>
      <c r="F111" s="357"/>
      <c r="G111" s="357"/>
      <c r="H111" s="357"/>
      <c r="I111" s="357"/>
      <c r="J111" s="357"/>
      <c r="K111" s="357"/>
    </row>
    <row r="112" spans="1:11" x14ac:dyDescent="0.2">
      <c r="I112" s="373"/>
    </row>
    <row r="113" spans="9:9" x14ac:dyDescent="0.2">
      <c r="I113" s="373"/>
    </row>
    <row r="114" spans="9:9" x14ac:dyDescent="0.2">
      <c r="I114" s="373"/>
    </row>
    <row r="115" spans="9:9" x14ac:dyDescent="0.2">
      <c r="I115" s="373"/>
    </row>
    <row r="116" spans="9:9" x14ac:dyDescent="0.2">
      <c r="I116" s="373"/>
    </row>
    <row r="117" spans="9:9" x14ac:dyDescent="0.2">
      <c r="I117" s="373"/>
    </row>
    <row r="118" spans="9:9" x14ac:dyDescent="0.2">
      <c r="I118" s="373"/>
    </row>
    <row r="119" spans="9:9" x14ac:dyDescent="0.2">
      <c r="I119" s="373"/>
    </row>
    <row r="120" spans="9:9" x14ac:dyDescent="0.2">
      <c r="I120" s="373"/>
    </row>
    <row r="121" spans="9:9" x14ac:dyDescent="0.2">
      <c r="I121" s="373"/>
    </row>
    <row r="122" spans="9:9" x14ac:dyDescent="0.2">
      <c r="I122" s="373"/>
    </row>
    <row r="123" spans="9:9" x14ac:dyDescent="0.2">
      <c r="I123" s="373"/>
    </row>
    <row r="124" spans="9:9" x14ac:dyDescent="0.2">
      <c r="I124" s="373"/>
    </row>
    <row r="125" spans="9:9" x14ac:dyDescent="0.2">
      <c r="I125" s="373"/>
    </row>
    <row r="126" spans="9:9" x14ac:dyDescent="0.2">
      <c r="I126" s="373"/>
    </row>
    <row r="127" spans="9:9" x14ac:dyDescent="0.2">
      <c r="I127" s="373"/>
    </row>
    <row r="128" spans="9:9" x14ac:dyDescent="0.2">
      <c r="I128" s="373"/>
    </row>
    <row r="129" spans="1:9" x14ac:dyDescent="0.2">
      <c r="I129" s="373"/>
    </row>
    <row r="130" spans="1:9" x14ac:dyDescent="0.2">
      <c r="I130" s="373"/>
    </row>
    <row r="131" spans="1:9" x14ac:dyDescent="0.2">
      <c r="I131" s="373"/>
    </row>
    <row r="132" spans="1:9" x14ac:dyDescent="0.2">
      <c r="I132" s="373"/>
    </row>
    <row r="133" spans="1:9" x14ac:dyDescent="0.2">
      <c r="I133" s="373"/>
    </row>
    <row r="134" spans="1:9" x14ac:dyDescent="0.2">
      <c r="I134" s="373"/>
    </row>
    <row r="135" spans="1:9" x14ac:dyDescent="0.2">
      <c r="I135" s="373"/>
    </row>
    <row r="136" spans="1:9" x14ac:dyDescent="0.2">
      <c r="I136" s="373"/>
    </row>
    <row r="137" spans="1:9" x14ac:dyDescent="0.2">
      <c r="I137" s="373"/>
    </row>
    <row r="138" spans="1:9" x14ac:dyDescent="0.2">
      <c r="I138" s="373"/>
    </row>
    <row r="139" spans="1:9" x14ac:dyDescent="0.2">
      <c r="I139" s="373"/>
    </row>
    <row r="140" spans="1:9" x14ac:dyDescent="0.2">
      <c r="I140" s="373"/>
    </row>
    <row r="141" spans="1:9" x14ac:dyDescent="0.2">
      <c r="I141" s="373"/>
    </row>
    <row r="142" spans="1:9" s="158" customFormat="1" x14ac:dyDescent="0.2">
      <c r="A142" s="405"/>
      <c r="B142" s="405"/>
      <c r="C142" s="405"/>
      <c r="D142" s="405"/>
      <c r="E142" s="405"/>
      <c r="I142" s="374"/>
    </row>
    <row r="143" spans="1:9" x14ac:dyDescent="0.2">
      <c r="I143" s="373"/>
    </row>
    <row r="144" spans="1:9" x14ac:dyDescent="0.2">
      <c r="I144" s="373"/>
    </row>
    <row r="145" spans="1:9" x14ac:dyDescent="0.2">
      <c r="A145" s="405"/>
      <c r="I145" s="373"/>
    </row>
    <row r="146" spans="1:9" x14ac:dyDescent="0.2">
      <c r="A146" s="407"/>
      <c r="B146" s="407"/>
      <c r="C146" s="407"/>
      <c r="D146" s="407"/>
      <c r="E146" s="407"/>
      <c r="F146" s="406"/>
      <c r="G146" s="406"/>
      <c r="H146" s="406"/>
      <c r="I146" s="373"/>
    </row>
    <row r="147" spans="1:9" x14ac:dyDescent="0.2">
      <c r="G147" s="373"/>
      <c r="I147" s="373"/>
    </row>
    <row r="148" spans="1:9" x14ac:dyDescent="0.2">
      <c r="G148" s="373"/>
      <c r="I148" s="373"/>
    </row>
    <row r="149" spans="1:9" x14ac:dyDescent="0.2">
      <c r="G149" s="373"/>
      <c r="I149" s="373"/>
    </row>
    <row r="150" spans="1:9" x14ac:dyDescent="0.2">
      <c r="G150" s="373"/>
      <c r="I150" s="373"/>
    </row>
    <row r="151" spans="1:9" x14ac:dyDescent="0.2">
      <c r="G151" s="373"/>
      <c r="I151" s="373"/>
    </row>
    <row r="152" spans="1:9" s="158" customFormat="1" x14ac:dyDescent="0.2">
      <c r="A152" s="405"/>
      <c r="B152" s="405"/>
      <c r="C152" s="405"/>
      <c r="D152" s="405"/>
      <c r="E152" s="405"/>
      <c r="G152" s="374"/>
      <c r="I152" s="374"/>
    </row>
    <row r="153" spans="1:9" x14ac:dyDescent="0.2">
      <c r="I153" s="373"/>
    </row>
    <row r="154" spans="1:9" x14ac:dyDescent="0.2">
      <c r="I154" s="373"/>
    </row>
    <row r="155" spans="1:9" x14ac:dyDescent="0.2">
      <c r="I155" s="373"/>
    </row>
    <row r="156" spans="1:9" x14ac:dyDescent="0.2">
      <c r="I156" s="373"/>
    </row>
    <row r="157" spans="1:9" x14ac:dyDescent="0.2">
      <c r="I157" s="373"/>
    </row>
    <row r="158" spans="1:9" x14ac:dyDescent="0.2">
      <c r="I158" s="373"/>
    </row>
    <row r="159" spans="1:9" x14ac:dyDescent="0.2">
      <c r="I159" s="373"/>
    </row>
    <row r="160" spans="1:9" x14ac:dyDescent="0.2">
      <c r="I160" s="373"/>
    </row>
    <row r="161" spans="9:9" x14ac:dyDescent="0.2">
      <c r="I161" s="373"/>
    </row>
    <row r="162" spans="9:9" x14ac:dyDescent="0.2">
      <c r="I162" s="373"/>
    </row>
    <row r="163" spans="9:9" x14ac:dyDescent="0.2">
      <c r="I163" s="373"/>
    </row>
    <row r="164" spans="9:9" x14ac:dyDescent="0.2">
      <c r="I164" s="373"/>
    </row>
    <row r="165" spans="9:9" x14ac:dyDescent="0.2">
      <c r="I165" s="373"/>
    </row>
    <row r="166" spans="9:9" x14ac:dyDescent="0.2">
      <c r="I166" s="373"/>
    </row>
    <row r="167" spans="9:9" x14ac:dyDescent="0.2">
      <c r="I167" s="373"/>
    </row>
    <row r="168" spans="9:9" x14ac:dyDescent="0.2">
      <c r="I168" s="373"/>
    </row>
    <row r="169" spans="9:9" x14ac:dyDescent="0.2">
      <c r="I169" s="373"/>
    </row>
    <row r="170" spans="9:9" x14ac:dyDescent="0.2">
      <c r="I170" s="373"/>
    </row>
    <row r="171" spans="9:9" x14ac:dyDescent="0.2">
      <c r="I171" s="373"/>
    </row>
    <row r="172" spans="9:9" x14ac:dyDescent="0.2">
      <c r="I172" s="373"/>
    </row>
    <row r="173" spans="9:9" x14ac:dyDescent="0.2">
      <c r="I173" s="373"/>
    </row>
    <row r="174" spans="9:9" x14ac:dyDescent="0.2">
      <c r="I174" s="373"/>
    </row>
    <row r="175" spans="9:9" x14ac:dyDescent="0.2">
      <c r="I175" s="373"/>
    </row>
    <row r="176" spans="9:9" x14ac:dyDescent="0.2">
      <c r="I176" s="373"/>
    </row>
    <row r="177" spans="9:9" x14ac:dyDescent="0.2">
      <c r="I177" s="373"/>
    </row>
    <row r="178" spans="9:9" x14ac:dyDescent="0.2">
      <c r="I178" s="373"/>
    </row>
    <row r="179" spans="9:9" x14ac:dyDescent="0.2">
      <c r="I179" s="373"/>
    </row>
    <row r="180" spans="9:9" x14ac:dyDescent="0.2">
      <c r="I180" s="373"/>
    </row>
    <row r="181" spans="9:9" x14ac:dyDescent="0.2">
      <c r="I181" s="373"/>
    </row>
    <row r="182" spans="9:9" x14ac:dyDescent="0.2">
      <c r="I182" s="373"/>
    </row>
    <row r="183" spans="9:9" x14ac:dyDescent="0.2">
      <c r="I183" s="373"/>
    </row>
    <row r="184" spans="9:9" x14ac:dyDescent="0.2">
      <c r="I184" s="373"/>
    </row>
    <row r="185" spans="9:9" x14ac:dyDescent="0.2">
      <c r="I185" s="373"/>
    </row>
    <row r="186" spans="9:9" x14ac:dyDescent="0.2">
      <c r="I186" s="373"/>
    </row>
    <row r="187" spans="9:9" x14ac:dyDescent="0.2">
      <c r="I187" s="373"/>
    </row>
    <row r="188" spans="9:9" x14ac:dyDescent="0.2">
      <c r="I188" s="373"/>
    </row>
    <row r="189" spans="9:9" x14ac:dyDescent="0.2">
      <c r="I189" s="373"/>
    </row>
    <row r="190" spans="9:9" x14ac:dyDescent="0.2">
      <c r="I190" s="373"/>
    </row>
    <row r="191" spans="9:9" x14ac:dyDescent="0.2">
      <c r="I191" s="373"/>
    </row>
    <row r="192" spans="9:9" x14ac:dyDescent="0.2">
      <c r="I192" s="373"/>
    </row>
    <row r="193" spans="9:9" x14ac:dyDescent="0.2">
      <c r="I193" s="373"/>
    </row>
    <row r="194" spans="9:9" x14ac:dyDescent="0.2">
      <c r="I194" s="373"/>
    </row>
    <row r="195" spans="9:9" x14ac:dyDescent="0.2">
      <c r="I195" s="373"/>
    </row>
    <row r="196" spans="9:9" x14ac:dyDescent="0.2">
      <c r="I196" s="373"/>
    </row>
    <row r="197" spans="9:9" x14ac:dyDescent="0.2">
      <c r="I197" s="373"/>
    </row>
    <row r="198" spans="9:9" x14ac:dyDescent="0.2">
      <c r="I198" s="373"/>
    </row>
    <row r="199" spans="9:9" x14ac:dyDescent="0.2">
      <c r="I199" s="373"/>
    </row>
    <row r="200" spans="9:9" x14ac:dyDescent="0.2">
      <c r="I200" s="373"/>
    </row>
    <row r="201" spans="9:9" x14ac:dyDescent="0.2">
      <c r="I201" s="373"/>
    </row>
    <row r="202" spans="9:9" x14ac:dyDescent="0.2">
      <c r="I202" s="373"/>
    </row>
    <row r="203" spans="9:9" x14ac:dyDescent="0.2">
      <c r="I203" s="373"/>
    </row>
    <row r="204" spans="9:9" x14ac:dyDescent="0.2">
      <c r="I204" s="373"/>
    </row>
    <row r="205" spans="9:9" x14ac:dyDescent="0.2">
      <c r="I205" s="373"/>
    </row>
    <row r="206" spans="9:9" x14ac:dyDescent="0.2">
      <c r="I206" s="373"/>
    </row>
    <row r="207" spans="9:9" x14ac:dyDescent="0.2">
      <c r="I207" s="373"/>
    </row>
    <row r="208" spans="9:9" x14ac:dyDescent="0.2">
      <c r="I208" s="373"/>
    </row>
    <row r="209" spans="9:9" x14ac:dyDescent="0.2">
      <c r="I209" s="373"/>
    </row>
    <row r="210" spans="9:9" x14ac:dyDescent="0.2">
      <c r="I210" s="373"/>
    </row>
    <row r="211" spans="9:9" x14ac:dyDescent="0.2">
      <c r="I211" s="373"/>
    </row>
    <row r="212" spans="9:9" x14ac:dyDescent="0.2">
      <c r="I212" s="373"/>
    </row>
    <row r="213" spans="9:9" x14ac:dyDescent="0.2">
      <c r="I213" s="373"/>
    </row>
    <row r="214" spans="9:9" x14ac:dyDescent="0.2">
      <c r="I214" s="373"/>
    </row>
    <row r="215" spans="9:9" x14ac:dyDescent="0.2">
      <c r="I215" s="373"/>
    </row>
    <row r="216" spans="9:9" x14ac:dyDescent="0.2">
      <c r="I216" s="373"/>
    </row>
    <row r="217" spans="9:9" x14ac:dyDescent="0.2">
      <c r="I217" s="373"/>
    </row>
    <row r="218" spans="9:9" x14ac:dyDescent="0.2">
      <c r="I218" s="373"/>
    </row>
    <row r="219" spans="9:9" x14ac:dyDescent="0.2">
      <c r="I219" s="373"/>
    </row>
    <row r="220" spans="9:9" x14ac:dyDescent="0.2">
      <c r="I220" s="373"/>
    </row>
    <row r="221" spans="9:9" x14ac:dyDescent="0.2">
      <c r="I221" s="373"/>
    </row>
    <row r="222" spans="9:9" x14ac:dyDescent="0.2">
      <c r="I222" s="373"/>
    </row>
    <row r="223" spans="9:9" x14ac:dyDescent="0.2">
      <c r="I223" s="373"/>
    </row>
    <row r="224" spans="9:9" x14ac:dyDescent="0.2">
      <c r="I224" s="373"/>
    </row>
    <row r="225" spans="9:9" x14ac:dyDescent="0.2">
      <c r="I225" s="373"/>
    </row>
    <row r="226" spans="9:9" x14ac:dyDescent="0.2">
      <c r="I226" s="373"/>
    </row>
    <row r="227" spans="9:9" x14ac:dyDescent="0.2">
      <c r="I227" s="373"/>
    </row>
    <row r="228" spans="9:9" x14ac:dyDescent="0.2">
      <c r="I228" s="373"/>
    </row>
    <row r="229" spans="9:9" x14ac:dyDescent="0.2">
      <c r="I229" s="373"/>
    </row>
    <row r="230" spans="9:9" x14ac:dyDescent="0.2">
      <c r="I230" s="373"/>
    </row>
    <row r="231" spans="9:9" x14ac:dyDescent="0.2">
      <c r="I231" s="373"/>
    </row>
    <row r="232" spans="9:9" x14ac:dyDescent="0.2">
      <c r="I232" s="373"/>
    </row>
    <row r="233" spans="9:9" x14ac:dyDescent="0.2">
      <c r="I233" s="373"/>
    </row>
    <row r="234" spans="9:9" x14ac:dyDescent="0.2">
      <c r="I234" s="373"/>
    </row>
    <row r="235" spans="9:9" x14ac:dyDescent="0.2">
      <c r="I235" s="373"/>
    </row>
    <row r="236" spans="9:9" x14ac:dyDescent="0.2">
      <c r="I236" s="373"/>
    </row>
    <row r="237" spans="9:9" x14ac:dyDescent="0.2">
      <c r="I237" s="373"/>
    </row>
    <row r="238" spans="9:9" x14ac:dyDescent="0.2">
      <c r="I238" s="373"/>
    </row>
    <row r="239" spans="9:9" x14ac:dyDescent="0.2">
      <c r="I239" s="373"/>
    </row>
    <row r="240" spans="9:9" x14ac:dyDescent="0.2">
      <c r="I240" s="373"/>
    </row>
    <row r="241" spans="9:9" x14ac:dyDescent="0.2">
      <c r="I241" s="373"/>
    </row>
    <row r="242" spans="9:9" x14ac:dyDescent="0.2">
      <c r="I242" s="373"/>
    </row>
    <row r="243" spans="9:9" x14ac:dyDescent="0.2">
      <c r="I243" s="373"/>
    </row>
    <row r="244" spans="9:9" x14ac:dyDescent="0.2">
      <c r="I244" s="373"/>
    </row>
    <row r="245" spans="9:9" x14ac:dyDescent="0.2">
      <c r="I245" s="373"/>
    </row>
    <row r="246" spans="9:9" x14ac:dyDescent="0.2">
      <c r="I246" s="373"/>
    </row>
    <row r="247" spans="9:9" x14ac:dyDescent="0.2">
      <c r="I247" s="373"/>
    </row>
    <row r="248" spans="9:9" x14ac:dyDescent="0.2">
      <c r="I248" s="373"/>
    </row>
    <row r="249" spans="9:9" x14ac:dyDescent="0.2">
      <c r="I249" s="373"/>
    </row>
    <row r="250" spans="9:9" x14ac:dyDescent="0.2">
      <c r="I250" s="373"/>
    </row>
    <row r="251" spans="9:9" x14ac:dyDescent="0.2">
      <c r="I251" s="373"/>
    </row>
    <row r="252" spans="9:9" x14ac:dyDescent="0.2">
      <c r="I252" s="373"/>
    </row>
    <row r="253" spans="9:9" x14ac:dyDescent="0.2">
      <c r="I253" s="373"/>
    </row>
    <row r="254" spans="9:9" x14ac:dyDescent="0.2">
      <c r="I254" s="373"/>
    </row>
    <row r="255" spans="9:9" x14ac:dyDescent="0.2">
      <c r="I255" s="373"/>
    </row>
    <row r="256" spans="9:9" x14ac:dyDescent="0.2">
      <c r="I256" s="373"/>
    </row>
    <row r="257" spans="9:9" x14ac:dyDescent="0.2">
      <c r="I257" s="373"/>
    </row>
    <row r="258" spans="9:9" x14ac:dyDescent="0.2">
      <c r="I258" s="373"/>
    </row>
    <row r="259" spans="9:9" x14ac:dyDescent="0.2">
      <c r="I259" s="373"/>
    </row>
    <row r="260" spans="9:9" x14ac:dyDescent="0.2">
      <c r="I260" s="373"/>
    </row>
    <row r="261" spans="9:9" x14ac:dyDescent="0.2">
      <c r="I261" s="373"/>
    </row>
    <row r="262" spans="9:9" x14ac:dyDescent="0.2">
      <c r="I262" s="373"/>
    </row>
    <row r="263" spans="9:9" x14ac:dyDescent="0.2">
      <c r="I263" s="373"/>
    </row>
    <row r="264" spans="9:9" x14ac:dyDescent="0.2">
      <c r="I264" s="373"/>
    </row>
    <row r="265" spans="9:9" x14ac:dyDescent="0.2">
      <c r="I265" s="373"/>
    </row>
    <row r="266" spans="9:9" x14ac:dyDescent="0.2">
      <c r="I266" s="373"/>
    </row>
    <row r="267" spans="9:9" x14ac:dyDescent="0.2">
      <c r="I267" s="373"/>
    </row>
    <row r="268" spans="9:9" x14ac:dyDescent="0.2">
      <c r="I268" s="373"/>
    </row>
    <row r="269" spans="9:9" x14ac:dyDescent="0.2">
      <c r="I269" s="373"/>
    </row>
    <row r="270" spans="9:9" x14ac:dyDescent="0.2">
      <c r="I270" s="373"/>
    </row>
    <row r="271" spans="9:9" x14ac:dyDescent="0.2">
      <c r="I271" s="373"/>
    </row>
    <row r="272" spans="9:9" x14ac:dyDescent="0.2">
      <c r="I272" s="373"/>
    </row>
    <row r="273" spans="9:9" x14ac:dyDescent="0.2">
      <c r="I273" s="373"/>
    </row>
    <row r="274" spans="9:9" x14ac:dyDescent="0.2">
      <c r="I274" s="373"/>
    </row>
    <row r="275" spans="9:9" x14ac:dyDescent="0.2">
      <c r="I275" s="373"/>
    </row>
    <row r="276" spans="9:9" x14ac:dyDescent="0.2">
      <c r="I276" s="373"/>
    </row>
    <row r="277" spans="9:9" x14ac:dyDescent="0.2">
      <c r="I277" s="373"/>
    </row>
    <row r="278" spans="9:9" x14ac:dyDescent="0.2">
      <c r="I278" s="373"/>
    </row>
    <row r="279" spans="9:9" x14ac:dyDescent="0.2">
      <c r="I279" s="373"/>
    </row>
    <row r="280" spans="9:9" x14ac:dyDescent="0.2">
      <c r="I280" s="373"/>
    </row>
  </sheetData>
  <mergeCells count="19">
    <mergeCell ref="D26:F26"/>
    <mergeCell ref="D21:F21"/>
    <mergeCell ref="D22:F22"/>
    <mergeCell ref="D23:F23"/>
    <mergeCell ref="D24:F24"/>
    <mergeCell ref="D25:F25"/>
    <mergeCell ref="B59:C59"/>
    <mergeCell ref="B58:C58"/>
    <mergeCell ref="D27:F27"/>
    <mergeCell ref="C37:E37"/>
    <mergeCell ref="C49:E49"/>
    <mergeCell ref="B50:C50"/>
    <mergeCell ref="B51:C51"/>
    <mergeCell ref="B52:C52"/>
    <mergeCell ref="B53:C53"/>
    <mergeCell ref="B54:C54"/>
    <mergeCell ref="B55:C55"/>
    <mergeCell ref="B56:C56"/>
    <mergeCell ref="B57:C57"/>
  </mergeCells>
  <hyperlinks>
    <hyperlink ref="D11" r:id="rId1" xr:uid="{8CEBC740-C89C-432B-BF1A-E436F096F945}"/>
    <hyperlink ref="D12" r:id="rId2" xr:uid="{79855358-4049-4A41-9D1C-777CDDC5C6D5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002060"/>
    <pageSetUpPr fitToPage="1"/>
  </sheetPr>
  <dimension ref="B1:L145"/>
  <sheetViews>
    <sheetView showGridLines="0" tabSelected="1" topLeftCell="A71" zoomScale="115" zoomScaleNormal="115" workbookViewId="0">
      <selection activeCell="A90" sqref="A90"/>
    </sheetView>
  </sheetViews>
  <sheetFormatPr baseColWidth="10" defaultColWidth="11.42578125" defaultRowHeight="12" x14ac:dyDescent="0.2"/>
  <cols>
    <col min="1" max="1" width="3.85546875" style="189" customWidth="1"/>
    <col min="2" max="2" width="20.85546875" style="189" hidden="1" customWidth="1"/>
    <col min="3" max="3" width="48.7109375" style="189" customWidth="1"/>
    <col min="4" max="4" width="15.28515625" style="189" customWidth="1"/>
    <col min="5" max="5" width="13.7109375" style="189" customWidth="1"/>
    <col min="6" max="6" width="48.7109375" style="189" customWidth="1"/>
    <col min="7" max="7" width="14.42578125" style="189" bestFit="1" customWidth="1"/>
    <col min="8" max="8" width="13.7109375" style="189" customWidth="1"/>
    <col min="9" max="9" width="11.42578125" style="189"/>
    <col min="10" max="10" width="11.85546875" style="189" bestFit="1" customWidth="1"/>
    <col min="11" max="16384" width="11.42578125" style="189"/>
  </cols>
  <sheetData>
    <row r="1" spans="2:8" ht="55.15" customHeight="1" x14ac:dyDescent="0.2"/>
    <row r="2" spans="2:8" x14ac:dyDescent="0.2">
      <c r="E2" s="182"/>
    </row>
    <row r="3" spans="2:8" s="191" customFormat="1" x14ac:dyDescent="0.2">
      <c r="B3" s="190">
        <v>1</v>
      </c>
      <c r="C3" s="678" t="str">
        <f>+INDICE!B2</f>
        <v>TRADERS PRO CASA DE BOLSA S.A.</v>
      </c>
      <c r="D3" s="678"/>
      <c r="E3" s="678"/>
      <c r="F3" s="678"/>
      <c r="G3" s="678"/>
      <c r="H3" s="678"/>
    </row>
    <row r="4" spans="2:8" s="191" customFormat="1" ht="11.25" customHeight="1" x14ac:dyDescent="0.2">
      <c r="C4" s="678" t="s">
        <v>483</v>
      </c>
      <c r="D4" s="678"/>
      <c r="E4" s="678"/>
      <c r="F4" s="678"/>
      <c r="G4" s="678"/>
      <c r="H4" s="678"/>
    </row>
    <row r="5" spans="2:8" s="191" customFormat="1" ht="27" customHeight="1" x14ac:dyDescent="0.2">
      <c r="B5" s="192" t="s">
        <v>55</v>
      </c>
      <c r="C5" s="686" t="s">
        <v>904</v>
      </c>
      <c r="D5" s="686"/>
      <c r="E5" s="686"/>
      <c r="F5" s="686"/>
      <c r="G5" s="686"/>
      <c r="H5" s="686"/>
    </row>
    <row r="6" spans="2:8" s="191" customFormat="1" ht="12" customHeight="1" x14ac:dyDescent="0.2">
      <c r="B6" s="193" t="s">
        <v>56</v>
      </c>
      <c r="C6" s="687" t="s">
        <v>57</v>
      </c>
      <c r="D6" s="687"/>
      <c r="E6" s="687"/>
      <c r="F6" s="687"/>
      <c r="G6" s="687"/>
      <c r="H6" s="687"/>
    </row>
    <row r="7" spans="2:8" s="191" customFormat="1" ht="32.450000000000003" customHeight="1" x14ac:dyDescent="0.2">
      <c r="B7" s="193"/>
      <c r="C7" s="194" t="s">
        <v>58</v>
      </c>
      <c r="D7" s="195" t="str">
        <f>+INDICE!G1</f>
        <v>PERIODO ACTUAL 30/06/ 2022</v>
      </c>
      <c r="E7" s="196" t="s">
        <v>751</v>
      </c>
      <c r="F7" s="194" t="s">
        <v>59</v>
      </c>
      <c r="G7" s="195" t="str">
        <f>+D7</f>
        <v>PERIODO ACTUAL 30/06/ 2022</v>
      </c>
      <c r="H7" s="195" t="s">
        <v>750</v>
      </c>
    </row>
    <row r="8" spans="2:8" s="191" customFormat="1" ht="11.25" customHeight="1" x14ac:dyDescent="0.2">
      <c r="B8" s="193" t="s">
        <v>60</v>
      </c>
      <c r="C8" s="197" t="s">
        <v>672</v>
      </c>
      <c r="D8" s="198"/>
      <c r="E8" s="199"/>
      <c r="F8" s="200" t="s">
        <v>61</v>
      </c>
      <c r="G8" s="201"/>
      <c r="H8" s="202"/>
    </row>
    <row r="9" spans="2:8" s="191" customFormat="1" ht="11.25" customHeight="1" x14ac:dyDescent="0.25">
      <c r="B9" s="193" t="s">
        <v>62</v>
      </c>
      <c r="C9" s="394" t="s">
        <v>63</v>
      </c>
      <c r="D9" s="203"/>
      <c r="E9" s="202"/>
      <c r="F9" s="200" t="s">
        <v>638</v>
      </c>
      <c r="G9" s="201"/>
      <c r="H9" s="202"/>
    </row>
    <row r="10" spans="2:8" s="191" customFormat="1" ht="11.25" customHeight="1" x14ac:dyDescent="0.25">
      <c r="B10" s="193"/>
      <c r="C10" s="204" t="s">
        <v>64</v>
      </c>
      <c r="D10" s="203">
        <v>0</v>
      </c>
      <c r="E10" s="202">
        <v>0</v>
      </c>
      <c r="F10" s="399" t="s">
        <v>528</v>
      </c>
      <c r="G10" s="201">
        <f>+'Balance Gral 30 06 2022'!B51</f>
        <v>179575179</v>
      </c>
      <c r="H10" s="202">
        <v>5965366</v>
      </c>
    </row>
    <row r="11" spans="2:8" s="191" customFormat="1" ht="11.25" customHeight="1" x14ac:dyDescent="0.25">
      <c r="B11" s="193"/>
      <c r="C11" s="204" t="s">
        <v>65</v>
      </c>
      <c r="D11" s="203">
        <v>0</v>
      </c>
      <c r="E11" s="202">
        <v>0</v>
      </c>
      <c r="F11" s="396" t="s">
        <v>66</v>
      </c>
      <c r="G11" s="201">
        <f>'Balance Gral 30 06 2022'!B62-1-G12</f>
        <v>6631404</v>
      </c>
      <c r="H11" s="202">
        <v>14504430</v>
      </c>
    </row>
    <row r="12" spans="2:8" s="191" customFormat="1" ht="11.25" customHeight="1" x14ac:dyDescent="0.25">
      <c r="B12" s="193"/>
      <c r="C12" s="204" t="s">
        <v>67</v>
      </c>
      <c r="D12" s="203">
        <f>+'Balance Gral 30 06 2022'!B5</f>
        <v>227627665</v>
      </c>
      <c r="E12" s="202">
        <v>112935599</v>
      </c>
      <c r="F12" s="396" t="s">
        <v>529</v>
      </c>
      <c r="G12" s="202">
        <v>18260000</v>
      </c>
      <c r="H12" s="206">
        <v>440000</v>
      </c>
    </row>
    <row r="13" spans="2:8" s="191" customFormat="1" ht="11.25" customHeight="1" x14ac:dyDescent="0.25">
      <c r="B13" s="193"/>
      <c r="C13" s="207"/>
      <c r="D13" s="208">
        <f>+D12+D11+D10</f>
        <v>227627665</v>
      </c>
      <c r="E13" s="208">
        <v>112935599</v>
      </c>
      <c r="F13" s="396" t="s">
        <v>681</v>
      </c>
      <c r="G13" s="201">
        <v>0</v>
      </c>
      <c r="H13" s="202">
        <v>0</v>
      </c>
    </row>
    <row r="14" spans="2:8" s="191" customFormat="1" ht="11.25" customHeight="1" x14ac:dyDescent="0.25">
      <c r="B14" s="193"/>
      <c r="C14" s="207"/>
      <c r="D14" s="203"/>
      <c r="E14" s="202"/>
      <c r="F14" s="396" t="s">
        <v>682</v>
      </c>
      <c r="G14" s="201">
        <v>0</v>
      </c>
      <c r="H14" s="202">
        <v>0</v>
      </c>
    </row>
    <row r="15" spans="2:8" s="191" customFormat="1" ht="11.25" customHeight="1" x14ac:dyDescent="0.2">
      <c r="B15" s="193"/>
      <c r="C15" s="207"/>
      <c r="D15" s="203"/>
      <c r="E15" s="202"/>
      <c r="F15" s="200"/>
      <c r="G15" s="208">
        <f>SUM(G10:G14)</f>
        <v>204466583</v>
      </c>
      <c r="H15" s="208">
        <f>SUM(H10:H14)</f>
        <v>20909796</v>
      </c>
    </row>
    <row r="16" spans="2:8" s="191" customFormat="1" ht="11.25" customHeight="1" x14ac:dyDescent="0.25">
      <c r="B16" s="193" t="s">
        <v>68</v>
      </c>
      <c r="C16" s="394" t="s">
        <v>657</v>
      </c>
      <c r="D16" s="203">
        <v>0</v>
      </c>
      <c r="E16" s="202">
        <v>0</v>
      </c>
      <c r="F16" s="397" t="s">
        <v>69</v>
      </c>
      <c r="G16" s="201"/>
      <c r="H16" s="202"/>
    </row>
    <row r="17" spans="2:12" s="191" customFormat="1" ht="11.25" customHeight="1" x14ac:dyDescent="0.2">
      <c r="B17" s="193" t="s">
        <v>70</v>
      </c>
      <c r="C17" s="207" t="s">
        <v>71</v>
      </c>
      <c r="D17" s="203">
        <v>0</v>
      </c>
      <c r="E17" s="202">
        <v>0</v>
      </c>
      <c r="F17" s="205" t="s">
        <v>72</v>
      </c>
      <c r="G17" s="201">
        <v>0</v>
      </c>
      <c r="H17" s="202">
        <v>0</v>
      </c>
    </row>
    <row r="18" spans="2:12" s="191" customFormat="1" ht="11.25" customHeight="1" x14ac:dyDescent="0.2">
      <c r="B18" s="193"/>
      <c r="C18" s="207" t="s">
        <v>73</v>
      </c>
      <c r="D18" s="203">
        <f>+'Balance Gral 30 06 2022'!B17-D42</f>
        <v>8755081144</v>
      </c>
      <c r="E18" s="202">
        <v>10638534504</v>
      </c>
      <c r="F18" s="205" t="s">
        <v>74</v>
      </c>
      <c r="G18" s="201">
        <f>+'Balance Gral 30 06 2022'!B59</f>
        <v>6754407535</v>
      </c>
      <c r="H18" s="202">
        <v>8918196834</v>
      </c>
    </row>
    <row r="19" spans="2:12" s="191" customFormat="1" ht="11.25" customHeight="1" x14ac:dyDescent="0.2">
      <c r="B19" s="193"/>
      <c r="C19" s="209" t="s">
        <v>75</v>
      </c>
      <c r="D19" s="203">
        <v>0</v>
      </c>
      <c r="E19" s="202">
        <v>0</v>
      </c>
      <c r="F19" s="205" t="s">
        <v>76</v>
      </c>
      <c r="G19" s="210">
        <f>+'Balance Gral 30 06 2022'!B57</f>
        <v>416084999</v>
      </c>
      <c r="H19" s="211">
        <v>107815551</v>
      </c>
    </row>
    <row r="20" spans="2:12" s="191" customFormat="1" ht="11.25" customHeight="1" x14ac:dyDescent="0.2">
      <c r="B20" s="193"/>
      <c r="C20" s="207"/>
      <c r="D20" s="212">
        <f>+D18+D17</f>
        <v>8755081144</v>
      </c>
      <c r="E20" s="212">
        <v>10638534504</v>
      </c>
      <c r="F20" s="213"/>
      <c r="G20" s="214">
        <f>SUM(G17:G19)</f>
        <v>7170492534</v>
      </c>
      <c r="H20" s="214">
        <v>9026012385</v>
      </c>
    </row>
    <row r="21" spans="2:12" s="191" customFormat="1" ht="11.25" customHeight="1" x14ac:dyDescent="0.25">
      <c r="B21" s="193"/>
      <c r="C21" s="394" t="s">
        <v>77</v>
      </c>
      <c r="D21" s="203"/>
      <c r="E21" s="202"/>
      <c r="F21" s="378" t="s">
        <v>679</v>
      </c>
      <c r="G21" s="201"/>
      <c r="H21" s="202"/>
    </row>
    <row r="22" spans="2:12" s="191" customFormat="1" ht="11.25" customHeight="1" x14ac:dyDescent="0.2">
      <c r="B22" s="193"/>
      <c r="C22" s="204" t="s">
        <v>79</v>
      </c>
      <c r="D22" s="203">
        <f>'Balance Gral 30 06 2022'!B30</f>
        <v>18320000</v>
      </c>
      <c r="E22" s="206">
        <v>16074000</v>
      </c>
      <c r="F22" s="205" t="s">
        <v>80</v>
      </c>
      <c r="G22" s="201">
        <v>0</v>
      </c>
      <c r="H22" s="202">
        <v>211539</v>
      </c>
    </row>
    <row r="23" spans="2:12" s="191" customFormat="1" ht="11.25" customHeight="1" x14ac:dyDescent="0.2">
      <c r="B23" s="193"/>
      <c r="C23" s="204" t="s">
        <v>81</v>
      </c>
      <c r="D23" s="203">
        <f>+'Balance Gral 30 06 2022'!B32</f>
        <v>49724326</v>
      </c>
      <c r="E23" s="202">
        <v>25480071</v>
      </c>
      <c r="F23" s="205" t="s">
        <v>82</v>
      </c>
      <c r="G23" s="201">
        <v>0</v>
      </c>
      <c r="H23" s="202">
        <v>0</v>
      </c>
    </row>
    <row r="24" spans="2:12" s="191" customFormat="1" ht="14.1" customHeight="1" x14ac:dyDescent="0.2">
      <c r="B24" s="193"/>
      <c r="C24" s="204" t="s">
        <v>83</v>
      </c>
      <c r="D24" s="203">
        <v>0</v>
      </c>
      <c r="E24" s="202">
        <v>0</v>
      </c>
      <c r="F24" s="205" t="s">
        <v>84</v>
      </c>
      <c r="G24" s="201">
        <v>0</v>
      </c>
      <c r="H24" s="202">
        <v>0</v>
      </c>
    </row>
    <row r="25" spans="2:12" s="191" customFormat="1" ht="11.25" customHeight="1" x14ac:dyDescent="0.2">
      <c r="B25" s="193"/>
      <c r="C25" s="209" t="s">
        <v>85</v>
      </c>
      <c r="D25" s="203">
        <v>0</v>
      </c>
      <c r="E25" s="202">
        <v>0</v>
      </c>
      <c r="F25" s="205" t="s">
        <v>86</v>
      </c>
      <c r="G25" s="201">
        <f>+'Balance Gral 30 06 2022'!B66</f>
        <v>1275000</v>
      </c>
      <c r="H25" s="202">
        <v>981750</v>
      </c>
    </row>
    <row r="26" spans="2:12" s="191" customFormat="1" ht="11.25" customHeight="1" x14ac:dyDescent="0.2">
      <c r="B26" s="193"/>
      <c r="C26" s="204" t="s">
        <v>87</v>
      </c>
      <c r="D26" s="465">
        <f>+'Balance Gral 30 06 2022'!B35</f>
        <v>159120000</v>
      </c>
      <c r="E26" s="202">
        <v>28520000</v>
      </c>
      <c r="F26" s="205" t="s">
        <v>88</v>
      </c>
      <c r="G26" s="210">
        <v>0</v>
      </c>
      <c r="H26" s="211">
        <v>0</v>
      </c>
    </row>
    <row r="27" spans="2:12" s="191" customFormat="1" ht="11.25" customHeight="1" x14ac:dyDescent="0.2">
      <c r="B27" s="193" t="s">
        <v>89</v>
      </c>
      <c r="C27" s="209" t="s">
        <v>90</v>
      </c>
      <c r="D27" s="203">
        <v>0</v>
      </c>
      <c r="E27" s="202">
        <v>0</v>
      </c>
      <c r="F27" s="205"/>
      <c r="G27" s="214">
        <f>SUM(G23:G26)</f>
        <v>1275000</v>
      </c>
      <c r="H27" s="214">
        <f>SUM(H22:H26)</f>
        <v>1193289</v>
      </c>
    </row>
    <row r="28" spans="2:12" s="191" customFormat="1" ht="11.25" customHeight="1" x14ac:dyDescent="0.2">
      <c r="B28" s="193" t="s">
        <v>91</v>
      </c>
      <c r="C28" s="204" t="s">
        <v>92</v>
      </c>
      <c r="D28" s="203">
        <v>0</v>
      </c>
      <c r="E28" s="202">
        <v>0</v>
      </c>
      <c r="F28" s="205"/>
      <c r="G28" s="201"/>
      <c r="H28" s="202"/>
      <c r="J28" s="215"/>
      <c r="K28" s="215"/>
      <c r="L28" s="215"/>
    </row>
    <row r="29" spans="2:12" s="191" customFormat="1" ht="11.25" customHeight="1" x14ac:dyDescent="0.2">
      <c r="B29" s="193" t="s">
        <v>93</v>
      </c>
      <c r="C29" s="204"/>
      <c r="D29" s="208">
        <f>SUM(D22:D28)</f>
        <v>227164326</v>
      </c>
      <c r="E29" s="208">
        <v>70074071</v>
      </c>
      <c r="F29" s="205"/>
      <c r="G29" s="201"/>
      <c r="H29" s="202"/>
      <c r="I29" s="215"/>
      <c r="J29" s="215"/>
      <c r="K29" s="215"/>
      <c r="L29" s="215"/>
    </row>
    <row r="30" spans="2:12" s="191" customFormat="1" ht="11.25" customHeight="1" x14ac:dyDescent="0.25">
      <c r="B30" s="193"/>
      <c r="C30" s="197" t="s">
        <v>94</v>
      </c>
      <c r="D30" s="203"/>
      <c r="E30" s="202"/>
      <c r="F30" s="399" t="s">
        <v>680</v>
      </c>
      <c r="G30" s="201"/>
      <c r="H30" s="202"/>
      <c r="I30" s="216"/>
      <c r="J30" s="216"/>
    </row>
    <row r="31" spans="2:12" s="191" customFormat="1" ht="11.25" customHeight="1" x14ac:dyDescent="0.25">
      <c r="B31" s="193" t="s">
        <v>96</v>
      </c>
      <c r="C31" s="395" t="s">
        <v>668</v>
      </c>
      <c r="D31" s="198"/>
      <c r="E31" s="199"/>
      <c r="F31" s="217"/>
      <c r="G31" s="218"/>
      <c r="H31" s="199"/>
    </row>
    <row r="32" spans="2:12" s="191" customFormat="1" ht="11.25" customHeight="1" x14ac:dyDescent="0.2">
      <c r="B32" s="193" t="s">
        <v>97</v>
      </c>
      <c r="C32" s="204" t="s">
        <v>666</v>
      </c>
      <c r="D32" s="203">
        <f>+'Balance Gral 30 06 2022'!B40</f>
        <v>998105548</v>
      </c>
      <c r="E32" s="202">
        <v>337853472</v>
      </c>
      <c r="F32" s="205" t="s">
        <v>98</v>
      </c>
      <c r="G32" s="201">
        <v>0</v>
      </c>
      <c r="H32" s="202">
        <v>0</v>
      </c>
    </row>
    <row r="33" spans="2:9" s="191" customFormat="1" ht="11.25" customHeight="1" x14ac:dyDescent="0.2">
      <c r="B33" s="193" t="s">
        <v>99</v>
      </c>
      <c r="C33" s="204" t="s">
        <v>667</v>
      </c>
      <c r="D33" s="203">
        <v>0</v>
      </c>
      <c r="E33" s="202">
        <v>0</v>
      </c>
      <c r="F33" s="205" t="s">
        <v>100</v>
      </c>
      <c r="G33" s="201">
        <v>0</v>
      </c>
      <c r="H33" s="202">
        <v>0</v>
      </c>
      <c r="I33" s="216">
        <v>0</v>
      </c>
    </row>
    <row r="34" spans="2:9" s="191" customFormat="1" ht="11.25" customHeight="1" x14ac:dyDescent="0.2">
      <c r="B34" s="193" t="s">
        <v>101</v>
      </c>
      <c r="C34" s="204" t="s">
        <v>535</v>
      </c>
      <c r="D34" s="203">
        <v>0</v>
      </c>
      <c r="E34" s="202">
        <v>0</v>
      </c>
      <c r="F34" s="205" t="s">
        <v>102</v>
      </c>
      <c r="G34" s="201">
        <f>+'Balance Gral 30 06 2022'!B67</f>
        <v>586905370</v>
      </c>
      <c r="H34" s="202">
        <v>297828231</v>
      </c>
    </row>
    <row r="35" spans="2:9" s="191" customFormat="1" ht="11.25" customHeight="1" x14ac:dyDescent="0.2">
      <c r="B35" s="193"/>
      <c r="C35" s="204"/>
      <c r="D35" s="203"/>
      <c r="E35" s="202"/>
      <c r="F35" s="205"/>
      <c r="G35" s="201"/>
      <c r="H35" s="211"/>
    </row>
    <row r="36" spans="2:9" s="191" customFormat="1" ht="11.25" customHeight="1" x14ac:dyDescent="0.2">
      <c r="B36" s="193"/>
      <c r="C36" s="197"/>
      <c r="D36" s="208">
        <f>SUM(D32:D35)</f>
        <v>998105548</v>
      </c>
      <c r="E36" s="208">
        <v>337853472</v>
      </c>
      <c r="F36" s="205"/>
      <c r="G36" s="219">
        <f>SUM(G32:G35)</f>
        <v>586905370</v>
      </c>
      <c r="H36" s="214">
        <f>SUM(H32:H35)</f>
        <v>297828231</v>
      </c>
    </row>
    <row r="37" spans="2:9" s="191" customFormat="1" ht="11.25" customHeight="1" thickBot="1" x14ac:dyDescent="0.25">
      <c r="B37" s="193" t="s">
        <v>103</v>
      </c>
      <c r="C37" s="220" t="s">
        <v>665</v>
      </c>
      <c r="D37" s="221">
        <f>+D36+D29+D20+D13</f>
        <v>10207978683</v>
      </c>
      <c r="E37" s="221">
        <v>11159397646</v>
      </c>
      <c r="F37" s="222" t="s">
        <v>664</v>
      </c>
      <c r="G37" s="223">
        <f>+G36+G27+G20+G15</f>
        <v>7963139487</v>
      </c>
      <c r="H37" s="224">
        <f>+H36+H27+H20+H15</f>
        <v>9345943701</v>
      </c>
    </row>
    <row r="38" spans="2:9" s="191" customFormat="1" ht="11.25" customHeight="1" thickTop="1" x14ac:dyDescent="0.2">
      <c r="B38" s="193"/>
      <c r="C38" s="204"/>
      <c r="D38" s="225"/>
      <c r="E38" s="202"/>
      <c r="F38" s="213"/>
      <c r="G38" s="201"/>
      <c r="H38" s="202"/>
    </row>
    <row r="39" spans="2:9" s="191" customFormat="1" ht="11.25" customHeight="1" x14ac:dyDescent="0.2">
      <c r="B39" s="193" t="s">
        <v>104</v>
      </c>
      <c r="C39" s="197" t="s">
        <v>105</v>
      </c>
      <c r="D39" s="203"/>
      <c r="E39" s="202"/>
      <c r="F39" s="200" t="s">
        <v>106</v>
      </c>
      <c r="G39" s="201"/>
      <c r="H39" s="202"/>
    </row>
    <row r="40" spans="2:9" s="191" customFormat="1" ht="11.25" customHeight="1" x14ac:dyDescent="0.25">
      <c r="B40" s="193" t="s">
        <v>107</v>
      </c>
      <c r="C40" s="394" t="s">
        <v>108</v>
      </c>
      <c r="D40" s="203"/>
      <c r="E40" s="202"/>
      <c r="F40" s="200" t="s">
        <v>638</v>
      </c>
      <c r="G40" s="201"/>
      <c r="H40" s="202"/>
    </row>
    <row r="41" spans="2:9" s="191" customFormat="1" ht="11.25" customHeight="1" x14ac:dyDescent="0.25">
      <c r="B41" s="193"/>
      <c r="C41" s="204" t="s">
        <v>71</v>
      </c>
      <c r="D41" s="203">
        <v>0</v>
      </c>
      <c r="E41" s="202">
        <v>0</v>
      </c>
      <c r="F41" s="396" t="s">
        <v>528</v>
      </c>
      <c r="G41" s="201"/>
      <c r="H41" s="202"/>
    </row>
    <row r="42" spans="2:9" s="191" customFormat="1" ht="11.25" customHeight="1" x14ac:dyDescent="0.25">
      <c r="B42" s="193"/>
      <c r="C42" s="204" t="s">
        <v>111</v>
      </c>
      <c r="D42" s="203">
        <v>600000000</v>
      </c>
      <c r="E42" s="202">
        <v>600000000</v>
      </c>
      <c r="F42" s="396" t="s">
        <v>66</v>
      </c>
      <c r="G42" s="201"/>
      <c r="H42" s="202"/>
    </row>
    <row r="43" spans="2:9" s="191" customFormat="1" ht="11.25" customHeight="1" x14ac:dyDescent="0.25">
      <c r="B43" s="193"/>
      <c r="C43" s="204" t="s">
        <v>112</v>
      </c>
      <c r="D43" s="203">
        <f>+Tabla1[[#This Row],[30/06/2022]]</f>
        <v>900000000</v>
      </c>
      <c r="E43" s="202">
        <v>900000000</v>
      </c>
      <c r="F43" s="396" t="s">
        <v>529</v>
      </c>
      <c r="G43" s="201"/>
      <c r="H43" s="202"/>
    </row>
    <row r="44" spans="2:9" s="191" customFormat="1" ht="11.25" customHeight="1" x14ac:dyDescent="0.25">
      <c r="B44" s="193"/>
      <c r="C44" s="204" t="s">
        <v>113</v>
      </c>
      <c r="D44" s="203">
        <v>0</v>
      </c>
      <c r="E44" s="202">
        <v>0</v>
      </c>
      <c r="F44" s="396" t="s">
        <v>681</v>
      </c>
      <c r="G44" s="201"/>
      <c r="H44" s="202"/>
    </row>
    <row r="45" spans="2:9" s="191" customFormat="1" ht="11.25" customHeight="1" x14ac:dyDescent="0.25">
      <c r="B45" s="227" t="s">
        <v>115</v>
      </c>
      <c r="C45" s="204" t="s">
        <v>116</v>
      </c>
      <c r="D45" s="203">
        <v>0</v>
      </c>
      <c r="E45" s="202">
        <v>0</v>
      </c>
      <c r="F45" s="396" t="s">
        <v>682</v>
      </c>
      <c r="G45" s="201"/>
      <c r="H45" s="202"/>
    </row>
    <row r="46" spans="2:9" s="191" customFormat="1" ht="11.25" customHeight="1" x14ac:dyDescent="0.2">
      <c r="B46" s="193" t="s">
        <v>117</v>
      </c>
      <c r="C46" s="209" t="s">
        <v>85</v>
      </c>
      <c r="D46" s="203">
        <v>0</v>
      </c>
      <c r="E46" s="202">
        <v>0</v>
      </c>
      <c r="F46" s="200"/>
      <c r="G46" s="201"/>
      <c r="H46" s="202"/>
    </row>
    <row r="47" spans="2:9" s="191" customFormat="1" ht="11.25" customHeight="1" x14ac:dyDescent="0.25">
      <c r="B47" s="193" t="s">
        <v>119</v>
      </c>
      <c r="C47" s="207"/>
      <c r="D47" s="208">
        <f>+D41+D43+D42</f>
        <v>1500000000</v>
      </c>
      <c r="E47" s="208">
        <v>1500000000</v>
      </c>
      <c r="F47" s="397" t="s">
        <v>69</v>
      </c>
      <c r="G47" s="201"/>
      <c r="H47" s="202"/>
    </row>
    <row r="48" spans="2:9" s="191" customFormat="1" ht="11.25" customHeight="1" x14ac:dyDescent="0.25">
      <c r="B48" s="193"/>
      <c r="C48" s="394" t="s">
        <v>77</v>
      </c>
      <c r="D48" s="203"/>
      <c r="E48" s="202"/>
      <c r="F48" s="205" t="s">
        <v>110</v>
      </c>
      <c r="G48" s="201">
        <v>0</v>
      </c>
      <c r="H48" s="202">
        <v>0</v>
      </c>
    </row>
    <row r="49" spans="2:8" s="191" customFormat="1" ht="11.25" customHeight="1" x14ac:dyDescent="0.2">
      <c r="B49" s="193"/>
      <c r="C49" s="204" t="s">
        <v>79</v>
      </c>
      <c r="D49" s="203">
        <v>0</v>
      </c>
      <c r="E49" s="203">
        <v>0</v>
      </c>
      <c r="F49" s="205" t="s">
        <v>76</v>
      </c>
      <c r="G49" s="201">
        <v>0</v>
      </c>
      <c r="H49" s="202">
        <v>0</v>
      </c>
    </row>
    <row r="50" spans="2:8" s="191" customFormat="1" ht="11.25" customHeight="1" x14ac:dyDescent="0.2">
      <c r="B50" s="193" t="s">
        <v>123</v>
      </c>
      <c r="C50" s="204" t="s">
        <v>83</v>
      </c>
      <c r="D50" s="203">
        <v>0</v>
      </c>
      <c r="E50" s="203">
        <v>0</v>
      </c>
      <c r="F50" s="226"/>
      <c r="G50" s="208">
        <v>0</v>
      </c>
      <c r="H50" s="212">
        <v>0</v>
      </c>
    </row>
    <row r="51" spans="2:8" s="191" customFormat="1" ht="11.25" customHeight="1" x14ac:dyDescent="0.2">
      <c r="B51" s="193" t="s">
        <v>124</v>
      </c>
      <c r="C51" s="204" t="s">
        <v>125</v>
      </c>
      <c r="D51" s="203"/>
      <c r="E51" s="203"/>
      <c r="F51" s="200" t="s">
        <v>114</v>
      </c>
      <c r="G51" s="201"/>
      <c r="H51" s="202"/>
    </row>
    <row r="52" spans="2:8" s="191" customFormat="1" ht="11.25" customHeight="1" x14ac:dyDescent="0.2">
      <c r="B52" s="193" t="s">
        <v>126</v>
      </c>
      <c r="C52" s="209" t="s">
        <v>85</v>
      </c>
      <c r="D52" s="203"/>
      <c r="E52" s="203"/>
      <c r="F52" s="205" t="s">
        <v>118</v>
      </c>
      <c r="G52" s="201">
        <v>0</v>
      </c>
      <c r="H52" s="202">
        <v>0</v>
      </c>
    </row>
    <row r="53" spans="2:8" s="191" customFormat="1" ht="11.25" customHeight="1" x14ac:dyDescent="0.2">
      <c r="B53" s="193" t="s">
        <v>127</v>
      </c>
      <c r="C53" s="204" t="s">
        <v>87</v>
      </c>
      <c r="D53" s="203"/>
      <c r="E53" s="203"/>
      <c r="F53" s="205" t="s">
        <v>120</v>
      </c>
      <c r="G53" s="201">
        <v>0</v>
      </c>
      <c r="H53" s="202">
        <v>0</v>
      </c>
    </row>
    <row r="54" spans="2:8" s="191" customFormat="1" ht="11.25" customHeight="1" x14ac:dyDescent="0.2">
      <c r="B54" s="193"/>
      <c r="C54" s="209" t="s">
        <v>90</v>
      </c>
      <c r="D54" s="203"/>
      <c r="E54" s="203"/>
      <c r="F54" s="205" t="s">
        <v>122</v>
      </c>
      <c r="G54" s="201"/>
      <c r="H54" s="202"/>
    </row>
    <row r="55" spans="2:8" s="191" customFormat="1" ht="11.25" customHeight="1" x14ac:dyDescent="0.2">
      <c r="B55" s="193"/>
      <c r="C55" s="204" t="s">
        <v>92</v>
      </c>
      <c r="D55" s="203"/>
      <c r="E55" s="203"/>
      <c r="F55" s="213"/>
      <c r="G55" s="201">
        <v>0</v>
      </c>
      <c r="H55" s="202">
        <v>0</v>
      </c>
    </row>
    <row r="56" spans="2:8" s="191" customFormat="1" ht="11.25" customHeight="1" x14ac:dyDescent="0.2">
      <c r="B56" s="193"/>
      <c r="C56" s="204"/>
      <c r="D56" s="203"/>
      <c r="E56" s="202"/>
      <c r="F56" s="213"/>
      <c r="G56" s="218"/>
      <c r="H56" s="199"/>
    </row>
    <row r="57" spans="2:8" s="191" customFormat="1" ht="11.25" customHeight="1" thickBot="1" x14ac:dyDescent="0.25">
      <c r="B57" s="193" t="s">
        <v>131</v>
      </c>
      <c r="C57" s="207"/>
      <c r="D57" s="208">
        <f>+D49+D50</f>
        <v>0</v>
      </c>
      <c r="E57" s="208">
        <v>0</v>
      </c>
      <c r="F57" s="222" t="s">
        <v>663</v>
      </c>
      <c r="G57" s="221">
        <v>0</v>
      </c>
      <c r="H57" s="221">
        <v>0</v>
      </c>
    </row>
    <row r="58" spans="2:8" s="191" customFormat="1" ht="11.25" customHeight="1" thickTop="1" x14ac:dyDescent="0.25">
      <c r="B58" s="193"/>
      <c r="C58" s="394" t="s">
        <v>132</v>
      </c>
      <c r="D58" s="203"/>
      <c r="E58" s="202"/>
      <c r="F58" s="228" t="s">
        <v>662</v>
      </c>
      <c r="G58" s="229">
        <f>+G37</f>
        <v>7963139487</v>
      </c>
      <c r="H58" s="229">
        <f>+H37</f>
        <v>9345943701</v>
      </c>
    </row>
    <row r="59" spans="2:8" s="191" customFormat="1" ht="11.25" customHeight="1" x14ac:dyDescent="0.25">
      <c r="B59" s="193"/>
      <c r="C59" s="204" t="s">
        <v>134</v>
      </c>
      <c r="D59" s="203">
        <f>+'Balance Gral 30 06 2022'!B46</f>
        <v>5276772</v>
      </c>
      <c r="E59" s="202">
        <v>5276772</v>
      </c>
      <c r="F59" s="397" t="s">
        <v>128</v>
      </c>
      <c r="G59" s="201"/>
      <c r="H59" s="202"/>
    </row>
    <row r="60" spans="2:8" s="191" customFormat="1" ht="11.25" customHeight="1" x14ac:dyDescent="0.2">
      <c r="B60" s="193"/>
      <c r="C60" s="204" t="s">
        <v>136</v>
      </c>
      <c r="D60" s="203">
        <v>0</v>
      </c>
      <c r="E60" s="202">
        <v>0</v>
      </c>
      <c r="F60" s="200" t="s">
        <v>264</v>
      </c>
      <c r="G60" s="201"/>
      <c r="H60" s="202"/>
    </row>
    <row r="61" spans="2:8" s="191" customFormat="1" ht="11.25" customHeight="1" x14ac:dyDescent="0.2">
      <c r="B61" s="193"/>
      <c r="C61" s="204"/>
      <c r="D61" s="208">
        <f>+D59+D60</f>
        <v>5276772</v>
      </c>
      <c r="E61" s="208">
        <v>5276772</v>
      </c>
      <c r="F61" s="205" t="s">
        <v>129</v>
      </c>
      <c r="G61" s="201">
        <f>+'Balance Gral 30 06 2022'!B72</f>
        <v>3805000000</v>
      </c>
      <c r="H61" s="202">
        <v>3386000000</v>
      </c>
    </row>
    <row r="62" spans="2:8" s="191" customFormat="1" ht="11.25" customHeight="1" x14ac:dyDescent="0.25">
      <c r="B62" s="193"/>
      <c r="C62" s="394" t="s">
        <v>139</v>
      </c>
      <c r="D62" s="203"/>
      <c r="E62" s="202"/>
      <c r="F62" s="205" t="s">
        <v>130</v>
      </c>
      <c r="G62" s="210">
        <v>0</v>
      </c>
      <c r="H62" s="211">
        <v>0</v>
      </c>
    </row>
    <row r="63" spans="2:8" s="191" customFormat="1" ht="11.25" customHeight="1" x14ac:dyDescent="0.2">
      <c r="B63" s="193"/>
      <c r="C63" s="204" t="s">
        <v>140</v>
      </c>
      <c r="D63" s="203">
        <v>0</v>
      </c>
      <c r="E63" s="202">
        <v>0</v>
      </c>
      <c r="F63" s="213"/>
      <c r="G63" s="208">
        <f>SUM(G61:G62)</f>
        <v>3805000000</v>
      </c>
      <c r="H63" s="208">
        <v>3386000000</v>
      </c>
    </row>
    <row r="64" spans="2:8" s="191" customFormat="1" ht="11.25" customHeight="1" x14ac:dyDescent="0.2">
      <c r="B64" s="193"/>
      <c r="C64" s="204" t="s">
        <v>141</v>
      </c>
      <c r="D64" s="203">
        <v>0</v>
      </c>
      <c r="E64" s="202">
        <v>0</v>
      </c>
      <c r="F64" s="200" t="s">
        <v>265</v>
      </c>
      <c r="G64" s="201"/>
      <c r="H64" s="202"/>
    </row>
    <row r="65" spans="2:10" s="191" customFormat="1" ht="11.25" customHeight="1" x14ac:dyDescent="0.2">
      <c r="B65" s="193"/>
      <c r="C65" s="204" t="s">
        <v>142</v>
      </c>
      <c r="D65" s="203">
        <v>0</v>
      </c>
      <c r="E65" s="202">
        <v>0</v>
      </c>
      <c r="F65" s="205" t="s">
        <v>135</v>
      </c>
      <c r="G65" s="201">
        <v>0</v>
      </c>
      <c r="H65" s="202">
        <v>0</v>
      </c>
    </row>
    <row r="66" spans="2:10" s="191" customFormat="1" ht="11.25" customHeight="1" x14ac:dyDescent="0.2">
      <c r="B66" s="193"/>
      <c r="C66" s="204" t="s">
        <v>143</v>
      </c>
      <c r="D66" s="203">
        <v>0</v>
      </c>
      <c r="E66" s="202">
        <v>0</v>
      </c>
      <c r="F66" s="205" t="s">
        <v>137</v>
      </c>
      <c r="G66" s="201">
        <v>0</v>
      </c>
      <c r="H66" s="203">
        <v>0</v>
      </c>
    </row>
    <row r="67" spans="2:10" s="191" customFormat="1" ht="11.25" customHeight="1" x14ac:dyDescent="0.2">
      <c r="B67" s="193"/>
      <c r="C67" s="391" t="s">
        <v>639</v>
      </c>
      <c r="D67" s="230">
        <v>0</v>
      </c>
      <c r="E67" s="211">
        <v>0</v>
      </c>
      <c r="F67" s="205" t="s">
        <v>138</v>
      </c>
      <c r="G67" s="201">
        <v>0</v>
      </c>
      <c r="H67" s="202">
        <v>0</v>
      </c>
    </row>
    <row r="68" spans="2:10" s="191" customFormat="1" ht="11.25" customHeight="1" x14ac:dyDescent="0.2">
      <c r="B68" s="193"/>
      <c r="C68" s="207"/>
      <c r="D68" s="208">
        <f>SUM(D63:D67)</f>
        <v>0</v>
      </c>
      <c r="E68" s="208">
        <v>0</v>
      </c>
      <c r="F68" s="205"/>
      <c r="G68" s="201"/>
      <c r="H68" s="202"/>
    </row>
    <row r="69" spans="2:10" s="191" customFormat="1" ht="11.25" customHeight="1" x14ac:dyDescent="0.2">
      <c r="B69" s="193" t="s">
        <v>147</v>
      </c>
      <c r="C69" s="197" t="s">
        <v>94</v>
      </c>
      <c r="D69" s="203"/>
      <c r="E69" s="202"/>
      <c r="F69" s="205"/>
      <c r="G69" s="208">
        <f>SUM(G65:G68)</f>
        <v>0</v>
      </c>
      <c r="H69" s="208">
        <v>0</v>
      </c>
    </row>
    <row r="70" spans="2:10" s="191" customFormat="1" ht="11.25" customHeight="1" x14ac:dyDescent="0.25">
      <c r="B70" s="193" t="s">
        <v>148</v>
      </c>
      <c r="C70" s="394" t="s">
        <v>670</v>
      </c>
      <c r="D70" s="203"/>
      <c r="E70" s="202"/>
      <c r="F70" s="200"/>
      <c r="G70" s="218"/>
      <c r="H70" s="199"/>
    </row>
    <row r="71" spans="2:10" s="191" customFormat="1" ht="11.25" customHeight="1" x14ac:dyDescent="0.2">
      <c r="B71" s="193"/>
      <c r="C71" s="204" t="s">
        <v>669</v>
      </c>
      <c r="D71" s="203">
        <v>0</v>
      </c>
      <c r="E71" s="202">
        <v>0</v>
      </c>
      <c r="F71" s="200" t="s">
        <v>144</v>
      </c>
      <c r="G71" s="218"/>
      <c r="H71" s="199"/>
    </row>
    <row r="72" spans="2:10" s="191" customFormat="1" ht="11.25" customHeight="1" x14ac:dyDescent="0.2">
      <c r="B72" s="193" t="s">
        <v>149</v>
      </c>
      <c r="C72" s="204" t="s">
        <v>150</v>
      </c>
      <c r="D72" s="203">
        <f>+'Balance Gral 30 06 2022'!B47</f>
        <v>57739382</v>
      </c>
      <c r="E72" s="202">
        <v>57739382</v>
      </c>
      <c r="F72" s="213" t="s">
        <v>144</v>
      </c>
      <c r="G72" s="201">
        <f>+'Balance Gral 30 06 2022'!B76</f>
        <v>-9529901</v>
      </c>
      <c r="H72" s="202">
        <v>0</v>
      </c>
    </row>
    <row r="73" spans="2:10" ht="11.25" customHeight="1" x14ac:dyDescent="0.2">
      <c r="B73" s="236" t="s">
        <v>151</v>
      </c>
      <c r="C73" s="204" t="s">
        <v>152</v>
      </c>
      <c r="D73" s="203">
        <v>0</v>
      </c>
      <c r="E73" s="202">
        <v>0</v>
      </c>
      <c r="F73" s="213" t="s">
        <v>146</v>
      </c>
      <c r="G73" s="231">
        <f>+'Balance Gral 30 06 2022'!B78</f>
        <v>12385250.720000001</v>
      </c>
      <c r="H73" s="231">
        <f>-9318361.73-211539</f>
        <v>-9529900.7300000004</v>
      </c>
    </row>
    <row r="74" spans="2:10" ht="11.25" customHeight="1" x14ac:dyDescent="0.2">
      <c r="B74" s="236" t="s">
        <v>153</v>
      </c>
      <c r="C74" s="207"/>
      <c r="D74" s="237">
        <f>SUM(D71:D73)</f>
        <v>57739382</v>
      </c>
      <c r="E74" s="237">
        <v>57739382</v>
      </c>
      <c r="F74" s="213"/>
      <c r="G74" s="232">
        <f>SUM(G72:G73)</f>
        <v>2855349.7200000007</v>
      </c>
      <c r="H74" s="232">
        <f>SUM(H72:H73)</f>
        <v>-9529900.7300000004</v>
      </c>
      <c r="J74" s="240"/>
    </row>
    <row r="75" spans="2:10" ht="11.25" customHeight="1" x14ac:dyDescent="0.2">
      <c r="B75" s="236" t="s">
        <v>154</v>
      </c>
      <c r="C75" s="238" t="s">
        <v>658</v>
      </c>
      <c r="D75" s="234">
        <f>+D68+D74+D61+D57+D47</f>
        <v>1563016154</v>
      </c>
      <c r="E75" s="234">
        <v>1563016154</v>
      </c>
      <c r="F75" s="233" t="s">
        <v>661</v>
      </c>
      <c r="G75" s="234">
        <f>+G63+G69+G74</f>
        <v>3807855349.7199998</v>
      </c>
      <c r="H75" s="234">
        <f>+H63+H69+H74</f>
        <v>3376470099.27</v>
      </c>
    </row>
    <row r="76" spans="2:10" ht="11.25" customHeight="1" x14ac:dyDescent="0.2">
      <c r="B76" s="236"/>
      <c r="C76" s="238" t="s">
        <v>659</v>
      </c>
      <c r="D76" s="235">
        <f>+D37+D75</f>
        <v>11770994837</v>
      </c>
      <c r="E76" s="235">
        <v>12722413800</v>
      </c>
      <c r="F76" s="233" t="s">
        <v>660</v>
      </c>
      <c r="G76" s="235">
        <f>+G58+G75</f>
        <v>11770994836.719999</v>
      </c>
      <c r="H76" s="235">
        <f>+H58+H75</f>
        <v>12722413800.27</v>
      </c>
    </row>
    <row r="77" spans="2:10" ht="11.25" hidden="1" customHeight="1" x14ac:dyDescent="0.2">
      <c r="B77" s="236" t="s">
        <v>155</v>
      </c>
      <c r="C77" s="29"/>
      <c r="D77" s="311"/>
      <c r="E77" s="311"/>
      <c r="G77" s="309"/>
      <c r="H77" s="310"/>
    </row>
    <row r="78" spans="2:10" ht="11.25" customHeight="1" x14ac:dyDescent="0.2">
      <c r="B78" s="236" t="s">
        <v>156</v>
      </c>
      <c r="D78" s="666">
        <f>+D76-G76</f>
        <v>0.28000068664550781</v>
      </c>
      <c r="E78" s="667">
        <f>+E76-H76</f>
        <v>-0.27000045776367188</v>
      </c>
      <c r="F78" s="668"/>
      <c r="G78" s="669"/>
      <c r="H78" s="670"/>
      <c r="I78" s="298"/>
    </row>
    <row r="79" spans="2:10" ht="11.25" customHeight="1" x14ac:dyDescent="0.2">
      <c r="B79" s="236" t="s">
        <v>157</v>
      </c>
      <c r="C79" s="688" t="s">
        <v>749</v>
      </c>
      <c r="D79" s="688"/>
      <c r="E79" s="688"/>
      <c r="F79" s="688"/>
      <c r="G79" s="688"/>
      <c r="H79" s="688"/>
    </row>
    <row r="80" spans="2:10" ht="11.25" customHeight="1" x14ac:dyDescent="0.2">
      <c r="B80" s="236"/>
      <c r="D80" s="240"/>
      <c r="F80" s="298"/>
      <c r="G80" s="401"/>
      <c r="H80" s="401"/>
    </row>
    <row r="81" spans="2:8" ht="11.25" customHeight="1" x14ac:dyDescent="0.2">
      <c r="B81" s="236" t="s">
        <v>158</v>
      </c>
      <c r="F81" s="298"/>
      <c r="G81" s="401"/>
      <c r="H81" s="401"/>
    </row>
    <row r="82" spans="2:8" ht="11.25" customHeight="1" x14ac:dyDescent="0.2">
      <c r="B82" s="236"/>
      <c r="F82" s="298"/>
      <c r="G82" s="401"/>
      <c r="H82" s="401"/>
    </row>
    <row r="83" spans="2:8" ht="11.25" customHeight="1" x14ac:dyDescent="0.2">
      <c r="B83" s="236"/>
      <c r="F83" s="63"/>
      <c r="G83" s="63"/>
      <c r="H83" s="63"/>
    </row>
    <row r="84" spans="2:8" ht="11.25" customHeight="1" x14ac:dyDescent="0.2">
      <c r="B84" s="236"/>
    </row>
    <row r="85" spans="2:8" ht="11.25" customHeight="1" x14ac:dyDescent="0.2">
      <c r="B85" s="236"/>
    </row>
    <row r="86" spans="2:8" ht="11.25" customHeight="1" x14ac:dyDescent="0.2">
      <c r="B86" s="241">
        <v>2</v>
      </c>
    </row>
    <row r="87" spans="2:8" ht="11.25" customHeight="1" x14ac:dyDescent="0.2">
      <c r="B87" s="242" t="s">
        <v>159</v>
      </c>
    </row>
    <row r="88" spans="2:8" ht="11.25" customHeight="1" x14ac:dyDescent="0.2">
      <c r="B88" s="236" t="s">
        <v>160</v>
      </c>
      <c r="C88" s="243"/>
      <c r="D88" s="244"/>
      <c r="E88" s="244"/>
    </row>
    <row r="89" spans="2:8" ht="11.25" customHeight="1" x14ac:dyDescent="0.2">
      <c r="B89" s="236" t="s">
        <v>161</v>
      </c>
    </row>
    <row r="90" spans="2:8" ht="11.25" customHeight="1" x14ac:dyDescent="0.2">
      <c r="B90" s="236" t="s">
        <v>162</v>
      </c>
    </row>
    <row r="91" spans="2:8" ht="11.25" customHeight="1" x14ac:dyDescent="0.2">
      <c r="B91" s="236"/>
    </row>
    <row r="92" spans="2:8" ht="11.25" customHeight="1" x14ac:dyDescent="0.2">
      <c r="B92" s="236" t="s">
        <v>163</v>
      </c>
    </row>
    <row r="93" spans="2:8" ht="11.25" customHeight="1" x14ac:dyDescent="0.2">
      <c r="B93" s="236" t="s">
        <v>164</v>
      </c>
    </row>
    <row r="94" spans="2:8" ht="11.25" customHeight="1" x14ac:dyDescent="0.2">
      <c r="B94" s="236" t="s">
        <v>165</v>
      </c>
      <c r="G94" s="245"/>
    </row>
    <row r="95" spans="2:8" ht="11.25" customHeight="1" x14ac:dyDescent="0.2">
      <c r="B95" s="236" t="s">
        <v>166</v>
      </c>
    </row>
    <row r="96" spans="2:8" ht="11.25" customHeight="1" x14ac:dyDescent="0.2">
      <c r="B96" s="236"/>
    </row>
    <row r="97" spans="2:2" ht="11.25" customHeight="1" x14ac:dyDescent="0.2">
      <c r="B97" s="236" t="s">
        <v>167</v>
      </c>
    </row>
    <row r="98" spans="2:2" ht="11.25" customHeight="1" x14ac:dyDescent="0.2">
      <c r="B98" s="236" t="s">
        <v>168</v>
      </c>
    </row>
    <row r="99" spans="2:2" ht="11.25" customHeight="1" x14ac:dyDescent="0.2">
      <c r="B99" s="236" t="s">
        <v>169</v>
      </c>
    </row>
    <row r="100" spans="2:2" ht="11.25" customHeight="1" x14ac:dyDescent="0.2">
      <c r="B100" s="236" t="s">
        <v>170</v>
      </c>
    </row>
    <row r="101" spans="2:2" ht="11.25" customHeight="1" x14ac:dyDescent="0.2">
      <c r="B101" s="236"/>
    </row>
    <row r="102" spans="2:2" ht="11.25" customHeight="1" x14ac:dyDescent="0.2">
      <c r="B102" s="236" t="s">
        <v>171</v>
      </c>
    </row>
    <row r="103" spans="2:2" ht="11.25" customHeight="1" x14ac:dyDescent="0.2">
      <c r="B103" s="236" t="s">
        <v>172</v>
      </c>
    </row>
    <row r="104" spans="2:2" ht="11.25" customHeight="1" x14ac:dyDescent="0.2">
      <c r="B104" s="236"/>
    </row>
    <row r="105" spans="2:2" ht="11.25" customHeight="1" x14ac:dyDescent="0.2">
      <c r="B105" s="236"/>
    </row>
    <row r="106" spans="2:2" ht="11.25" customHeight="1" x14ac:dyDescent="0.2">
      <c r="B106" s="236"/>
    </row>
    <row r="107" spans="2:2" ht="11.25" customHeight="1" x14ac:dyDescent="0.2">
      <c r="B107" s="236" t="s">
        <v>173</v>
      </c>
    </row>
    <row r="108" spans="2:2" ht="11.25" customHeight="1" x14ac:dyDescent="0.2">
      <c r="B108" s="236"/>
    </row>
    <row r="109" spans="2:2" ht="11.25" customHeight="1" x14ac:dyDescent="0.2">
      <c r="B109" s="236" t="s">
        <v>174</v>
      </c>
    </row>
    <row r="110" spans="2:2" ht="11.25" customHeight="1" x14ac:dyDescent="0.2">
      <c r="B110" s="236" t="s">
        <v>175</v>
      </c>
    </row>
    <row r="111" spans="2:2" ht="11.25" customHeight="1" x14ac:dyDescent="0.2">
      <c r="B111" s="236" t="s">
        <v>176</v>
      </c>
    </row>
    <row r="112" spans="2:2" ht="11.25" customHeight="1" x14ac:dyDescent="0.2">
      <c r="B112" s="236"/>
    </row>
    <row r="113" spans="2:2" ht="11.25" customHeight="1" x14ac:dyDescent="0.2">
      <c r="B113" s="236" t="s">
        <v>177</v>
      </c>
    </row>
    <row r="114" spans="2:2" ht="11.25" customHeight="1" x14ac:dyDescent="0.2">
      <c r="B114" s="236" t="s">
        <v>178</v>
      </c>
    </row>
    <row r="115" spans="2:2" ht="11.25" customHeight="1" x14ac:dyDescent="0.2">
      <c r="B115" s="236" t="s">
        <v>179</v>
      </c>
    </row>
    <row r="116" spans="2:2" ht="11.25" customHeight="1" x14ac:dyDescent="0.2">
      <c r="B116" s="236"/>
    </row>
    <row r="117" spans="2:2" ht="11.25" customHeight="1" x14ac:dyDescent="0.2">
      <c r="B117" s="236"/>
    </row>
    <row r="118" spans="2:2" ht="11.25" customHeight="1" x14ac:dyDescent="0.2">
      <c r="B118" s="236"/>
    </row>
    <row r="119" spans="2:2" ht="11.25" customHeight="1" x14ac:dyDescent="0.2">
      <c r="B119" s="236"/>
    </row>
    <row r="120" spans="2:2" ht="11.25" customHeight="1" x14ac:dyDescent="0.2">
      <c r="B120" s="236"/>
    </row>
    <row r="121" spans="2:2" ht="11.25" customHeight="1" x14ac:dyDescent="0.2">
      <c r="B121" s="236" t="s">
        <v>180</v>
      </c>
    </row>
    <row r="122" spans="2:2" ht="11.25" customHeight="1" x14ac:dyDescent="0.2">
      <c r="B122" s="236" t="s">
        <v>181</v>
      </c>
    </row>
    <row r="123" spans="2:2" ht="11.25" customHeight="1" x14ac:dyDescent="0.2">
      <c r="B123" s="236" t="s">
        <v>182</v>
      </c>
    </row>
    <row r="124" spans="2:2" ht="11.25" customHeight="1" x14ac:dyDescent="0.2">
      <c r="B124" s="236" t="s">
        <v>183</v>
      </c>
    </row>
    <row r="125" spans="2:2" ht="11.25" customHeight="1" x14ac:dyDescent="0.2">
      <c r="B125" s="236"/>
    </row>
    <row r="126" spans="2:2" ht="11.25" customHeight="1" x14ac:dyDescent="0.2">
      <c r="B126" s="236" t="s">
        <v>184</v>
      </c>
    </row>
    <row r="127" spans="2:2" ht="11.25" customHeight="1" x14ac:dyDescent="0.2">
      <c r="B127" s="236" t="s">
        <v>185</v>
      </c>
    </row>
    <row r="128" spans="2:2" ht="11.25" customHeight="1" x14ac:dyDescent="0.2">
      <c r="B128" s="236" t="s">
        <v>186</v>
      </c>
    </row>
    <row r="129" spans="2:5" ht="11.25" customHeight="1" x14ac:dyDescent="0.2">
      <c r="B129" s="236" t="s">
        <v>187</v>
      </c>
    </row>
    <row r="130" spans="2:5" ht="11.25" customHeight="1" x14ac:dyDescent="0.2">
      <c r="B130" s="236" t="s">
        <v>188</v>
      </c>
    </row>
    <row r="131" spans="2:5" ht="11.25" customHeight="1" x14ac:dyDescent="0.2">
      <c r="B131" s="236"/>
    </row>
    <row r="132" spans="2:5" ht="11.25" customHeight="1" x14ac:dyDescent="0.2">
      <c r="B132" s="236" t="s">
        <v>189</v>
      </c>
    </row>
    <row r="133" spans="2:5" ht="11.25" customHeight="1" x14ac:dyDescent="0.2">
      <c r="B133" s="236" t="s">
        <v>190</v>
      </c>
    </row>
    <row r="134" spans="2:5" ht="11.25" customHeight="1" x14ac:dyDescent="0.2">
      <c r="B134" s="236" t="s">
        <v>191</v>
      </c>
    </row>
    <row r="135" spans="2:5" ht="11.25" customHeight="1" x14ac:dyDescent="0.2">
      <c r="B135" s="236"/>
    </row>
    <row r="136" spans="2:5" ht="11.25" customHeight="1" x14ac:dyDescent="0.2">
      <c r="B136" s="236"/>
    </row>
    <row r="137" spans="2:5" ht="11.25" customHeight="1" x14ac:dyDescent="0.2">
      <c r="B137" s="236"/>
    </row>
    <row r="140" spans="2:5" ht="11.25" customHeight="1" x14ac:dyDescent="0.2"/>
    <row r="141" spans="2:5" ht="11.25" customHeight="1" x14ac:dyDescent="0.2">
      <c r="D141" s="246"/>
      <c r="E141" s="246"/>
    </row>
    <row r="142" spans="2:5" x14ac:dyDescent="0.2">
      <c r="D142" s="247">
        <v>0</v>
      </c>
      <c r="E142" s="246">
        <v>0</v>
      </c>
    </row>
    <row r="144" spans="2:5" ht="11.25" customHeight="1" x14ac:dyDescent="0.2"/>
    <row r="145" spans="4:4" x14ac:dyDescent="0.2">
      <c r="D145" s="248"/>
    </row>
  </sheetData>
  <mergeCells count="5">
    <mergeCell ref="C3:H3"/>
    <mergeCell ref="C4:H4"/>
    <mergeCell ref="C5:H5"/>
    <mergeCell ref="C6:H6"/>
    <mergeCell ref="C79:H79"/>
  </mergeCells>
  <hyperlinks>
    <hyperlink ref="C9" location="'NOTA D - DISPONIBILIDADES'!A1" display="DISPONIBILIDADES Nota 5 d" xr:uid="{28A90788-4383-4E09-BF1C-FC0B98607864}"/>
    <hyperlink ref="C16" location="'NOTA E - INVERSIONES'!A1" display="Inversiones Temporarias  Nota 5 e" xr:uid="{00B40298-6865-4A47-9B3F-F5D7D02048E5}"/>
    <hyperlink ref="C21" location="'NOTA F - CREDITOS'!A1" display="CREDITOS Nota 5 f" xr:uid="{694B7F0F-EDA9-440A-A3FE-5E683200C59A}"/>
    <hyperlink ref="C31" location="'NOTA H CARGOS DIFERIDOS'!A1" display="GASTOS NO DEVENGADOS - Nota 5 h" xr:uid="{107BC869-D38C-4D62-841D-3C75EB4F3185}"/>
    <hyperlink ref="C40" location="'NOTA E - INVERSIONES'!A1" display="INVERSIONES PERMANENTES Nota 5 e" xr:uid="{5C80EE75-D95B-43B1-8BF5-4D31AD19BCFC}"/>
    <hyperlink ref="C48" location="'NOTA F - CREDITOS'!A1" display="CREDITOS Nota 5 f" xr:uid="{F558B54E-1C0A-46BC-AEF7-4CDC154DC71C}"/>
    <hyperlink ref="C58" location="'NOTA G BIENES DE USO'!A1" display="BIENES DE USO Nota 5 g" xr:uid="{A9DD7D41-DDE6-44B7-8CC3-8B39D95B3E4C}"/>
    <hyperlink ref="C62" location="' NOTA I INTANGIBLES'!A1" display="ACTIVOS INTANGIBLES  Nota 5 i" xr:uid="{E052314B-39B3-4C7B-93C5-D57D3469BE53}"/>
    <hyperlink ref="C70" location="'NOTA J OTROS ACTIVOS CTES y NO '!A1" display="GASTOS NO DEVENGADOS - Nota 5 j" xr:uid="{147BFCD9-DB61-4B0E-B752-2FDF5A30E7F6}"/>
    <hyperlink ref="F11" location="'NOTA L ACREED VARIOS'!A1" display="Acreedores Varios  - Nota 5 l" xr:uid="{17455DD5-20EB-4E80-89C7-E96E71C70919}"/>
    <hyperlink ref="F16" location="'NOTA K PRESTAMOS'!A1" display="PRESTAMOS FINANCIEROS - Nota 5 k" xr:uid="{32EF0D70-99F2-4F79-BE19-7EB50F13FBB2}"/>
    <hyperlink ref="F41" location="'NOTA L ACREED VARIOS'!A1" display="Acreedores por Intermediación. Nota 5 m" xr:uid="{AA2CD520-1C3C-491B-BBD8-4F7F6C6A9689}"/>
    <hyperlink ref="F47" location="'NOTA K PRESTAMOS'!A1" display="PRESTAMOS FINANCIEROS - Nota 5 k" xr:uid="{34022F77-3EE0-444C-AE86-8387F46F12B5}"/>
    <hyperlink ref="F59" location="' NOTA T PATRIMONIO Y PREVIS'!A1" display="PATRIMONIO NETO  Nota 5 t" xr:uid="{A62031F0-643F-476A-AF65-654000B93C44}"/>
    <hyperlink ref="F10" location="'NOTAS M-Q ACREED y CTAS A PAG'!A1" display="Acreedores por Intermediación. Nota 5 m" xr:uid="{2D6AA5BA-EB0F-46AB-8189-B3B6AA64037B}"/>
    <hyperlink ref="F30" location="'NOTAS M-Q ACREED y CTAS A PAG'!A1" display="OTROS PASIVOS - Nota 5 q" xr:uid="{B839F5F7-D61D-473D-85AC-9A7666B5057D}"/>
    <hyperlink ref="F12" location="'NOTAS M-Q ACREED y CTAS A PAG'!A1" display="Cuentas por Pagar a Personas y Emp. Relacionadas. Nota o" xr:uid="{F5B9AC7D-2A22-415E-AAA0-66BB0744389E}"/>
    <hyperlink ref="F13" location="'NOTAS M-Q ACREED y CTAS A PAG'!A1" display="Obligaciones  por Contratos de Underwriting -Nota 5 p" xr:uid="{9CBDF50D-FD18-468D-B4C6-D71CA3060F75}"/>
    <hyperlink ref="F14" location="'NOTAS M-Q ACREED y CTAS A PAG'!A1" display="Obligaciones por Administracion de Carteras Nota 5 n" xr:uid="{515FE32E-9947-4436-9456-394D90325B2B}"/>
    <hyperlink ref="F42" location="'NOTA L ACREED VARIOS'!A1" display="Acreedores Varios  - Nota 5 l" xr:uid="{7E18E5D1-4E32-4A5F-BB5D-BABFA672E94D}"/>
    <hyperlink ref="F43" location="'NOTAS M-Q ACREED y CTAS A PAG'!A1" display="Cuentas por Pagar a Personas y Emp. Relacionadas. Nota o" xr:uid="{16579ACD-DC3B-4E00-B402-26F9ADBBA2F0}"/>
    <hyperlink ref="F44" location="'NOTAS M-Q ACREED y CTAS A PAG'!A1" display="Obligaciones  por Contratos de Underwriting -Nota 5 p" xr:uid="{D3A7E7C1-5002-48F0-B7D5-4FBC7D913A36}"/>
    <hyperlink ref="F45" location="'NOTAS M-Q ACREED y CTAS A PAG'!A1" display="Obligaciones por Administracion de Carteras Nota 5 n" xr:uid="{C9BDA752-BCAB-4313-90F8-DC961C834E1A}"/>
  </hyperlinks>
  <pageMargins left="1" right="1" top="1" bottom="1" header="0.5" footer="0.5"/>
  <pageSetup paperSize="9" scale="43" orientation="portrait" r:id="rId1"/>
  <headerFooter>
    <oddFooter>&amp;L&amp;"-,Cursiva"Las 25 notas que acompañan forman parte integrante de los Estados Financieros.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002060"/>
    <pageSetUpPr fitToPage="1"/>
  </sheetPr>
  <dimension ref="C1:J103"/>
  <sheetViews>
    <sheetView showGridLines="0" zoomScale="156" zoomScaleNormal="130" workbookViewId="0">
      <selection activeCell="E77" sqref="E77"/>
    </sheetView>
  </sheetViews>
  <sheetFormatPr baseColWidth="10" defaultColWidth="11.42578125" defaultRowHeight="12" x14ac:dyDescent="0.2"/>
  <cols>
    <col min="1" max="2" width="2.28515625" style="189" customWidth="1"/>
    <col min="3" max="3" width="50.7109375" style="189" customWidth="1"/>
    <col min="4" max="4" width="0.28515625" style="189" customWidth="1"/>
    <col min="5" max="5" width="16.85546875" style="189" customWidth="1"/>
    <col min="6" max="6" width="21.7109375" style="189" customWidth="1"/>
    <col min="7" max="7" width="14.28515625" style="189" bestFit="1" customWidth="1"/>
    <col min="8" max="8" width="16" style="246" bestFit="1" customWidth="1"/>
    <col min="9" max="9" width="12.85546875" style="189" bestFit="1" customWidth="1"/>
    <col min="10" max="10" width="16" style="189" bestFit="1" customWidth="1"/>
    <col min="11" max="16384" width="11.42578125" style="189"/>
  </cols>
  <sheetData>
    <row r="1" spans="3:8" ht="55.15" customHeight="1" x14ac:dyDescent="0.2"/>
    <row r="3" spans="3:8" ht="9.75" customHeight="1" x14ac:dyDescent="0.2">
      <c r="C3" s="678" t="str">
        <f>+INDICE!B2</f>
        <v>TRADERS PRO CASA DE BOLSA S.A.</v>
      </c>
      <c r="D3" s="678"/>
      <c r="E3" s="678"/>
      <c r="F3" s="678"/>
    </row>
    <row r="4" spans="3:8" x14ac:dyDescent="0.2">
      <c r="C4" s="678" t="s">
        <v>192</v>
      </c>
      <c r="D4" s="678"/>
      <c r="E4" s="678"/>
      <c r="F4" s="678"/>
    </row>
    <row r="5" spans="3:8" ht="26.25" customHeight="1" x14ac:dyDescent="0.2">
      <c r="C5" s="686" t="s">
        <v>906</v>
      </c>
      <c r="D5" s="686"/>
      <c r="E5" s="686"/>
      <c r="F5" s="686"/>
    </row>
    <row r="6" spans="3:8" x14ac:dyDescent="0.2">
      <c r="C6" s="687" t="s">
        <v>193</v>
      </c>
      <c r="D6" s="687"/>
      <c r="E6" s="687"/>
      <c r="F6" s="687"/>
    </row>
    <row r="7" spans="3:8" ht="12.75" thickBot="1" x14ac:dyDescent="0.25">
      <c r="C7" s="689"/>
      <c r="D7" s="689"/>
      <c r="E7" s="689"/>
      <c r="F7" s="689"/>
    </row>
    <row r="8" spans="3:8" ht="24.75" thickBot="1" x14ac:dyDescent="0.25">
      <c r="C8" s="293"/>
      <c r="D8" s="294"/>
      <c r="E8" s="295" t="str">
        <f>+INDICE!G1</f>
        <v>PERIODO ACTUAL 30/06/ 2022</v>
      </c>
      <c r="F8" s="295" t="str">
        <f>+INDICE!H1</f>
        <v>PERIODO ANTERIOR 30/06/2021</v>
      </c>
    </row>
    <row r="9" spans="3:8" x14ac:dyDescent="0.2">
      <c r="C9" s="429" t="s">
        <v>683</v>
      </c>
      <c r="D9" s="297"/>
      <c r="E9" s="348"/>
      <c r="F9" s="341"/>
    </row>
    <row r="10" spans="3:8" ht="9.75" customHeight="1" x14ac:dyDescent="0.2">
      <c r="C10" s="296" t="s">
        <v>194</v>
      </c>
      <c r="D10" s="297"/>
      <c r="E10" s="299">
        <f>SUM(E11:E12)</f>
        <v>0</v>
      </c>
      <c r="F10" s="342">
        <v>0</v>
      </c>
    </row>
    <row r="11" spans="3:8" ht="9.75" customHeight="1" x14ac:dyDescent="0.2">
      <c r="C11" s="300" t="s">
        <v>195</v>
      </c>
      <c r="D11" s="297"/>
      <c r="E11" s="301">
        <v>0</v>
      </c>
      <c r="F11" s="343">
        <v>0</v>
      </c>
    </row>
    <row r="12" spans="3:8" ht="9.75" customHeight="1" x14ac:dyDescent="0.2">
      <c r="C12" s="300" t="s">
        <v>196</v>
      </c>
      <c r="D12" s="297"/>
      <c r="E12" s="301">
        <v>0</v>
      </c>
      <c r="F12" s="343">
        <v>0</v>
      </c>
    </row>
    <row r="13" spans="3:8" ht="9.75" customHeight="1" x14ac:dyDescent="0.2">
      <c r="C13" s="300"/>
      <c r="D13" s="297"/>
      <c r="E13" s="301"/>
      <c r="F13" s="343">
        <v>0</v>
      </c>
    </row>
    <row r="14" spans="3:8" s="112" customFormat="1" ht="9.75" customHeight="1" x14ac:dyDescent="0.2">
      <c r="C14" s="296" t="s">
        <v>197</v>
      </c>
      <c r="D14" s="297"/>
      <c r="E14" s="299">
        <f>+E15+E16</f>
        <v>23332954</v>
      </c>
      <c r="F14" s="342">
        <v>0</v>
      </c>
      <c r="H14" s="411"/>
    </row>
    <row r="15" spans="3:8" ht="9.75" customHeight="1" x14ac:dyDescent="0.2">
      <c r="C15" s="300" t="s">
        <v>198</v>
      </c>
      <c r="D15" s="297"/>
      <c r="E15" s="301">
        <v>0</v>
      </c>
      <c r="F15" s="343">
        <v>0</v>
      </c>
    </row>
    <row r="16" spans="3:8" ht="9.75" customHeight="1" x14ac:dyDescent="0.2">
      <c r="C16" s="300" t="s">
        <v>199</v>
      </c>
      <c r="D16" s="297"/>
      <c r="E16" s="301">
        <f>+'EERR al 30 06 2022'!B6</f>
        <v>23332954</v>
      </c>
      <c r="F16" s="343">
        <v>0</v>
      </c>
    </row>
    <row r="17" spans="3:9" ht="9.75" customHeight="1" x14ac:dyDescent="0.2">
      <c r="C17" s="300"/>
      <c r="D17" s="297"/>
      <c r="E17" s="301"/>
      <c r="F17" s="343">
        <v>0</v>
      </c>
    </row>
    <row r="18" spans="3:9" s="112" customFormat="1" ht="9.75" customHeight="1" x14ac:dyDescent="0.2">
      <c r="C18" s="296" t="s">
        <v>200</v>
      </c>
      <c r="D18" s="297"/>
      <c r="E18" s="299">
        <f>+E19+E20</f>
        <v>0</v>
      </c>
      <c r="F18" s="342">
        <v>0</v>
      </c>
      <c r="H18" s="411"/>
    </row>
    <row r="19" spans="3:9" ht="9.75" customHeight="1" x14ac:dyDescent="0.2">
      <c r="C19" s="300" t="s">
        <v>201</v>
      </c>
      <c r="D19" s="297"/>
      <c r="E19" s="301">
        <v>0</v>
      </c>
      <c r="F19" s="343">
        <v>0</v>
      </c>
    </row>
    <row r="20" spans="3:9" ht="9.75" customHeight="1" x14ac:dyDescent="0.2">
      <c r="C20" s="300" t="s">
        <v>202</v>
      </c>
      <c r="D20" s="297"/>
      <c r="E20" s="301">
        <v>0</v>
      </c>
      <c r="F20" s="343">
        <v>0</v>
      </c>
    </row>
    <row r="21" spans="3:9" ht="9.75" customHeight="1" x14ac:dyDescent="0.2">
      <c r="C21" s="300"/>
      <c r="D21" s="297"/>
      <c r="E21" s="301"/>
      <c r="F21" s="343">
        <v>0</v>
      </c>
    </row>
    <row r="22" spans="3:9" ht="9.75" customHeight="1" x14ac:dyDescent="0.2">
      <c r="C22" s="296" t="s">
        <v>522</v>
      </c>
      <c r="D22" s="297"/>
      <c r="E22" s="301">
        <v>0</v>
      </c>
      <c r="F22" s="343">
        <v>0</v>
      </c>
    </row>
    <row r="23" spans="3:9" ht="9.75" customHeight="1" x14ac:dyDescent="0.2">
      <c r="C23" s="296" t="s">
        <v>523</v>
      </c>
      <c r="D23" s="297"/>
      <c r="E23" s="299">
        <v>0</v>
      </c>
      <c r="F23" s="343">
        <v>0</v>
      </c>
    </row>
    <row r="24" spans="3:9" ht="9.75" customHeight="1" x14ac:dyDescent="0.2">
      <c r="C24" s="296" t="s">
        <v>203</v>
      </c>
      <c r="D24" s="297"/>
      <c r="E24" s="299">
        <v>0</v>
      </c>
      <c r="F24" s="342">
        <v>0</v>
      </c>
    </row>
    <row r="25" spans="3:9" ht="9.75" customHeight="1" x14ac:dyDescent="0.2">
      <c r="C25" s="296" t="s">
        <v>204</v>
      </c>
      <c r="D25" s="297"/>
      <c r="E25" s="299">
        <v>0</v>
      </c>
      <c r="F25" s="342">
        <v>0</v>
      </c>
    </row>
    <row r="26" spans="3:9" ht="9.75" customHeight="1" x14ac:dyDescent="0.2">
      <c r="C26" s="296" t="s">
        <v>205</v>
      </c>
      <c r="D26" s="297"/>
      <c r="E26" s="299">
        <f>+'EERR al 30 06 2022'!B10-Tabla2[[#This Row],[31/3/2022]]</f>
        <v>1290287</v>
      </c>
      <c r="F26" s="342">
        <v>0</v>
      </c>
      <c r="G26" s="245"/>
      <c r="I26" s="245"/>
    </row>
    <row r="27" spans="3:9" ht="9.75" customHeight="1" x14ac:dyDescent="0.2">
      <c r="C27" s="296" t="s">
        <v>206</v>
      </c>
      <c r="D27" s="297"/>
      <c r="E27" s="299">
        <v>0</v>
      </c>
      <c r="F27" s="343">
        <v>0</v>
      </c>
    </row>
    <row r="28" spans="3:9" ht="9.75" customHeight="1" x14ac:dyDescent="0.2">
      <c r="C28" s="296" t="s">
        <v>207</v>
      </c>
      <c r="D28" s="297"/>
      <c r="E28" s="301">
        <v>0</v>
      </c>
      <c r="F28" s="343">
        <v>0</v>
      </c>
    </row>
    <row r="29" spans="3:9" ht="9.75" customHeight="1" x14ac:dyDescent="0.2">
      <c r="C29" s="300"/>
      <c r="D29" s="298"/>
      <c r="E29" s="301"/>
      <c r="F29" s="343">
        <v>0</v>
      </c>
      <c r="G29" s="246"/>
    </row>
    <row r="30" spans="3:9" ht="9.75" customHeight="1" x14ac:dyDescent="0.2">
      <c r="C30" s="296" t="s">
        <v>482</v>
      </c>
      <c r="D30" s="297"/>
      <c r="E30" s="301">
        <v>0</v>
      </c>
      <c r="F30" s="343">
        <v>0</v>
      </c>
      <c r="I30" s="246"/>
    </row>
    <row r="31" spans="3:9" ht="9.75" customHeight="1" x14ac:dyDescent="0.2">
      <c r="C31" s="296"/>
      <c r="D31" s="297"/>
      <c r="E31" s="348"/>
      <c r="F31" s="343">
        <v>0</v>
      </c>
      <c r="I31" s="246"/>
    </row>
    <row r="32" spans="3:9" ht="9.75" customHeight="1" x14ac:dyDescent="0.2">
      <c r="C32" s="296" t="s">
        <v>208</v>
      </c>
      <c r="D32" s="297"/>
      <c r="E32" s="299">
        <f>SUM(E33:E35)</f>
        <v>5895</v>
      </c>
      <c r="F32" s="342">
        <v>0</v>
      </c>
    </row>
    <row r="33" spans="3:10" ht="9.75" customHeight="1" x14ac:dyDescent="0.2">
      <c r="C33" s="300" t="s">
        <v>209</v>
      </c>
      <c r="D33" s="297"/>
      <c r="E33" s="299">
        <v>0</v>
      </c>
      <c r="F33" s="342">
        <v>0</v>
      </c>
    </row>
    <row r="34" spans="3:10" ht="9.75" customHeight="1" x14ac:dyDescent="0.2">
      <c r="C34" s="302" t="s">
        <v>640</v>
      </c>
      <c r="D34" s="307"/>
      <c r="E34" s="301">
        <v>0</v>
      </c>
      <c r="F34" s="343">
        <v>0</v>
      </c>
    </row>
    <row r="35" spans="3:10" ht="9.75" customHeight="1" x14ac:dyDescent="0.2">
      <c r="C35" s="302" t="s">
        <v>221</v>
      </c>
      <c r="D35" s="307"/>
      <c r="E35" s="301">
        <f>+'EERR al 30 06 2022'!B16</f>
        <v>5895</v>
      </c>
      <c r="F35" s="343">
        <v>0</v>
      </c>
      <c r="I35" s="311"/>
      <c r="J35" s="245"/>
    </row>
    <row r="36" spans="3:10" ht="15.95" customHeight="1" x14ac:dyDescent="0.2">
      <c r="C36" s="300"/>
      <c r="D36" s="307"/>
      <c r="E36" s="301"/>
      <c r="F36" s="343">
        <v>0</v>
      </c>
      <c r="I36" s="239"/>
      <c r="J36" s="245"/>
    </row>
    <row r="37" spans="3:10" ht="9.75" customHeight="1" x14ac:dyDescent="0.2">
      <c r="C37" s="429" t="s">
        <v>684</v>
      </c>
      <c r="D37" s="307"/>
      <c r="E37" s="299">
        <f>SUM(E38:E40)</f>
        <v>140588714</v>
      </c>
      <c r="F37" s="342">
        <v>0</v>
      </c>
      <c r="I37" s="311"/>
      <c r="J37" s="245"/>
    </row>
    <row r="38" spans="3:10" ht="9.75" customHeight="1" x14ac:dyDescent="0.2">
      <c r="C38" s="300" t="s">
        <v>210</v>
      </c>
      <c r="D38" s="307"/>
      <c r="E38" s="301">
        <v>0</v>
      </c>
      <c r="F38" s="343">
        <v>0</v>
      </c>
    </row>
    <row r="39" spans="3:10" ht="9.75" customHeight="1" x14ac:dyDescent="0.2">
      <c r="C39" s="300" t="s">
        <v>211</v>
      </c>
      <c r="D39" s="307"/>
      <c r="E39" s="301">
        <v>0</v>
      </c>
      <c r="F39" s="343">
        <v>0</v>
      </c>
    </row>
    <row r="40" spans="3:10" ht="9.75" customHeight="1" x14ac:dyDescent="0.2">
      <c r="C40" s="300" t="s">
        <v>536</v>
      </c>
      <c r="D40" s="307"/>
      <c r="E40" s="301">
        <f>+'EERR al 30 06 2022'!B22-'EERR al 30 06 2022'!B26</f>
        <v>140588714</v>
      </c>
      <c r="F40" s="343">
        <v>0</v>
      </c>
      <c r="I40" s="240"/>
    </row>
    <row r="41" spans="3:10" ht="9.75" customHeight="1" x14ac:dyDescent="0.2">
      <c r="C41" s="303" t="s">
        <v>212</v>
      </c>
      <c r="D41" s="304"/>
      <c r="E41" s="349">
        <f>+E10+E24+E25+E32-E37+E26+E27+E14+E18</f>
        <v>-115959578</v>
      </c>
      <c r="F41" s="344">
        <v>0</v>
      </c>
    </row>
    <row r="42" spans="3:10" ht="9.75" customHeight="1" x14ac:dyDescent="0.2">
      <c r="C42" s="300"/>
      <c r="D42" s="307"/>
      <c r="E42" s="301"/>
      <c r="F42" s="341">
        <v>0</v>
      </c>
      <c r="G42" s="248"/>
      <c r="I42" s="245"/>
      <c r="J42" s="252"/>
    </row>
    <row r="43" spans="3:10" ht="9.75" customHeight="1" x14ac:dyDescent="0.2">
      <c r="C43" s="305" t="s">
        <v>213</v>
      </c>
      <c r="D43" s="297"/>
      <c r="E43" s="299">
        <f>SUM(E44:E46)</f>
        <v>0</v>
      </c>
      <c r="F43" s="345">
        <v>0</v>
      </c>
      <c r="G43" s="245"/>
    </row>
    <row r="44" spans="3:10" ht="9.75" customHeight="1" x14ac:dyDescent="0.2">
      <c r="C44" s="302" t="s">
        <v>214</v>
      </c>
      <c r="D44" s="297"/>
      <c r="E44" s="301">
        <v>0</v>
      </c>
      <c r="F44" s="341">
        <v>0</v>
      </c>
      <c r="G44" s="245"/>
    </row>
    <row r="45" spans="3:10" ht="9.75" customHeight="1" x14ac:dyDescent="0.2">
      <c r="C45" s="302" t="s">
        <v>215</v>
      </c>
      <c r="D45" s="297"/>
      <c r="E45" s="301">
        <v>0</v>
      </c>
      <c r="F45" s="341">
        <v>0</v>
      </c>
      <c r="G45" s="245"/>
    </row>
    <row r="46" spans="3:10" ht="9.75" customHeight="1" x14ac:dyDescent="0.2">
      <c r="C46" s="302" t="s">
        <v>216</v>
      </c>
      <c r="D46" s="297"/>
      <c r="E46" s="301">
        <v>0</v>
      </c>
      <c r="F46" s="341">
        <v>0</v>
      </c>
      <c r="G46" s="245"/>
    </row>
    <row r="47" spans="3:10" ht="9.75" customHeight="1" x14ac:dyDescent="0.2">
      <c r="C47" s="302"/>
      <c r="D47" s="307"/>
      <c r="E47" s="301"/>
      <c r="F47" s="341">
        <v>0</v>
      </c>
      <c r="G47" s="245"/>
    </row>
    <row r="48" spans="3:10" ht="9.6" customHeight="1" x14ac:dyDescent="0.2">
      <c r="C48" s="305" t="s">
        <v>848</v>
      </c>
      <c r="D48" s="297"/>
      <c r="E48" s="299">
        <v>405499682</v>
      </c>
      <c r="F48" s="345">
        <v>0</v>
      </c>
      <c r="G48" s="248"/>
    </row>
    <row r="49" spans="3:8" s="414" customFormat="1" ht="9.75" customHeight="1" x14ac:dyDescent="0.2">
      <c r="C49" s="471" t="s">
        <v>847</v>
      </c>
      <c r="D49" s="472"/>
      <c r="E49" s="473">
        <v>33848471</v>
      </c>
      <c r="F49" s="345">
        <v>0</v>
      </c>
      <c r="G49" s="412"/>
      <c r="H49" s="413"/>
    </row>
    <row r="50" spans="3:8" ht="9.75" customHeight="1" x14ac:dyDescent="0.2">
      <c r="C50" s="302" t="s">
        <v>701</v>
      </c>
      <c r="D50" s="307"/>
      <c r="E50" s="301">
        <v>24250000</v>
      </c>
      <c r="F50" s="345">
        <v>0</v>
      </c>
      <c r="G50" s="248"/>
    </row>
    <row r="51" spans="3:8" ht="9.75" customHeight="1" x14ac:dyDescent="0.2">
      <c r="C51" s="302" t="s">
        <v>218</v>
      </c>
      <c r="D51" s="307"/>
      <c r="E51" s="301">
        <v>4001250</v>
      </c>
      <c r="F51" s="345">
        <v>0</v>
      </c>
      <c r="G51" s="248"/>
    </row>
    <row r="52" spans="3:8" ht="9.75" customHeight="1" x14ac:dyDescent="0.2">
      <c r="C52" s="302" t="s">
        <v>702</v>
      </c>
      <c r="D52" s="307"/>
      <c r="E52" s="301">
        <v>5597221</v>
      </c>
      <c r="F52" s="345">
        <v>0</v>
      </c>
      <c r="G52" s="248"/>
    </row>
    <row r="53" spans="3:8" ht="9.75" customHeight="1" x14ac:dyDescent="0.2">
      <c r="C53" s="471" t="s">
        <v>899</v>
      </c>
      <c r="D53" s="474"/>
      <c r="E53" s="473">
        <v>315454548</v>
      </c>
      <c r="F53" s="345">
        <v>0</v>
      </c>
      <c r="G53" s="248"/>
    </row>
    <row r="54" spans="3:8" ht="9.75" customHeight="1" x14ac:dyDescent="0.2">
      <c r="C54" s="302" t="s">
        <v>900</v>
      </c>
      <c r="D54" s="307"/>
      <c r="E54" s="301">
        <v>315454548</v>
      </c>
      <c r="F54" s="345">
        <v>0</v>
      </c>
      <c r="G54" s="248"/>
    </row>
    <row r="55" spans="3:8" s="414" customFormat="1" ht="9.75" customHeight="1" x14ac:dyDescent="0.2">
      <c r="C55" s="471" t="s">
        <v>703</v>
      </c>
      <c r="D55" s="474"/>
      <c r="E55" s="473">
        <v>56196663</v>
      </c>
      <c r="F55" s="345">
        <v>0</v>
      </c>
      <c r="G55" s="412"/>
      <c r="H55" s="413"/>
    </row>
    <row r="56" spans="3:8" ht="9.75" customHeight="1" x14ac:dyDescent="0.2">
      <c r="C56" s="302" t="s">
        <v>622</v>
      </c>
      <c r="D56" s="307"/>
      <c r="E56" s="301">
        <v>3863729</v>
      </c>
      <c r="F56" s="341">
        <v>0</v>
      </c>
      <c r="G56" s="248"/>
    </row>
    <row r="57" spans="3:8" s="414" customFormat="1" ht="9.75" customHeight="1" x14ac:dyDescent="0.2">
      <c r="C57" s="302" t="s">
        <v>704</v>
      </c>
      <c r="D57" s="297"/>
      <c r="E57" s="301">
        <v>41991933</v>
      </c>
      <c r="F57" s="345">
        <v>0</v>
      </c>
      <c r="G57" s="412"/>
      <c r="H57" s="413"/>
    </row>
    <row r="58" spans="3:8" ht="9.75" customHeight="1" x14ac:dyDescent="0.2">
      <c r="C58" s="302" t="s">
        <v>705</v>
      </c>
      <c r="D58" s="307"/>
      <c r="E58" s="301">
        <v>245455</v>
      </c>
      <c r="F58" s="341">
        <v>0</v>
      </c>
      <c r="G58" s="248"/>
    </row>
    <row r="59" spans="3:8" ht="9.75" customHeight="1" x14ac:dyDescent="0.2">
      <c r="C59" s="302" t="s">
        <v>706</v>
      </c>
      <c r="D59" s="307"/>
      <c r="E59" s="301">
        <v>2821334</v>
      </c>
      <c r="F59" s="341">
        <v>0</v>
      </c>
      <c r="G59" s="248"/>
    </row>
    <row r="60" spans="3:8" ht="9.75" customHeight="1" x14ac:dyDescent="0.2">
      <c r="C60" s="302" t="s">
        <v>846</v>
      </c>
      <c r="D60" s="307"/>
      <c r="E60" s="301">
        <v>69864</v>
      </c>
      <c r="F60" s="341">
        <v>0</v>
      </c>
      <c r="G60" s="248"/>
    </row>
    <row r="61" spans="3:8" ht="9.75" customHeight="1" x14ac:dyDescent="0.2">
      <c r="C61" s="302" t="s">
        <v>707</v>
      </c>
      <c r="D61" s="307"/>
      <c r="E61" s="301">
        <v>1090909</v>
      </c>
      <c r="F61" s="341">
        <v>0</v>
      </c>
      <c r="G61" s="248"/>
    </row>
    <row r="62" spans="3:8" ht="9.75" customHeight="1" x14ac:dyDescent="0.2">
      <c r="C62" s="302" t="s">
        <v>708</v>
      </c>
      <c r="D62" s="307"/>
      <c r="E62" s="301">
        <v>458364</v>
      </c>
      <c r="F62" s="341"/>
      <c r="G62" s="248"/>
    </row>
    <row r="63" spans="3:8" ht="9.75" customHeight="1" x14ac:dyDescent="0.2">
      <c r="C63" s="302" t="s">
        <v>845</v>
      </c>
      <c r="D63" s="307"/>
      <c r="E63" s="301">
        <v>136685</v>
      </c>
      <c r="F63" s="341">
        <v>0</v>
      </c>
      <c r="G63" s="248"/>
    </row>
    <row r="64" spans="3:8" ht="9.75" customHeight="1" x14ac:dyDescent="0.2">
      <c r="C64" s="302" t="s">
        <v>901</v>
      </c>
      <c r="D64" s="307"/>
      <c r="E64" s="301">
        <v>160000</v>
      </c>
      <c r="F64" s="341"/>
      <c r="G64" s="248"/>
    </row>
    <row r="65" spans="3:9" ht="9.75" customHeight="1" x14ac:dyDescent="0.2">
      <c r="C65" s="302" t="s">
        <v>655</v>
      </c>
      <c r="D65" s="307"/>
      <c r="E65" s="301">
        <v>229779</v>
      </c>
      <c r="F65" s="341"/>
      <c r="G65" s="248"/>
    </row>
    <row r="66" spans="3:9" ht="9.75" customHeight="1" x14ac:dyDescent="0.2">
      <c r="C66" s="302" t="s">
        <v>709</v>
      </c>
      <c r="D66" s="307"/>
      <c r="E66" s="301">
        <v>3422637</v>
      </c>
      <c r="F66" s="341"/>
      <c r="G66" s="248"/>
    </row>
    <row r="67" spans="3:9" ht="9.75" customHeight="1" x14ac:dyDescent="0.2">
      <c r="C67" s="302" t="s">
        <v>902</v>
      </c>
      <c r="D67" s="307"/>
      <c r="E67" s="301">
        <v>96156</v>
      </c>
      <c r="F67" s="341"/>
      <c r="G67" s="248"/>
    </row>
    <row r="68" spans="3:9" ht="9.75" customHeight="1" x14ac:dyDescent="0.2">
      <c r="C68" s="471" t="s">
        <v>710</v>
      </c>
      <c r="D68" s="474"/>
      <c r="E68" s="473">
        <v>1609818</v>
      </c>
      <c r="F68" s="341">
        <v>0</v>
      </c>
      <c r="G68" s="248"/>
    </row>
    <row r="69" spans="3:9" ht="9.75" customHeight="1" x14ac:dyDescent="0.2">
      <c r="C69" s="509" t="s">
        <v>903</v>
      </c>
      <c r="D69" s="510"/>
      <c r="E69" s="511">
        <v>9818</v>
      </c>
      <c r="F69" s="341">
        <v>0</v>
      </c>
      <c r="G69" s="248"/>
    </row>
    <row r="70" spans="3:9" ht="9.75" customHeight="1" x14ac:dyDescent="0.2">
      <c r="C70" s="302" t="s">
        <v>711</v>
      </c>
      <c r="D70" s="307"/>
      <c r="E70" s="301">
        <v>1600000</v>
      </c>
      <c r="F70" s="341">
        <v>0</v>
      </c>
      <c r="G70" s="248"/>
    </row>
    <row r="71" spans="3:9" ht="9.75" customHeight="1" x14ac:dyDescent="0.2">
      <c r="C71" s="302"/>
      <c r="D71" s="307"/>
      <c r="E71" s="301"/>
      <c r="F71" s="341"/>
      <c r="G71" s="248"/>
    </row>
    <row r="72" spans="3:9" ht="9.75" customHeight="1" x14ac:dyDescent="0.2">
      <c r="C72" s="302"/>
      <c r="D72" s="307"/>
      <c r="E72" s="301"/>
      <c r="F72" s="341"/>
      <c r="G72" s="248"/>
    </row>
    <row r="73" spans="3:9" ht="9.75" customHeight="1" x14ac:dyDescent="0.2">
      <c r="C73" s="303" t="s">
        <v>220</v>
      </c>
      <c r="D73" s="304"/>
      <c r="E73" s="349">
        <f>+E41-E43-E48</f>
        <v>-521459260</v>
      </c>
      <c r="F73" s="344">
        <v>0</v>
      </c>
    </row>
    <row r="74" spans="3:9" ht="9.75" customHeight="1" x14ac:dyDescent="0.2">
      <c r="C74" s="302"/>
      <c r="D74" s="307"/>
      <c r="E74" s="301"/>
      <c r="F74" s="341">
        <v>0</v>
      </c>
    </row>
    <row r="75" spans="3:9" ht="9.75" customHeight="1" x14ac:dyDescent="0.2">
      <c r="C75" s="430" t="s">
        <v>685</v>
      </c>
      <c r="D75" s="297"/>
      <c r="E75" s="299">
        <f>+E76+E77</f>
        <v>196454547</v>
      </c>
      <c r="F75" s="345">
        <v>0</v>
      </c>
    </row>
    <row r="76" spans="3:9" ht="9.75" customHeight="1" x14ac:dyDescent="0.2">
      <c r="C76" s="302" t="s">
        <v>221</v>
      </c>
      <c r="D76" s="297"/>
      <c r="E76" s="301">
        <f>+'EERR al 30 06 2022'!B20+1</f>
        <v>196454547</v>
      </c>
      <c r="F76" s="345">
        <v>0</v>
      </c>
    </row>
    <row r="77" spans="3:9" x14ac:dyDescent="0.2">
      <c r="C77" s="302" t="s">
        <v>222</v>
      </c>
      <c r="D77" s="297"/>
      <c r="E77" s="301">
        <v>0</v>
      </c>
      <c r="F77" s="345">
        <v>0</v>
      </c>
    </row>
    <row r="78" spans="3:9" ht="9.75" customHeight="1" x14ac:dyDescent="0.2">
      <c r="C78" s="305"/>
      <c r="D78" s="307"/>
      <c r="E78" s="301"/>
      <c r="F78" s="341">
        <v>0</v>
      </c>
    </row>
    <row r="79" spans="3:9" ht="9.75" customHeight="1" x14ac:dyDescent="0.2">
      <c r="C79" s="430" t="s">
        <v>686</v>
      </c>
      <c r="D79" s="307"/>
      <c r="E79" s="299">
        <f>+E81+E84</f>
        <v>337389964</v>
      </c>
      <c r="F79" s="345">
        <v>0</v>
      </c>
      <c r="G79" s="253"/>
      <c r="H79" s="254"/>
      <c r="I79" s="254"/>
    </row>
    <row r="80" spans="3:9" ht="9.75" customHeight="1" x14ac:dyDescent="0.2">
      <c r="C80" s="305"/>
      <c r="D80" s="307"/>
      <c r="E80" s="299"/>
      <c r="F80" s="345">
        <v>0</v>
      </c>
    </row>
    <row r="81" spans="3:7" ht="9.75" customHeight="1" x14ac:dyDescent="0.2">
      <c r="C81" s="305" t="s">
        <v>223</v>
      </c>
      <c r="D81" s="307"/>
      <c r="E81" s="299">
        <f>SUM(E82:E83)</f>
        <v>342714679</v>
      </c>
      <c r="F81" s="345">
        <v>0</v>
      </c>
      <c r="G81" s="245"/>
    </row>
    <row r="82" spans="3:7" ht="9.75" customHeight="1" x14ac:dyDescent="0.2">
      <c r="C82" s="302" t="s">
        <v>224</v>
      </c>
      <c r="D82" s="307"/>
      <c r="E82" s="301">
        <f>+'EERR al 30 06 2022'!B13</f>
        <v>341343383</v>
      </c>
      <c r="F82" s="341">
        <v>0</v>
      </c>
      <c r="G82" s="245"/>
    </row>
    <row r="83" spans="3:7" ht="9.75" customHeight="1" x14ac:dyDescent="0.2">
      <c r="C83" s="302" t="s">
        <v>225</v>
      </c>
      <c r="D83" s="307"/>
      <c r="E83" s="301">
        <f>-'EERR al 30 06 2022'!B63</f>
        <v>1371296</v>
      </c>
      <c r="F83" s="341">
        <v>0</v>
      </c>
      <c r="G83" s="245"/>
    </row>
    <row r="84" spans="3:7" ht="9.75" customHeight="1" x14ac:dyDescent="0.2">
      <c r="C84" s="305" t="s">
        <v>226</v>
      </c>
      <c r="D84" s="307"/>
      <c r="E84" s="299">
        <f>SUM(E85:E86)*-1</f>
        <v>-5324715</v>
      </c>
      <c r="F84" s="345">
        <v>0</v>
      </c>
    </row>
    <row r="85" spans="3:7" ht="9.75" customHeight="1" x14ac:dyDescent="0.2">
      <c r="C85" s="302" t="s">
        <v>227</v>
      </c>
      <c r="D85" s="307"/>
      <c r="E85" s="301">
        <f>+'EERR al 30 06 2022'!B56</f>
        <v>4105655</v>
      </c>
      <c r="F85" s="341">
        <v>0</v>
      </c>
    </row>
    <row r="86" spans="3:7" ht="9.75" customHeight="1" x14ac:dyDescent="0.2">
      <c r="C86" s="302" t="s">
        <v>225</v>
      </c>
      <c r="D86" s="307"/>
      <c r="E86" s="301">
        <f>+'EERR al 30 06 2022'!B64</f>
        <v>1219060</v>
      </c>
      <c r="F86" s="341">
        <v>0</v>
      </c>
    </row>
    <row r="87" spans="3:7" ht="9.75" customHeight="1" x14ac:dyDescent="0.2">
      <c r="C87" s="302"/>
      <c r="D87" s="307"/>
      <c r="E87" s="301"/>
      <c r="F87" s="341">
        <v>0</v>
      </c>
    </row>
    <row r="88" spans="3:7" ht="9.75" customHeight="1" x14ac:dyDescent="0.2">
      <c r="C88" s="429" t="s">
        <v>692</v>
      </c>
      <c r="D88" s="297"/>
      <c r="E88" s="299">
        <f>+E89-E90</f>
        <v>0</v>
      </c>
      <c r="F88" s="345">
        <v>0</v>
      </c>
    </row>
    <row r="89" spans="3:7" ht="9.75" customHeight="1" x14ac:dyDescent="0.2">
      <c r="C89" s="300" t="s">
        <v>228</v>
      </c>
      <c r="D89" s="307"/>
      <c r="E89" s="301">
        <v>0</v>
      </c>
      <c r="F89" s="341">
        <v>0</v>
      </c>
    </row>
    <row r="90" spans="3:7" x14ac:dyDescent="0.2">
      <c r="C90" s="300" t="s">
        <v>229</v>
      </c>
      <c r="D90" s="307"/>
      <c r="E90" s="301">
        <v>0</v>
      </c>
      <c r="F90" s="341">
        <v>0</v>
      </c>
      <c r="G90" s="245"/>
    </row>
    <row r="91" spans="3:7" x14ac:dyDescent="0.2">
      <c r="C91" s="300"/>
      <c r="D91" s="307"/>
      <c r="E91" s="301"/>
      <c r="F91" s="341">
        <v>0</v>
      </c>
    </row>
    <row r="92" spans="3:7" x14ac:dyDescent="0.2">
      <c r="C92" s="296" t="s">
        <v>230</v>
      </c>
      <c r="D92" s="297"/>
      <c r="E92" s="299">
        <v>0</v>
      </c>
      <c r="F92" s="345">
        <v>0</v>
      </c>
    </row>
    <row r="93" spans="3:7" x14ac:dyDescent="0.2">
      <c r="C93" s="300" t="s">
        <v>231</v>
      </c>
      <c r="D93" s="307"/>
      <c r="E93" s="301">
        <v>0</v>
      </c>
      <c r="F93" s="341">
        <v>0</v>
      </c>
      <c r="G93" s="245"/>
    </row>
    <row r="94" spans="3:7" ht="11.1" customHeight="1" x14ac:dyDescent="0.2">
      <c r="C94" s="300" t="s">
        <v>232</v>
      </c>
      <c r="D94" s="307"/>
      <c r="E94" s="301"/>
      <c r="F94" s="341">
        <v>0</v>
      </c>
      <c r="G94" s="248"/>
    </row>
    <row r="95" spans="3:7" ht="9.75" customHeight="1" x14ac:dyDescent="0.2">
      <c r="C95" s="300"/>
      <c r="D95" s="307"/>
      <c r="E95" s="301"/>
      <c r="F95" s="341">
        <v>0</v>
      </c>
    </row>
    <row r="96" spans="3:7" ht="9.75" customHeight="1" x14ac:dyDescent="0.2">
      <c r="C96" s="303" t="s">
        <v>233</v>
      </c>
      <c r="D96" s="304"/>
      <c r="E96" s="349">
        <f>+E73+E79+E88+E92+E75</f>
        <v>12385251</v>
      </c>
      <c r="F96" s="344">
        <v>0</v>
      </c>
    </row>
    <row r="97" spans="3:8" x14ac:dyDescent="0.2">
      <c r="C97" s="300"/>
      <c r="D97" s="307"/>
      <c r="E97" s="301"/>
      <c r="F97" s="341">
        <v>0</v>
      </c>
    </row>
    <row r="98" spans="3:8" ht="9.75" customHeight="1" x14ac:dyDescent="0.2">
      <c r="C98" s="296" t="s">
        <v>234</v>
      </c>
      <c r="D98" s="297"/>
      <c r="E98" s="301">
        <v>0</v>
      </c>
      <c r="F98" s="341">
        <v>0</v>
      </c>
    </row>
    <row r="99" spans="3:8" x14ac:dyDescent="0.2">
      <c r="C99" s="331" t="s">
        <v>135</v>
      </c>
      <c r="D99" s="306"/>
      <c r="E99" s="301">
        <v>0</v>
      </c>
      <c r="F99" s="346">
        <v>0</v>
      </c>
    </row>
    <row r="100" spans="3:8" ht="12.75" thickBot="1" x14ac:dyDescent="0.25">
      <c r="C100" s="332" t="s">
        <v>146</v>
      </c>
      <c r="D100" s="333"/>
      <c r="E100" s="350">
        <f>+E96-E98-E99</f>
        <v>12385251</v>
      </c>
      <c r="F100" s="347">
        <v>0</v>
      </c>
    </row>
    <row r="101" spans="3:8" x14ac:dyDescent="0.2">
      <c r="C101" s="308"/>
      <c r="D101" s="297"/>
      <c r="E101" s="512">
        <f>+E100-'BALANCE GRAL 30_06_22'!G73</f>
        <v>0.27999999932944775</v>
      </c>
      <c r="F101" s="311"/>
    </row>
    <row r="102" spans="3:8" x14ac:dyDescent="0.2">
      <c r="C102" s="688" t="s">
        <v>749</v>
      </c>
      <c r="D102" s="688"/>
      <c r="E102" s="688"/>
      <c r="F102" s="688"/>
      <c r="G102" s="432"/>
      <c r="H102" s="432"/>
    </row>
    <row r="103" spans="3:8" x14ac:dyDescent="0.2">
      <c r="E103" s="239"/>
    </row>
  </sheetData>
  <mergeCells count="5">
    <mergeCell ref="C102:F102"/>
    <mergeCell ref="C6:F7"/>
    <mergeCell ref="C3:F3"/>
    <mergeCell ref="C4:F4"/>
    <mergeCell ref="C5:F5"/>
  </mergeCells>
  <phoneticPr fontId="56" type="noConversion"/>
  <hyperlinks>
    <hyperlink ref="C9" location="'NOTA V INGRESOS OPERATIVOS'!A1" display="Ingresos Operativos -Nota v" xr:uid="{AEE4CBE5-BF6D-4EA7-B3A3-838CCBE0524A}"/>
    <hyperlink ref="C37" location="'NOTA W OTROS GASTOS OPER'!A1" display="Gastos Operativos -Nota w" xr:uid="{0A0B1390-C908-4825-B638-BC693BD1FE19}"/>
    <hyperlink ref="C75" location="'NOTA X OTROS INGRESOS Y EGR'!A1" display="Otros ingresos y Egresos - Nota x" xr:uid="{21591C9D-117F-4576-B1E4-1D3993B02AE3}"/>
    <hyperlink ref="C79" location="'NOTA Y RESULTADOS FINANC'!A1" display="Resultados financieros - Nota y" xr:uid="{129BFF9B-47A8-47CD-81C6-4A84D3C21EF0}"/>
    <hyperlink ref="C88" location="'NOTA Z RESULT EXTRA'!A1" display="Resultados  extraordinarias Nota Z" xr:uid="{ED5B1086-D9CC-4F3D-AAD8-59EA1E8E9E33}"/>
  </hyperlinks>
  <pageMargins left="1" right="1" top="1" bottom="1" header="0.5" footer="0.5"/>
  <pageSetup paperSize="9"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ACB2-253D-463E-99F1-4C6F1CC2B534}">
  <sheetPr>
    <tabColor rgb="FFA32794"/>
  </sheetPr>
  <dimension ref="A1:DG103"/>
  <sheetViews>
    <sheetView topLeftCell="A70" zoomScale="130" zoomScaleNormal="130" workbookViewId="0">
      <selection activeCell="A98" sqref="A98"/>
    </sheetView>
  </sheetViews>
  <sheetFormatPr baseColWidth="10" defaultColWidth="11.42578125" defaultRowHeight="12.75" x14ac:dyDescent="0.2"/>
  <cols>
    <col min="1" max="1" width="42.85546875" style="515" customWidth="1"/>
    <col min="2" max="2" width="48.140625" style="515" customWidth="1"/>
    <col min="3" max="3" width="18.42578125" style="515" bestFit="1" customWidth="1"/>
    <col min="4" max="4" width="19.28515625" style="515" bestFit="1" customWidth="1"/>
    <col min="5" max="6" width="16" style="515" customWidth="1"/>
    <col min="7" max="7" width="18.42578125" style="515" bestFit="1" customWidth="1"/>
    <col min="8" max="8" width="14.42578125" style="515" bestFit="1" customWidth="1"/>
    <col min="9" max="11" width="15.28515625" style="515" customWidth="1"/>
    <col min="12" max="13" width="18.42578125" style="515" customWidth="1"/>
    <col min="14" max="14" width="20.140625" style="515" bestFit="1" customWidth="1"/>
    <col min="15" max="15" width="17.42578125" style="515" customWidth="1"/>
    <col min="16" max="16384" width="11.42578125" style="515"/>
  </cols>
  <sheetData>
    <row r="1" spans="1:15" ht="18.75" x14ac:dyDescent="0.3">
      <c r="A1" s="513" t="s">
        <v>909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</row>
    <row r="2" spans="1:15" ht="18.75" x14ac:dyDescent="0.3">
      <c r="A2" s="513"/>
      <c r="B2" s="514"/>
      <c r="C2" s="514"/>
      <c r="D2" s="514"/>
      <c r="E2" s="514"/>
      <c r="F2" s="514" t="s">
        <v>910</v>
      </c>
      <c r="G2" s="514" t="s">
        <v>911</v>
      </c>
      <c r="H2" s="514"/>
      <c r="I2" s="514"/>
      <c r="J2" s="514"/>
      <c r="K2" s="514"/>
      <c r="L2" s="514"/>
      <c r="M2" s="514"/>
      <c r="N2" s="514"/>
      <c r="O2" s="514"/>
    </row>
    <row r="3" spans="1:15" ht="19.5" thickBot="1" x14ac:dyDescent="0.35">
      <c r="A3" s="513"/>
      <c r="B3" s="514"/>
      <c r="C3" s="514"/>
      <c r="D3" s="514"/>
      <c r="E3" s="514"/>
      <c r="F3" s="514" t="s">
        <v>912</v>
      </c>
      <c r="G3" s="514" t="s">
        <v>913</v>
      </c>
      <c r="H3" s="514"/>
      <c r="I3" s="514"/>
      <c r="J3" s="514"/>
      <c r="K3" s="514"/>
      <c r="L3" s="514"/>
      <c r="M3" s="514"/>
      <c r="N3" s="514"/>
      <c r="O3" s="514"/>
    </row>
    <row r="4" spans="1:15" x14ac:dyDescent="0.2">
      <c r="A4" s="516"/>
      <c r="B4" s="517"/>
      <c r="C4" s="518"/>
      <c r="D4" s="519"/>
      <c r="E4" s="517"/>
      <c r="F4" s="517"/>
      <c r="G4" s="516"/>
      <c r="H4" s="520"/>
      <c r="I4" s="520"/>
      <c r="J4" s="520"/>
      <c r="K4" s="520"/>
      <c r="L4" s="520"/>
      <c r="M4" s="521" t="s">
        <v>914</v>
      </c>
      <c r="N4" s="521" t="s">
        <v>915</v>
      </c>
      <c r="O4" s="522"/>
    </row>
    <row r="5" spans="1:15" ht="13.5" thickBot="1" x14ac:dyDescent="0.25">
      <c r="A5" s="523" t="s">
        <v>268</v>
      </c>
      <c r="B5" s="524" t="s">
        <v>916</v>
      </c>
      <c r="C5" s="525" t="s">
        <v>917</v>
      </c>
      <c r="D5" s="526"/>
      <c r="E5" s="524" t="s">
        <v>916</v>
      </c>
      <c r="F5" s="524" t="s">
        <v>918</v>
      </c>
      <c r="G5" s="527" t="s">
        <v>919</v>
      </c>
      <c r="H5" s="528"/>
      <c r="I5" s="528"/>
      <c r="J5" s="528"/>
      <c r="K5" s="528"/>
      <c r="L5" s="528"/>
      <c r="M5" s="524" t="s">
        <v>920</v>
      </c>
      <c r="N5" s="529" t="s">
        <v>921</v>
      </c>
      <c r="O5" s="530" t="s">
        <v>922</v>
      </c>
    </row>
    <row r="6" spans="1:15" x14ac:dyDescent="0.2">
      <c r="A6" s="531"/>
      <c r="B6" s="524" t="s">
        <v>266</v>
      </c>
      <c r="C6" s="517"/>
      <c r="D6" s="532"/>
      <c r="E6" s="524" t="s">
        <v>266</v>
      </c>
      <c r="F6" s="521" t="s">
        <v>923</v>
      </c>
      <c r="G6" s="533" t="s">
        <v>924</v>
      </c>
      <c r="H6" s="521" t="s">
        <v>925</v>
      </c>
      <c r="I6" s="534" t="s">
        <v>926</v>
      </c>
      <c r="J6" s="534" t="s">
        <v>927</v>
      </c>
      <c r="K6" s="535" t="s">
        <v>928</v>
      </c>
      <c r="L6" s="536" t="s">
        <v>929</v>
      </c>
      <c r="M6" s="534" t="s">
        <v>930</v>
      </c>
      <c r="N6" s="534" t="s">
        <v>930</v>
      </c>
      <c r="O6" s="530"/>
    </row>
    <row r="7" spans="1:15" ht="15.75" thickBot="1" x14ac:dyDescent="0.3">
      <c r="A7" s="537"/>
      <c r="B7" s="538" t="s">
        <v>931</v>
      </c>
      <c r="C7" s="539" t="s">
        <v>923</v>
      </c>
      <c r="D7" s="540" t="s">
        <v>121</v>
      </c>
      <c r="E7" s="538" t="s">
        <v>932</v>
      </c>
      <c r="F7" s="539" t="s">
        <v>933</v>
      </c>
      <c r="G7" s="541" t="s">
        <v>934</v>
      </c>
      <c r="H7" s="539" t="s">
        <v>935</v>
      </c>
      <c r="I7" s="542" t="s">
        <v>936</v>
      </c>
      <c r="J7" s="543" t="s">
        <v>937</v>
      </c>
      <c r="K7" s="543" t="s">
        <v>938</v>
      </c>
      <c r="L7" s="544" t="s">
        <v>939</v>
      </c>
      <c r="M7" s="542" t="s">
        <v>940</v>
      </c>
      <c r="N7" s="542" t="s">
        <v>940</v>
      </c>
      <c r="O7" s="545"/>
    </row>
    <row r="8" spans="1:15" x14ac:dyDescent="0.2">
      <c r="A8" s="546" t="s">
        <v>941</v>
      </c>
      <c r="B8" s="547"/>
      <c r="C8" s="547"/>
      <c r="D8" s="548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9"/>
    </row>
    <row r="9" spans="1:15" x14ac:dyDescent="0.2">
      <c r="A9" s="550" t="s">
        <v>317</v>
      </c>
      <c r="B9" s="551">
        <f>+'BALANCE GRAL 30_06_22'!D12</f>
        <v>227627665</v>
      </c>
      <c r="C9" s="551"/>
      <c r="D9" s="552"/>
      <c r="E9" s="551">
        <v>112935599</v>
      </c>
      <c r="F9" s="551">
        <f t="shared" ref="F9:F22" si="0">B9-E9+C9-D9</f>
        <v>114692066</v>
      </c>
      <c r="G9" s="551"/>
      <c r="H9" s="551"/>
      <c r="I9" s="551"/>
      <c r="J9" s="551"/>
      <c r="K9" s="551"/>
      <c r="L9" s="551"/>
      <c r="M9" s="551"/>
      <c r="N9" s="551"/>
      <c r="O9" s="553">
        <f>F9</f>
        <v>114692066</v>
      </c>
    </row>
    <row r="10" spans="1:15" x14ac:dyDescent="0.2">
      <c r="A10" s="550" t="s">
        <v>942</v>
      </c>
      <c r="B10" s="554">
        <f>+'Balance Gral 30 06 2022'!B34</f>
        <v>49724326</v>
      </c>
      <c r="C10" s="551"/>
      <c r="D10" s="552"/>
      <c r="E10" s="551">
        <v>25480071</v>
      </c>
      <c r="F10" s="551">
        <f t="shared" si="0"/>
        <v>24244255</v>
      </c>
      <c r="G10" s="551"/>
      <c r="H10" s="551"/>
      <c r="I10" s="551"/>
      <c r="J10" s="551"/>
      <c r="K10" s="551"/>
      <c r="L10" s="551">
        <f>-F10</f>
        <v>-24244255</v>
      </c>
      <c r="M10" s="551"/>
      <c r="N10" s="551"/>
      <c r="O10" s="553"/>
    </row>
    <row r="11" spans="1:15" x14ac:dyDescent="0.2">
      <c r="A11" s="555" t="s">
        <v>943</v>
      </c>
      <c r="B11" s="556">
        <v>0</v>
      </c>
      <c r="C11" s="556"/>
      <c r="D11" s="557"/>
      <c r="E11" s="556">
        <v>0</v>
      </c>
      <c r="F11" s="556">
        <f t="shared" si="0"/>
        <v>0</v>
      </c>
      <c r="G11" s="551"/>
      <c r="H11" s="551"/>
      <c r="I11" s="551"/>
      <c r="J11" s="551">
        <f>-F11</f>
        <v>0</v>
      </c>
      <c r="K11" s="551"/>
      <c r="L11" s="551"/>
      <c r="M11" s="551"/>
      <c r="N11" s="551"/>
      <c r="O11" s="553"/>
    </row>
    <row r="12" spans="1:15" x14ac:dyDescent="0.2">
      <c r="A12" s="558" t="s">
        <v>385</v>
      </c>
      <c r="B12" s="559">
        <f>+'BALANCE GRAL 30_06_22'!D22</f>
        <v>18320000</v>
      </c>
      <c r="C12" s="559"/>
      <c r="D12" s="560"/>
      <c r="E12" s="559">
        <v>16074000</v>
      </c>
      <c r="F12" s="551">
        <f t="shared" si="0"/>
        <v>2246000</v>
      </c>
      <c r="G12" s="559">
        <f>-F12</f>
        <v>-2246000</v>
      </c>
      <c r="H12" s="559"/>
      <c r="I12" s="559"/>
      <c r="J12" s="559"/>
      <c r="K12" s="559"/>
      <c r="L12" s="559"/>
      <c r="M12" s="559"/>
      <c r="N12" s="559"/>
      <c r="O12" s="561"/>
    </row>
    <row r="13" spans="1:15" x14ac:dyDescent="0.2">
      <c r="A13" s="558" t="s">
        <v>944</v>
      </c>
      <c r="B13" s="559">
        <f>+'BALANCE GRAL 30_06_22'!D29-B10-B12-B11</f>
        <v>159120000</v>
      </c>
      <c r="C13" s="559"/>
      <c r="D13" s="559">
        <v>0</v>
      </c>
      <c r="E13" s="559">
        <v>28520000</v>
      </c>
      <c r="F13" s="551">
        <f t="shared" si="0"/>
        <v>130600000</v>
      </c>
      <c r="H13" s="559"/>
      <c r="I13" s="559"/>
      <c r="J13" s="559"/>
      <c r="K13" s="559"/>
      <c r="L13" s="559">
        <f>-F13</f>
        <v>-130600000</v>
      </c>
      <c r="M13" s="559"/>
      <c r="N13" s="559"/>
      <c r="O13" s="561"/>
    </row>
    <row r="14" spans="1:15" x14ac:dyDescent="0.2">
      <c r="A14" s="562" t="s">
        <v>945</v>
      </c>
      <c r="B14" s="563">
        <v>0</v>
      </c>
      <c r="C14" s="563"/>
      <c r="D14" s="563"/>
      <c r="E14" s="563">
        <v>0</v>
      </c>
      <c r="F14" s="551">
        <f t="shared" si="0"/>
        <v>0</v>
      </c>
      <c r="G14" s="564"/>
      <c r="H14" s="564"/>
      <c r="I14" s="564"/>
      <c r="J14" s="564"/>
      <c r="K14" s="564"/>
      <c r="L14" s="564"/>
      <c r="M14" s="564"/>
      <c r="N14" s="564"/>
      <c r="O14" s="565"/>
    </row>
    <row r="15" spans="1:15" x14ac:dyDescent="0.2">
      <c r="A15" s="558" t="s">
        <v>946</v>
      </c>
      <c r="B15" s="559">
        <f>+'BALANCE GRAL 30_06_22'!D20</f>
        <v>8755081144</v>
      </c>
      <c r="C15" s="559">
        <v>0</v>
      </c>
      <c r="D15" s="559"/>
      <c r="E15" s="559">
        <v>11238534504</v>
      </c>
      <c r="F15" s="551">
        <f t="shared" si="0"/>
        <v>-2483453360</v>
      </c>
      <c r="G15" s="559"/>
      <c r="H15" s="559"/>
      <c r="I15" s="559"/>
      <c r="J15" s="559"/>
      <c r="K15" s="559"/>
      <c r="L15" s="559"/>
      <c r="M15" s="559">
        <f>-F15</f>
        <v>2483453360</v>
      </c>
      <c r="N15" s="559"/>
      <c r="O15" s="561"/>
    </row>
    <row r="16" spans="1:15" x14ac:dyDescent="0.2">
      <c r="A16" s="558" t="s">
        <v>947</v>
      </c>
      <c r="B16" s="559">
        <f>+'BALANCE GRAL 30_06_22'!D47</f>
        <v>1500000000</v>
      </c>
      <c r="C16" s="559"/>
      <c r="D16" s="559">
        <f>+C36</f>
        <v>0</v>
      </c>
      <c r="E16" s="559">
        <v>900000000</v>
      </c>
      <c r="F16" s="551">
        <f t="shared" si="0"/>
        <v>600000000</v>
      </c>
      <c r="G16" s="559"/>
      <c r="H16" s="559"/>
      <c r="I16" s="559"/>
      <c r="J16" s="559"/>
      <c r="K16" s="559"/>
      <c r="L16" s="559"/>
      <c r="M16" s="559">
        <f>-F16</f>
        <v>-600000000</v>
      </c>
      <c r="N16" s="559"/>
      <c r="O16" s="561"/>
    </row>
    <row r="17" spans="1:111" x14ac:dyDescent="0.2">
      <c r="A17" s="562" t="s">
        <v>948</v>
      </c>
      <c r="B17" s="563">
        <f>+'BALANCE GRAL 30_06_22'!D61</f>
        <v>5276772</v>
      </c>
      <c r="C17" s="566"/>
      <c r="D17" s="563"/>
      <c r="E17" s="563">
        <v>5276772</v>
      </c>
      <c r="F17" s="551">
        <f t="shared" si="0"/>
        <v>0</v>
      </c>
      <c r="G17" s="559"/>
      <c r="H17" s="559"/>
      <c r="I17" s="559"/>
      <c r="J17" s="559"/>
      <c r="K17" s="559"/>
      <c r="L17" s="559"/>
      <c r="M17" s="559">
        <f>-F17</f>
        <v>0</v>
      </c>
      <c r="N17" s="559"/>
      <c r="O17" s="561"/>
    </row>
    <row r="18" spans="1:111" x14ac:dyDescent="0.2">
      <c r="A18" s="567" t="s">
        <v>949</v>
      </c>
      <c r="B18" s="568">
        <v>0</v>
      </c>
      <c r="C18" s="568"/>
      <c r="D18" s="569"/>
      <c r="E18" s="568">
        <v>0</v>
      </c>
      <c r="F18" s="570">
        <f t="shared" si="0"/>
        <v>0</v>
      </c>
      <c r="G18" s="564"/>
      <c r="H18" s="564"/>
      <c r="I18" s="564"/>
      <c r="J18" s="564"/>
      <c r="K18" s="564"/>
      <c r="L18" s="564"/>
      <c r="M18" s="564"/>
      <c r="N18" s="564"/>
      <c r="O18" s="565"/>
    </row>
    <row r="19" spans="1:111" x14ac:dyDescent="0.2">
      <c r="A19" s="562" t="s">
        <v>950</v>
      </c>
      <c r="B19" s="563">
        <v>0</v>
      </c>
      <c r="C19" s="566"/>
      <c r="D19" s="563"/>
      <c r="E19" s="563">
        <v>0</v>
      </c>
      <c r="F19" s="551">
        <f t="shared" si="0"/>
        <v>0</v>
      </c>
      <c r="G19" s="559"/>
      <c r="H19" s="559"/>
      <c r="I19" s="559"/>
      <c r="J19" s="559"/>
      <c r="K19" s="559"/>
      <c r="L19" s="559"/>
      <c r="M19" s="559">
        <f>-F19</f>
        <v>0</v>
      </c>
      <c r="N19" s="559"/>
      <c r="O19" s="561"/>
    </row>
    <row r="20" spans="1:111" ht="13.5" thickBot="1" x14ac:dyDescent="0.25">
      <c r="A20" s="567" t="s">
        <v>951</v>
      </c>
      <c r="B20" s="568">
        <f>-19246461</f>
        <v>-19246461</v>
      </c>
      <c r="C20" s="568">
        <v>0</v>
      </c>
      <c r="D20" s="569">
        <v>0</v>
      </c>
      <c r="E20" s="568">
        <v>-19246460.5</v>
      </c>
      <c r="F20" s="570">
        <f>B20-E20+C20-D20</f>
        <v>-0.5</v>
      </c>
      <c r="G20" s="564"/>
      <c r="H20" s="564"/>
      <c r="I20" s="564"/>
      <c r="J20" s="564"/>
      <c r="K20" s="564"/>
      <c r="L20" s="564"/>
      <c r="M20" s="564"/>
      <c r="N20" s="564"/>
      <c r="O20" s="565"/>
    </row>
    <row r="21" spans="1:111" s="576" customFormat="1" ht="15.75" thickTop="1" x14ac:dyDescent="0.25">
      <c r="A21" s="571" t="s">
        <v>952</v>
      </c>
      <c r="B21" s="572">
        <f>+'BALANCE GRAL 30_06_22'!D36</f>
        <v>998105548</v>
      </c>
      <c r="C21" s="559">
        <f>337853475-1</f>
        <v>337853474</v>
      </c>
      <c r="D21" s="563">
        <v>998105550</v>
      </c>
      <c r="E21" s="579">
        <v>337853472</v>
      </c>
      <c r="F21" s="551">
        <f t="shared" si="0"/>
        <v>0</v>
      </c>
      <c r="G21" s="573"/>
      <c r="H21" s="573"/>
      <c r="I21" s="573"/>
      <c r="J21" s="573"/>
      <c r="K21" s="573"/>
      <c r="L21" s="573">
        <f>-F21</f>
        <v>0</v>
      </c>
      <c r="M21" s="573">
        <v>0</v>
      </c>
      <c r="N21" s="573"/>
      <c r="O21" s="574"/>
      <c r="P21" s="575">
        <v>8975342</v>
      </c>
      <c r="Q21" s="575">
        <v>105780824</v>
      </c>
      <c r="R21" s="575">
        <f>+Q21+P21</f>
        <v>114756166</v>
      </c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515"/>
      <c r="AE21" s="515"/>
      <c r="AF21" s="515"/>
      <c r="AG21" s="515"/>
      <c r="AH21" s="515"/>
      <c r="AI21" s="515"/>
      <c r="AJ21" s="515"/>
      <c r="AK21" s="515"/>
      <c r="AL21" s="515"/>
      <c r="AM21" s="515"/>
      <c r="AN21" s="515"/>
      <c r="AO21" s="515"/>
      <c r="AP21" s="515"/>
      <c r="AQ21" s="515"/>
      <c r="AR21" s="515"/>
      <c r="AS21" s="515"/>
      <c r="AT21" s="515"/>
      <c r="AU21" s="515"/>
      <c r="AV21" s="515"/>
      <c r="AW21" s="515"/>
      <c r="AX21" s="515"/>
      <c r="AY21" s="515"/>
      <c r="AZ21" s="515"/>
      <c r="BA21" s="515"/>
      <c r="BB21" s="515"/>
      <c r="BC21" s="515"/>
      <c r="BD21" s="515"/>
      <c r="BE21" s="515"/>
      <c r="BF21" s="515"/>
      <c r="BG21" s="515"/>
      <c r="BH21" s="515"/>
      <c r="BI21" s="515"/>
      <c r="BJ21" s="515"/>
      <c r="BK21" s="515"/>
      <c r="BL21" s="515"/>
      <c r="BM21" s="515"/>
      <c r="BN21" s="515"/>
      <c r="BO21" s="515"/>
      <c r="BP21" s="515"/>
      <c r="BQ21" s="515"/>
      <c r="BR21" s="515"/>
      <c r="BS21" s="515"/>
      <c r="BT21" s="515"/>
      <c r="BU21" s="515"/>
      <c r="BV21" s="515"/>
      <c r="BW21" s="515"/>
      <c r="BX21" s="515"/>
      <c r="BY21" s="515"/>
      <c r="BZ21" s="515"/>
      <c r="CA21" s="515"/>
      <c r="CB21" s="515"/>
      <c r="CC21" s="515"/>
      <c r="CD21" s="515"/>
      <c r="CE21" s="515"/>
      <c r="CF21" s="515"/>
      <c r="CG21" s="515"/>
      <c r="CH21" s="515"/>
      <c r="CI21" s="515"/>
      <c r="CJ21" s="515"/>
      <c r="CK21" s="515"/>
      <c r="CL21" s="515"/>
      <c r="CM21" s="515"/>
      <c r="CN21" s="515"/>
      <c r="CO21" s="515"/>
      <c r="CP21" s="515"/>
      <c r="CQ21" s="515"/>
      <c r="CR21" s="515"/>
      <c r="CS21" s="515"/>
      <c r="CT21" s="515"/>
      <c r="CU21" s="515"/>
      <c r="CV21" s="515"/>
      <c r="CW21" s="515"/>
      <c r="CX21" s="515"/>
      <c r="CY21" s="515"/>
      <c r="CZ21" s="515"/>
      <c r="DA21" s="515"/>
      <c r="DB21" s="515"/>
      <c r="DC21" s="515"/>
      <c r="DD21" s="515"/>
      <c r="DE21" s="515"/>
      <c r="DF21" s="515"/>
      <c r="DG21" s="515"/>
    </row>
    <row r="22" spans="1:111" s="576" customFormat="1" x14ac:dyDescent="0.2">
      <c r="A22" s="571" t="s">
        <v>953</v>
      </c>
      <c r="B22" s="577">
        <v>76985842</v>
      </c>
      <c r="C22" s="578"/>
      <c r="D22" s="579"/>
      <c r="E22" s="579">
        <v>76985842</v>
      </c>
      <c r="F22" s="570">
        <f t="shared" si="0"/>
        <v>0</v>
      </c>
      <c r="G22" s="580"/>
      <c r="H22" s="580"/>
      <c r="I22" s="580"/>
      <c r="J22" s="580"/>
      <c r="K22" s="580"/>
      <c r="L22" s="580"/>
      <c r="M22" s="580"/>
      <c r="N22" s="580"/>
      <c r="O22" s="581"/>
      <c r="P22" s="575"/>
      <c r="Q22" s="575"/>
      <c r="R22" s="57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5"/>
      <c r="AL22" s="515"/>
      <c r="AM22" s="515"/>
      <c r="AN22" s="515"/>
      <c r="AO22" s="515"/>
      <c r="AP22" s="515"/>
      <c r="AQ22" s="515"/>
      <c r="AR22" s="515"/>
      <c r="AS22" s="515"/>
      <c r="AT22" s="515"/>
      <c r="AU22" s="515"/>
      <c r="AV22" s="515"/>
      <c r="AW22" s="515"/>
      <c r="AX22" s="515"/>
      <c r="AY22" s="515"/>
      <c r="AZ22" s="515"/>
      <c r="BA22" s="515"/>
      <c r="BB22" s="515"/>
      <c r="BC22" s="515"/>
      <c r="BD22" s="515"/>
      <c r="BE22" s="515"/>
      <c r="BF22" s="515"/>
      <c r="BG22" s="515"/>
      <c r="BH22" s="515"/>
      <c r="BI22" s="515"/>
      <c r="BJ22" s="515"/>
      <c r="BK22" s="515"/>
      <c r="BL22" s="515"/>
      <c r="BM22" s="515"/>
      <c r="BN22" s="515"/>
      <c r="BO22" s="515"/>
      <c r="BP22" s="515"/>
      <c r="BQ22" s="515"/>
      <c r="BR22" s="515"/>
      <c r="BS22" s="515"/>
      <c r="BT22" s="515"/>
      <c r="BU22" s="515"/>
      <c r="BV22" s="515"/>
      <c r="BW22" s="515"/>
      <c r="BX22" s="515"/>
      <c r="BY22" s="515"/>
      <c r="BZ22" s="515"/>
      <c r="CA22" s="515"/>
      <c r="CB22" s="515"/>
      <c r="CC22" s="515"/>
      <c r="CD22" s="515"/>
      <c r="CE22" s="515"/>
      <c r="CF22" s="515"/>
      <c r="CG22" s="515"/>
      <c r="CH22" s="515"/>
      <c r="CI22" s="515"/>
      <c r="CJ22" s="515"/>
      <c r="CK22" s="515"/>
      <c r="CL22" s="515"/>
      <c r="CM22" s="515"/>
      <c r="CN22" s="515"/>
      <c r="CO22" s="515"/>
      <c r="CP22" s="515"/>
      <c r="CQ22" s="515"/>
      <c r="CR22" s="515"/>
      <c r="CS22" s="515"/>
      <c r="CT22" s="515"/>
      <c r="CU22" s="515"/>
      <c r="CV22" s="515"/>
      <c r="CW22" s="515"/>
      <c r="CX22" s="515"/>
      <c r="CY22" s="515"/>
      <c r="CZ22" s="515"/>
      <c r="DA22" s="515"/>
      <c r="DB22" s="515"/>
      <c r="DC22" s="515"/>
      <c r="DD22" s="515"/>
      <c r="DE22" s="515"/>
      <c r="DF22" s="515"/>
      <c r="DG22" s="515"/>
    </row>
    <row r="23" spans="1:111" ht="13.5" thickBot="1" x14ac:dyDescent="0.25">
      <c r="A23" s="582" t="s">
        <v>954</v>
      </c>
      <c r="B23" s="583">
        <f>SUM(B9:B22)</f>
        <v>11770994836</v>
      </c>
      <c r="C23" s="559"/>
      <c r="D23" s="559"/>
      <c r="E23" s="583">
        <f>SUM(E9:E22)</f>
        <v>12722413799.5</v>
      </c>
      <c r="F23" s="551">
        <v>0</v>
      </c>
      <c r="G23" s="559"/>
      <c r="H23" s="559"/>
      <c r="I23" s="559"/>
      <c r="J23" s="559"/>
      <c r="K23" s="559"/>
      <c r="L23" s="559"/>
      <c r="M23" s="559"/>
      <c r="N23" s="559"/>
      <c r="O23" s="561"/>
      <c r="P23" s="575">
        <v>1599667</v>
      </c>
      <c r="Q23" s="575">
        <v>9474951</v>
      </c>
      <c r="R23" s="575">
        <f>+Q23+P23</f>
        <v>11074618</v>
      </c>
    </row>
    <row r="24" spans="1:111" ht="13.5" thickTop="1" x14ac:dyDescent="0.2">
      <c r="A24" s="584" t="s">
        <v>955</v>
      </c>
      <c r="B24" s="585">
        <f>+B23-'BALANCE GRAL 30_06_22'!D76</f>
        <v>-1</v>
      </c>
      <c r="C24" s="586"/>
      <c r="D24" s="586"/>
      <c r="E24" s="585"/>
      <c r="F24" s="587">
        <f t="shared" ref="F24:F40" si="1">B24-E24+C24-D24</f>
        <v>-1</v>
      </c>
      <c r="G24" s="559"/>
      <c r="H24" s="559"/>
      <c r="I24" s="559"/>
      <c r="J24" s="559"/>
      <c r="K24" s="559"/>
      <c r="L24" s="559"/>
      <c r="M24" s="559"/>
      <c r="N24" s="559"/>
      <c r="O24" s="561"/>
      <c r="P24" s="575">
        <v>4727013</v>
      </c>
      <c r="Q24" s="575">
        <v>30725588</v>
      </c>
      <c r="R24" s="575">
        <f>+Q24+P24</f>
        <v>35452601</v>
      </c>
    </row>
    <row r="25" spans="1:111" x14ac:dyDescent="0.2">
      <c r="A25" s="558" t="s">
        <v>956</v>
      </c>
      <c r="B25" s="588">
        <f>-'BALANCE GRAL 30_06_22'!G20</f>
        <v>-7170492534</v>
      </c>
      <c r="C25" s="559">
        <f>+D44+416085002</f>
        <v>123141593</v>
      </c>
      <c r="D25" s="559">
        <v>0</v>
      </c>
      <c r="E25" s="588">
        <v>-9026012385</v>
      </c>
      <c r="F25" s="551">
        <f t="shared" si="1"/>
        <v>1978661444</v>
      </c>
      <c r="G25" s="559"/>
      <c r="H25" s="559"/>
      <c r="I25" s="559"/>
      <c r="J25" s="559"/>
      <c r="K25" s="559"/>
      <c r="L25" s="559"/>
      <c r="M25" s="559"/>
      <c r="N25" s="559">
        <f>-F25</f>
        <v>-1978661444</v>
      </c>
      <c r="O25" s="561"/>
      <c r="P25" s="575">
        <v>5522903</v>
      </c>
      <c r="Q25" s="575">
        <v>52954902</v>
      </c>
      <c r="R25" s="575">
        <f>+Q25+P25</f>
        <v>58477805</v>
      </c>
    </row>
    <row r="26" spans="1:111" x14ac:dyDescent="0.2">
      <c r="A26" s="558" t="s">
        <v>957</v>
      </c>
      <c r="B26" s="559">
        <f>-'BALANCE GRAL 30_06_22'!G10</f>
        <v>-179575179</v>
      </c>
      <c r="C26" s="559">
        <f>+D33</f>
        <v>0</v>
      </c>
      <c r="D26" s="559"/>
      <c r="E26" s="559">
        <v>-5965366</v>
      </c>
      <c r="F26" s="551">
        <f t="shared" si="1"/>
        <v>-173609813</v>
      </c>
      <c r="G26" s="559">
        <f>-F26</f>
        <v>173609813</v>
      </c>
      <c r="H26" s="559"/>
      <c r="J26" s="559"/>
      <c r="K26" s="559"/>
      <c r="L26" s="559"/>
      <c r="M26" s="559"/>
      <c r="N26" s="559"/>
      <c r="O26" s="561"/>
      <c r="P26" s="575">
        <v>1172931</v>
      </c>
      <c r="Q26" s="575">
        <v>51608984</v>
      </c>
      <c r="R26" s="575">
        <f>+Q26+P26</f>
        <v>52781915</v>
      </c>
    </row>
    <row r="27" spans="1:111" x14ac:dyDescent="0.2">
      <c r="A27" s="558" t="s">
        <v>958</v>
      </c>
      <c r="B27" s="559">
        <f>-'BALANCE GRAL 30_06_22'!G11-'BALANCE GRAL 30_06_22'!G25-4884821</f>
        <v>-12791225</v>
      </c>
      <c r="C27" s="559">
        <v>4884822</v>
      </c>
      <c r="D27" s="559"/>
      <c r="E27" s="559">
        <v>-15926180</v>
      </c>
      <c r="F27" s="551">
        <f t="shared" si="1"/>
        <v>8019777</v>
      </c>
      <c r="G27" s="559"/>
      <c r="H27" s="559"/>
      <c r="I27" s="559"/>
      <c r="J27" s="559"/>
      <c r="K27" s="559"/>
      <c r="L27" s="559">
        <f>-F27</f>
        <v>-8019777</v>
      </c>
      <c r="M27" s="559"/>
      <c r="N27" s="559"/>
      <c r="O27" s="561"/>
      <c r="P27" s="585">
        <f>SUM(P21:P26)</f>
        <v>21997856</v>
      </c>
      <c r="Q27" s="585">
        <f>SUM(Q21:Q26)</f>
        <v>250545249</v>
      </c>
      <c r="R27" s="585">
        <f>SUM(R21:R26)</f>
        <v>272543105</v>
      </c>
    </row>
    <row r="28" spans="1:111" x14ac:dyDescent="0.2">
      <c r="A28" s="558" t="s">
        <v>959</v>
      </c>
      <c r="B28" s="559">
        <f>-'BALANCE GRAL 30_06_22'!G34+4884822</f>
        <v>-582020548</v>
      </c>
      <c r="C28" s="559">
        <v>582020548</v>
      </c>
      <c r="D28" s="559">
        <v>297828230</v>
      </c>
      <c r="E28" s="559">
        <f>-297828231+1</f>
        <v>-297828230</v>
      </c>
      <c r="F28" s="551">
        <f t="shared" si="1"/>
        <v>0</v>
      </c>
      <c r="G28" s="559"/>
      <c r="H28" s="559"/>
      <c r="I28" s="559"/>
      <c r="J28" s="559"/>
      <c r="K28" s="559"/>
      <c r="L28" s="559"/>
      <c r="M28" s="559"/>
      <c r="N28" s="559"/>
      <c r="O28" s="561"/>
      <c r="P28" s="585"/>
      <c r="Q28" s="585"/>
      <c r="R28" s="585"/>
    </row>
    <row r="29" spans="1:111" x14ac:dyDescent="0.2">
      <c r="A29" s="558" t="s">
        <v>960</v>
      </c>
      <c r="B29" s="559">
        <f>-'[7]Balance Gral. Resol. 6'!G23-'[7]Balance Gral. Resol. 6'!G22</f>
        <v>0</v>
      </c>
      <c r="C29" s="559">
        <f>+D48</f>
        <v>0</v>
      </c>
      <c r="D29" s="559"/>
      <c r="E29" s="559">
        <v>0</v>
      </c>
      <c r="F29" s="551">
        <f t="shared" si="1"/>
        <v>0</v>
      </c>
      <c r="G29" s="559"/>
      <c r="H29" s="559"/>
      <c r="I29" s="559"/>
      <c r="J29" s="559"/>
      <c r="K29" s="559"/>
      <c r="L29" s="559">
        <v>0</v>
      </c>
      <c r="M29" s="559"/>
      <c r="N29" s="559">
        <f>-F29</f>
        <v>0</v>
      </c>
      <c r="O29" s="561"/>
      <c r="P29" s="575"/>
      <c r="Q29" s="575"/>
      <c r="R29" s="575"/>
    </row>
    <row r="30" spans="1:111" x14ac:dyDescent="0.2">
      <c r="A30" s="558" t="s">
        <v>961</v>
      </c>
      <c r="B30" s="559">
        <v>0</v>
      </c>
      <c r="C30" s="559"/>
      <c r="D30" s="559"/>
      <c r="E30" s="559">
        <v>-211539</v>
      </c>
      <c r="F30" s="551">
        <f t="shared" si="1"/>
        <v>211539</v>
      </c>
      <c r="G30" s="559"/>
      <c r="H30" s="559"/>
      <c r="I30" s="559"/>
      <c r="J30" s="559">
        <f>-F30</f>
        <v>-211539</v>
      </c>
      <c r="K30" s="514"/>
      <c r="M30" s="559"/>
      <c r="N30" s="559"/>
      <c r="O30" s="561"/>
      <c r="P30" s="575"/>
      <c r="Q30" s="575"/>
      <c r="R30" s="575"/>
    </row>
    <row r="31" spans="1:111" x14ac:dyDescent="0.2">
      <c r="A31" s="558" t="s">
        <v>962</v>
      </c>
      <c r="B31" s="559">
        <v>0</v>
      </c>
      <c r="C31" s="589"/>
      <c r="D31" s="559"/>
      <c r="E31" s="559">
        <v>0</v>
      </c>
      <c r="F31" s="551">
        <f t="shared" si="1"/>
        <v>0</v>
      </c>
      <c r="G31" s="559"/>
      <c r="H31" s="559"/>
      <c r="I31" s="559"/>
      <c r="J31" s="559"/>
      <c r="K31" s="559"/>
      <c r="L31" s="559">
        <f>-F31</f>
        <v>0</v>
      </c>
      <c r="M31" s="559"/>
      <c r="N31" s="559"/>
      <c r="O31" s="561"/>
      <c r="P31" s="575"/>
      <c r="Q31" s="575"/>
      <c r="R31" s="575"/>
    </row>
    <row r="32" spans="1:111" x14ac:dyDescent="0.2">
      <c r="A32" s="590" t="s">
        <v>963</v>
      </c>
      <c r="B32" s="591">
        <f>-'BALANCE GRAL 30_06_22'!G63</f>
        <v>-3805000000</v>
      </c>
      <c r="C32" s="592">
        <v>0</v>
      </c>
      <c r="D32" s="591"/>
      <c r="E32" s="591">
        <v>-3386000000</v>
      </c>
      <c r="F32" s="570">
        <f t="shared" si="1"/>
        <v>-419000000</v>
      </c>
      <c r="G32" s="559"/>
      <c r="H32" s="559"/>
      <c r="I32" s="559"/>
      <c r="J32" s="559"/>
      <c r="K32" s="559"/>
      <c r="L32" s="559"/>
      <c r="M32" s="559"/>
      <c r="N32" s="559">
        <f>-F32</f>
        <v>419000000</v>
      </c>
      <c r="O32" s="561"/>
      <c r="P32" s="575"/>
      <c r="Q32" s="575"/>
      <c r="R32" s="575"/>
    </row>
    <row r="33" spans="1:111" x14ac:dyDescent="0.2">
      <c r="A33" s="558" t="s">
        <v>964</v>
      </c>
      <c r="B33" s="559">
        <v>0</v>
      </c>
      <c r="C33" s="514"/>
      <c r="D33" s="559">
        <v>0</v>
      </c>
      <c r="E33" s="559">
        <v>0</v>
      </c>
      <c r="F33" s="551">
        <f t="shared" si="1"/>
        <v>0</v>
      </c>
      <c r="G33" s="559"/>
      <c r="H33" s="559"/>
      <c r="I33" s="559"/>
      <c r="J33" s="559"/>
      <c r="K33" s="559"/>
      <c r="L33" s="559"/>
      <c r="M33" s="559"/>
      <c r="N33" s="559">
        <f>-F33</f>
        <v>0</v>
      </c>
      <c r="O33" s="561"/>
      <c r="P33" s="575"/>
      <c r="Q33" s="575"/>
      <c r="R33" s="575"/>
    </row>
    <row r="34" spans="1:111" x14ac:dyDescent="0.2">
      <c r="A34" s="567" t="s">
        <v>965</v>
      </c>
      <c r="B34" s="568">
        <v>0</v>
      </c>
      <c r="C34" s="568">
        <v>0</v>
      </c>
      <c r="D34" s="568">
        <v>0</v>
      </c>
      <c r="E34" s="568">
        <v>0</v>
      </c>
      <c r="F34" s="570">
        <f t="shared" si="1"/>
        <v>0</v>
      </c>
      <c r="G34" s="564"/>
      <c r="H34" s="564"/>
      <c r="I34" s="564"/>
      <c r="J34" s="564"/>
      <c r="K34" s="564"/>
      <c r="L34" s="564"/>
      <c r="M34" s="564"/>
      <c r="N34" s="564"/>
      <c r="O34" s="565"/>
      <c r="P34" s="575"/>
      <c r="Q34" s="575"/>
      <c r="R34" s="575"/>
    </row>
    <row r="35" spans="1:111" x14ac:dyDescent="0.2">
      <c r="A35" s="567" t="s">
        <v>966</v>
      </c>
      <c r="B35" s="568">
        <v>0</v>
      </c>
      <c r="C35" s="568">
        <v>0</v>
      </c>
      <c r="D35" s="568"/>
      <c r="E35" s="568">
        <v>0</v>
      </c>
      <c r="F35" s="570">
        <f t="shared" si="1"/>
        <v>0</v>
      </c>
      <c r="G35" s="564"/>
      <c r="H35" s="564"/>
      <c r="I35" s="564"/>
      <c r="J35" s="564"/>
      <c r="K35" s="564"/>
      <c r="L35" s="564"/>
      <c r="M35" s="564"/>
      <c r="N35" s="564"/>
      <c r="O35" s="565"/>
      <c r="P35" s="575"/>
      <c r="Q35" s="575"/>
      <c r="R35" s="575"/>
    </row>
    <row r="36" spans="1:111" x14ac:dyDescent="0.2">
      <c r="A36" s="567" t="s">
        <v>967</v>
      </c>
      <c r="B36" s="568">
        <v>0</v>
      </c>
      <c r="C36" s="568">
        <v>0</v>
      </c>
      <c r="D36" s="568">
        <v>0</v>
      </c>
      <c r="E36" s="568">
        <v>0</v>
      </c>
      <c r="F36" s="570">
        <f t="shared" si="1"/>
        <v>0</v>
      </c>
      <c r="G36" s="564"/>
      <c r="H36" s="564"/>
      <c r="I36" s="564"/>
      <c r="J36" s="564"/>
      <c r="K36" s="564"/>
      <c r="L36" s="564"/>
      <c r="M36" s="564"/>
      <c r="N36" s="564"/>
      <c r="O36" s="565"/>
      <c r="P36" s="575"/>
      <c r="Q36" s="575"/>
      <c r="R36" s="575"/>
    </row>
    <row r="37" spans="1:111" s="576" customFormat="1" x14ac:dyDescent="0.2">
      <c r="A37" s="567" t="s">
        <v>968</v>
      </c>
      <c r="B37" s="568">
        <f>-'[6]Balance Gral 31 03 2022'!$B$80</f>
        <v>9529901</v>
      </c>
      <c r="C37" s="568">
        <f>D39</f>
        <v>-9529900</v>
      </c>
      <c r="D37" s="568">
        <v>0</v>
      </c>
      <c r="E37" s="568">
        <v>0</v>
      </c>
      <c r="F37" s="570">
        <f t="shared" si="1"/>
        <v>1</v>
      </c>
      <c r="G37" s="564"/>
      <c r="H37" s="564"/>
      <c r="I37" s="564"/>
      <c r="J37" s="564"/>
      <c r="K37" s="564"/>
      <c r="L37" s="564"/>
      <c r="M37" s="564"/>
      <c r="N37" s="564"/>
      <c r="O37" s="565"/>
      <c r="P37" s="575"/>
      <c r="Q37" s="575"/>
      <c r="R37" s="575"/>
      <c r="S37" s="515"/>
      <c r="T37" s="515"/>
      <c r="U37" s="515"/>
      <c r="V37" s="515"/>
      <c r="W37" s="515"/>
      <c r="X37" s="515"/>
      <c r="Y37" s="515"/>
      <c r="Z37" s="515"/>
      <c r="AA37" s="515"/>
      <c r="AB37" s="515"/>
      <c r="AC37" s="515"/>
      <c r="AD37" s="515"/>
      <c r="AE37" s="515"/>
      <c r="AF37" s="515"/>
      <c r="AG37" s="515"/>
      <c r="AH37" s="515"/>
      <c r="AI37" s="515"/>
      <c r="AJ37" s="515"/>
      <c r="AK37" s="515"/>
      <c r="AL37" s="515"/>
      <c r="AM37" s="515"/>
      <c r="AN37" s="515"/>
      <c r="AO37" s="515"/>
      <c r="AP37" s="515"/>
      <c r="AQ37" s="515"/>
      <c r="AR37" s="515"/>
      <c r="AS37" s="515"/>
      <c r="AT37" s="515"/>
      <c r="AU37" s="515"/>
      <c r="AV37" s="515"/>
      <c r="AW37" s="515"/>
      <c r="AX37" s="515"/>
      <c r="AY37" s="515"/>
      <c r="AZ37" s="515"/>
      <c r="BA37" s="515"/>
      <c r="BB37" s="515"/>
      <c r="BC37" s="515"/>
      <c r="BD37" s="515"/>
      <c r="BE37" s="515"/>
      <c r="BF37" s="515"/>
      <c r="BG37" s="515"/>
      <c r="BH37" s="515"/>
      <c r="BI37" s="515"/>
      <c r="BJ37" s="515"/>
      <c r="BK37" s="515"/>
      <c r="BL37" s="515"/>
      <c r="BM37" s="515"/>
      <c r="BN37" s="515"/>
      <c r="BO37" s="515"/>
      <c r="BP37" s="515"/>
      <c r="BQ37" s="515"/>
      <c r="BR37" s="515"/>
      <c r="BS37" s="515"/>
      <c r="BT37" s="515"/>
      <c r="BU37" s="515"/>
      <c r="BV37" s="515"/>
      <c r="BW37" s="515"/>
      <c r="BX37" s="515"/>
      <c r="BY37" s="515"/>
      <c r="BZ37" s="515"/>
      <c r="CA37" s="515"/>
      <c r="CB37" s="515"/>
      <c r="CC37" s="515"/>
      <c r="CD37" s="515"/>
      <c r="CE37" s="515"/>
      <c r="CF37" s="515"/>
      <c r="CG37" s="515"/>
      <c r="CH37" s="515"/>
      <c r="CI37" s="515"/>
      <c r="CJ37" s="515"/>
      <c r="CK37" s="515"/>
      <c r="CL37" s="515"/>
      <c r="CM37" s="515"/>
      <c r="CN37" s="515"/>
      <c r="CO37" s="515"/>
      <c r="CP37" s="515"/>
      <c r="CQ37" s="515"/>
      <c r="CR37" s="515"/>
      <c r="CS37" s="515"/>
      <c r="CT37" s="515"/>
      <c r="CU37" s="515"/>
      <c r="CV37" s="515"/>
      <c r="CW37" s="515"/>
      <c r="CX37" s="515"/>
      <c r="CY37" s="515"/>
      <c r="CZ37" s="515"/>
      <c r="DA37" s="515"/>
      <c r="DB37" s="515"/>
      <c r="DC37" s="515"/>
      <c r="DD37" s="515"/>
      <c r="DE37" s="515"/>
      <c r="DF37" s="515"/>
      <c r="DG37" s="515"/>
    </row>
    <row r="38" spans="1:111" s="576" customFormat="1" x14ac:dyDescent="0.2">
      <c r="A38" s="567" t="s">
        <v>969</v>
      </c>
      <c r="B38" s="593">
        <v>0</v>
      </c>
      <c r="C38" s="568"/>
      <c r="D38" s="568"/>
      <c r="E38" s="593">
        <v>0</v>
      </c>
      <c r="F38" s="570">
        <f t="shared" si="1"/>
        <v>0</v>
      </c>
      <c r="G38" s="564"/>
      <c r="H38" s="564"/>
      <c r="I38" s="564"/>
      <c r="J38" s="564"/>
      <c r="K38" s="564"/>
      <c r="L38" s="594"/>
      <c r="M38" s="564"/>
      <c r="N38" s="564"/>
      <c r="O38" s="565"/>
      <c r="P38" s="575"/>
      <c r="Q38" s="575"/>
      <c r="R38" s="575"/>
      <c r="S38" s="515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  <c r="BQ38" s="515"/>
      <c r="BR38" s="515"/>
      <c r="BS38" s="515"/>
      <c r="BT38" s="515"/>
      <c r="BU38" s="515"/>
      <c r="BV38" s="515"/>
      <c r="BW38" s="515"/>
      <c r="BX38" s="515"/>
      <c r="BY38" s="515"/>
      <c r="BZ38" s="515"/>
      <c r="CA38" s="515"/>
      <c r="CB38" s="515"/>
      <c r="CC38" s="515"/>
      <c r="CD38" s="515"/>
      <c r="CE38" s="515"/>
      <c r="CF38" s="515"/>
      <c r="CG38" s="515"/>
      <c r="CH38" s="515"/>
      <c r="CI38" s="515"/>
      <c r="CJ38" s="515"/>
      <c r="CK38" s="515"/>
      <c r="CL38" s="515"/>
      <c r="CM38" s="515"/>
      <c r="CN38" s="515"/>
      <c r="CO38" s="515"/>
      <c r="CP38" s="515"/>
      <c r="CQ38" s="515"/>
      <c r="CR38" s="515"/>
      <c r="CS38" s="515"/>
      <c r="CT38" s="515"/>
      <c r="CU38" s="515"/>
      <c r="CV38" s="515"/>
      <c r="CW38" s="515"/>
      <c r="CX38" s="515"/>
      <c r="CY38" s="515"/>
      <c r="CZ38" s="515"/>
      <c r="DA38" s="515"/>
      <c r="DB38" s="515"/>
      <c r="DC38" s="515"/>
      <c r="DD38" s="515"/>
      <c r="DE38" s="515"/>
      <c r="DF38" s="515"/>
      <c r="DG38" s="515"/>
    </row>
    <row r="39" spans="1:111" s="576" customFormat="1" ht="13.5" thickBot="1" x14ac:dyDescent="0.25">
      <c r="A39" s="567" t="s">
        <v>970</v>
      </c>
      <c r="B39" s="595">
        <f>-'BALANCE GRAL 30_06_22'!G73</f>
        <v>-12385250.720000001</v>
      </c>
      <c r="C39" s="568">
        <f>+D58</f>
        <v>12385251</v>
      </c>
      <c r="D39" s="596">
        <f>-9529901+1</f>
        <v>-9529900</v>
      </c>
      <c r="E39" s="595">
        <f>9318361.73+211539</f>
        <v>9529900.7300000004</v>
      </c>
      <c r="F39" s="570">
        <f t="shared" si="1"/>
        <v>-0.45000000298023224</v>
      </c>
      <c r="G39" s="564"/>
      <c r="H39" s="564"/>
      <c r="I39" s="564"/>
      <c r="J39" s="564"/>
      <c r="K39" s="564"/>
      <c r="L39" s="564"/>
      <c r="M39" s="564"/>
      <c r="N39" s="564"/>
      <c r="O39" s="565"/>
      <c r="P39" s="575"/>
      <c r="Q39" s="575"/>
      <c r="R39" s="575"/>
      <c r="S39" s="515"/>
      <c r="T39" s="515"/>
      <c r="U39" s="515"/>
      <c r="V39" s="515"/>
      <c r="W39" s="515"/>
      <c r="X39" s="515"/>
      <c r="Y39" s="515"/>
      <c r="Z39" s="515"/>
      <c r="AA39" s="515"/>
      <c r="AB39" s="515"/>
      <c r="AC39" s="515"/>
      <c r="AD39" s="515"/>
      <c r="AE39" s="515"/>
      <c r="AF39" s="515"/>
      <c r="AG39" s="515"/>
      <c r="AH39" s="515"/>
      <c r="AI39" s="515"/>
      <c r="AJ39" s="515"/>
      <c r="AK39" s="515"/>
      <c r="AL39" s="515"/>
      <c r="AM39" s="515"/>
      <c r="AN39" s="515"/>
      <c r="AO39" s="515"/>
      <c r="AP39" s="515"/>
      <c r="AQ39" s="515"/>
      <c r="AR39" s="515"/>
      <c r="AS39" s="515"/>
      <c r="AT39" s="515"/>
      <c r="AU39" s="515"/>
      <c r="AV39" s="515"/>
      <c r="AW39" s="515"/>
      <c r="AX39" s="515"/>
      <c r="AY39" s="515"/>
      <c r="AZ39" s="515"/>
      <c r="BA39" s="515"/>
      <c r="BB39" s="515"/>
      <c r="BC39" s="515"/>
      <c r="BD39" s="515"/>
      <c r="BE39" s="515"/>
      <c r="BF39" s="515"/>
      <c r="BG39" s="515"/>
      <c r="BH39" s="515"/>
      <c r="BI39" s="515"/>
      <c r="BJ39" s="515"/>
      <c r="BK39" s="515"/>
      <c r="BL39" s="515"/>
      <c r="BM39" s="515"/>
      <c r="BN39" s="515"/>
      <c r="BO39" s="515"/>
      <c r="BP39" s="515"/>
      <c r="BQ39" s="515"/>
      <c r="BR39" s="515"/>
      <c r="BS39" s="515"/>
      <c r="BT39" s="515"/>
      <c r="BU39" s="515"/>
      <c r="BV39" s="515"/>
      <c r="BW39" s="515"/>
      <c r="BX39" s="515"/>
      <c r="BY39" s="515"/>
      <c r="BZ39" s="515"/>
      <c r="CA39" s="515"/>
      <c r="CB39" s="515"/>
      <c r="CC39" s="515"/>
      <c r="CD39" s="515"/>
      <c r="CE39" s="515"/>
      <c r="CF39" s="515"/>
      <c r="CG39" s="515"/>
      <c r="CH39" s="515"/>
      <c r="CI39" s="515"/>
      <c r="CJ39" s="515"/>
      <c r="CK39" s="515"/>
      <c r="CL39" s="515"/>
      <c r="CM39" s="515"/>
      <c r="CN39" s="515"/>
      <c r="CO39" s="515"/>
      <c r="CP39" s="515"/>
      <c r="CQ39" s="515"/>
      <c r="CR39" s="515"/>
      <c r="CS39" s="515"/>
      <c r="CT39" s="515"/>
      <c r="CU39" s="515"/>
      <c r="CV39" s="515"/>
      <c r="CW39" s="515"/>
      <c r="CX39" s="515"/>
      <c r="CY39" s="515"/>
      <c r="CZ39" s="515"/>
      <c r="DA39" s="515"/>
      <c r="DB39" s="515"/>
      <c r="DC39" s="515"/>
      <c r="DD39" s="515"/>
      <c r="DE39" s="515"/>
      <c r="DF39" s="515"/>
      <c r="DG39" s="515"/>
    </row>
    <row r="40" spans="1:111" ht="13.5" thickBot="1" x14ac:dyDescent="0.25">
      <c r="A40" s="597" t="s">
        <v>660</v>
      </c>
      <c r="B40" s="583">
        <f>SUM(B25:B39)</f>
        <v>-11752734835.719999</v>
      </c>
      <c r="C40" s="559"/>
      <c r="D40" s="559"/>
      <c r="E40" s="583">
        <f>SUM(E25:E39)</f>
        <v>-12722413799.27</v>
      </c>
      <c r="F40" s="551">
        <f t="shared" si="1"/>
        <v>969678963.55000114</v>
      </c>
      <c r="G40" s="559"/>
      <c r="H40" s="559"/>
      <c r="I40" s="559"/>
      <c r="J40" s="559"/>
      <c r="K40" s="559"/>
      <c r="L40" s="559"/>
      <c r="M40" s="559"/>
      <c r="N40" s="559"/>
      <c r="O40" s="561"/>
      <c r="P40" s="575"/>
      <c r="Q40" s="575"/>
      <c r="R40" s="575"/>
    </row>
    <row r="41" spans="1:111" ht="13.5" thickTop="1" x14ac:dyDescent="0.2">
      <c r="A41" s="584" t="s">
        <v>971</v>
      </c>
      <c r="B41" s="598">
        <f>+B40+B23</f>
        <v>18260000.280000687</v>
      </c>
      <c r="C41" s="559"/>
      <c r="D41" s="559"/>
      <c r="E41" s="598">
        <f>+E40+E23</f>
        <v>0.22999954223632813</v>
      </c>
      <c r="F41" s="551">
        <v>0</v>
      </c>
      <c r="G41" s="559"/>
      <c r="H41" s="559"/>
      <c r="I41" s="559"/>
      <c r="J41" s="559"/>
      <c r="K41" s="559"/>
      <c r="L41" s="559"/>
      <c r="M41" s="559"/>
      <c r="N41" s="559"/>
      <c r="O41" s="561"/>
      <c r="P41" s="575"/>
      <c r="Q41" s="575"/>
      <c r="R41" s="575"/>
    </row>
    <row r="42" spans="1:111" x14ac:dyDescent="0.2">
      <c r="A42" s="558" t="s">
        <v>972</v>
      </c>
      <c r="B42" s="559">
        <f>(+'ESTADOS DE RESULTADOS 30_06_22'!E14+'ESTADOS DE RESULTADOS 30_06_22'!E26+'ESTADOS DE RESULTADOS 30_06_22'!E32)*-1</f>
        <v>-24629136</v>
      </c>
      <c r="C42" s="559"/>
      <c r="D42" s="559"/>
      <c r="E42" s="559">
        <v>0</v>
      </c>
      <c r="F42" s="551">
        <f t="shared" ref="F42:F53" si="2">B42-E42+C42-D42</f>
        <v>-24629136</v>
      </c>
      <c r="G42" s="559">
        <f>-F42</f>
        <v>24629136</v>
      </c>
      <c r="H42" s="559"/>
      <c r="I42" s="559"/>
      <c r="J42" s="559"/>
      <c r="K42" s="559"/>
      <c r="L42" s="559"/>
      <c r="M42" s="559"/>
      <c r="N42" s="559"/>
      <c r="O42" s="561"/>
    </row>
    <row r="43" spans="1:111" x14ac:dyDescent="0.2">
      <c r="A43" s="558" t="s">
        <v>973</v>
      </c>
      <c r="B43" s="559">
        <f>-'ESTADOS DE RESULTADOS 30_06_22'!E76-'ESTADOS DE RESULTADOS 30_06_22'!E81-B44</f>
        <v>-246225817</v>
      </c>
      <c r="C43" s="559">
        <v>0</v>
      </c>
      <c r="D43" s="559">
        <v>0</v>
      </c>
      <c r="E43" s="559">
        <v>0</v>
      </c>
      <c r="F43" s="551">
        <f t="shared" si="2"/>
        <v>-246225817</v>
      </c>
      <c r="G43" s="559">
        <f>-F43</f>
        <v>246225817</v>
      </c>
      <c r="H43" s="559">
        <v>0</v>
      </c>
      <c r="I43" s="559"/>
      <c r="J43" s="559"/>
      <c r="K43" s="559"/>
      <c r="L43" s="559"/>
      <c r="M43" s="559"/>
      <c r="N43" s="559"/>
      <c r="O43" s="561"/>
    </row>
    <row r="44" spans="1:111" x14ac:dyDescent="0.2">
      <c r="A44" s="558" t="s">
        <v>974</v>
      </c>
      <c r="B44" s="559">
        <f>-199452055-46745677-46745677</f>
        <v>-292943409</v>
      </c>
      <c r="C44" s="559"/>
      <c r="D44" s="559">
        <f>+B44</f>
        <v>-292943409</v>
      </c>
      <c r="E44" s="559">
        <v>0</v>
      </c>
      <c r="F44" s="551">
        <f t="shared" si="2"/>
        <v>0</v>
      </c>
      <c r="G44" s="559"/>
      <c r="H44" s="559"/>
      <c r="I44" s="559"/>
      <c r="J44" s="559"/>
      <c r="K44" s="559"/>
      <c r="L44" s="559">
        <f>-F44</f>
        <v>0</v>
      </c>
      <c r="M44" s="559">
        <v>0</v>
      </c>
      <c r="N44" s="559"/>
      <c r="O44" s="561"/>
    </row>
    <row r="45" spans="1:111" x14ac:dyDescent="0.2">
      <c r="A45" s="558" t="s">
        <v>975</v>
      </c>
      <c r="B45" s="559">
        <v>0</v>
      </c>
      <c r="C45" s="559"/>
      <c r="D45" s="559"/>
      <c r="E45" s="559">
        <v>0</v>
      </c>
      <c r="F45" s="551">
        <f t="shared" si="2"/>
        <v>0</v>
      </c>
      <c r="G45" s="559"/>
      <c r="H45" s="559"/>
      <c r="I45" s="559"/>
      <c r="J45" s="559"/>
      <c r="K45" s="559"/>
      <c r="L45" s="559"/>
      <c r="M45" s="559">
        <f>-B45</f>
        <v>0</v>
      </c>
      <c r="N45" s="559"/>
      <c r="O45" s="561"/>
    </row>
    <row r="46" spans="1:111" x14ac:dyDescent="0.2">
      <c r="A46" s="558" t="s">
        <v>976</v>
      </c>
      <c r="B46" s="559">
        <f>+'ESTADOS DE RESULTADOS 30_06_22'!E37</f>
        <v>140588714</v>
      </c>
      <c r="C46" s="559"/>
      <c r="D46" s="559"/>
      <c r="E46" s="559">
        <v>0</v>
      </c>
      <c r="F46" s="551">
        <f t="shared" si="2"/>
        <v>140588714</v>
      </c>
      <c r="G46" s="559">
        <f>-F46</f>
        <v>-140588714</v>
      </c>
      <c r="H46" s="559"/>
      <c r="I46" s="559"/>
      <c r="J46" s="559"/>
      <c r="K46" s="559"/>
      <c r="L46" s="559"/>
      <c r="M46" s="559"/>
      <c r="N46" s="559"/>
      <c r="O46" s="561"/>
    </row>
    <row r="47" spans="1:111" x14ac:dyDescent="0.2">
      <c r="A47" s="558" t="s">
        <v>977</v>
      </c>
      <c r="B47" s="559">
        <f>+'EERR al 30 06 2022'!B34</f>
        <v>33848471</v>
      </c>
      <c r="C47" s="559"/>
      <c r="D47" s="559"/>
      <c r="E47" s="559">
        <v>0</v>
      </c>
      <c r="F47" s="551">
        <f t="shared" si="2"/>
        <v>33848471</v>
      </c>
      <c r="G47" s="559"/>
      <c r="H47" s="559"/>
      <c r="I47" s="559"/>
      <c r="J47" s="559"/>
      <c r="K47" s="559">
        <f>-F47</f>
        <v>-33848471</v>
      </c>
      <c r="L47" s="559"/>
      <c r="M47" s="559"/>
      <c r="N47" s="559"/>
      <c r="O47" s="561"/>
    </row>
    <row r="48" spans="1:111" x14ac:dyDescent="0.2">
      <c r="A48" s="558" t="s">
        <v>978</v>
      </c>
      <c r="B48" s="559">
        <v>0</v>
      </c>
      <c r="C48" s="559"/>
      <c r="D48" s="559">
        <f>+B48</f>
        <v>0</v>
      </c>
      <c r="E48" s="559">
        <v>0</v>
      </c>
      <c r="F48" s="551">
        <f t="shared" si="2"/>
        <v>0</v>
      </c>
      <c r="G48" s="559"/>
      <c r="H48" s="559"/>
      <c r="I48" s="559"/>
      <c r="J48" s="559"/>
      <c r="K48" s="559"/>
      <c r="L48" s="559">
        <f>-F48</f>
        <v>0</v>
      </c>
      <c r="M48" s="559"/>
      <c r="N48" s="559"/>
      <c r="O48" s="561"/>
    </row>
    <row r="49" spans="1:15" x14ac:dyDescent="0.2">
      <c r="A49" s="558" t="s">
        <v>979</v>
      </c>
      <c r="B49" s="588">
        <f>+'ESTADOS DE RESULTADOS 30_06_22'!E48-'ESTADOS DE RESULTADOS 30_06_22'!E49-'ESTADOS DE RESULTADOS 30_06_22'!E84-B53</f>
        <v>332065860</v>
      </c>
      <c r="C49" s="559"/>
      <c r="D49" s="599">
        <v>0</v>
      </c>
      <c r="E49" s="588">
        <v>0</v>
      </c>
      <c r="F49" s="551">
        <f t="shared" si="2"/>
        <v>332065860</v>
      </c>
      <c r="G49" s="559"/>
      <c r="H49" s="559"/>
      <c r="I49" s="559"/>
      <c r="J49" s="559"/>
      <c r="K49" s="559"/>
      <c r="L49" s="559">
        <f>-F49</f>
        <v>-332065860</v>
      </c>
      <c r="M49" s="559"/>
      <c r="N49" s="559"/>
      <c r="O49" s="561"/>
    </row>
    <row r="50" spans="1:15" x14ac:dyDescent="0.2">
      <c r="A50" s="600" t="s">
        <v>980</v>
      </c>
      <c r="B50" s="601">
        <v>0</v>
      </c>
      <c r="C50" s="578"/>
      <c r="D50" s="602">
        <f>+B50</f>
        <v>0</v>
      </c>
      <c r="E50" s="601">
        <v>0</v>
      </c>
      <c r="F50" s="556">
        <f t="shared" si="2"/>
        <v>0</v>
      </c>
      <c r="G50" s="564"/>
      <c r="H50" s="564"/>
      <c r="I50" s="564"/>
      <c r="J50" s="564"/>
      <c r="K50" s="564"/>
      <c r="L50" s="564">
        <f>F50</f>
        <v>0</v>
      </c>
      <c r="M50" s="564"/>
      <c r="N50" s="564"/>
      <c r="O50" s="565"/>
    </row>
    <row r="51" spans="1:15" x14ac:dyDescent="0.2">
      <c r="A51" s="603" t="s">
        <v>966</v>
      </c>
      <c r="B51" s="604">
        <v>0</v>
      </c>
      <c r="C51" s="578"/>
      <c r="D51" s="602"/>
      <c r="E51" s="601">
        <v>0</v>
      </c>
      <c r="F51" s="556">
        <f t="shared" si="2"/>
        <v>0</v>
      </c>
      <c r="G51" s="564"/>
      <c r="H51" s="564"/>
      <c r="I51" s="564"/>
      <c r="J51" s="564"/>
      <c r="K51" s="564"/>
      <c r="L51" s="564">
        <f>-F51</f>
        <v>0</v>
      </c>
      <c r="M51" s="564"/>
      <c r="N51" s="564"/>
      <c r="O51" s="565"/>
    </row>
    <row r="52" spans="1:15" x14ac:dyDescent="0.2">
      <c r="A52" s="605" t="s">
        <v>981</v>
      </c>
      <c r="B52" s="601">
        <v>0</v>
      </c>
      <c r="C52" s="578"/>
      <c r="D52" s="602"/>
      <c r="E52" s="601">
        <v>0</v>
      </c>
      <c r="F52" s="556">
        <f t="shared" si="2"/>
        <v>0</v>
      </c>
      <c r="G52" s="564"/>
      <c r="H52" s="564"/>
      <c r="I52" s="564"/>
      <c r="J52" s="564"/>
      <c r="K52" s="564"/>
      <c r="L52" s="564">
        <f>-F52</f>
        <v>0</v>
      </c>
      <c r="M52" s="564"/>
      <c r="N52" s="564"/>
      <c r="O52" s="565"/>
    </row>
    <row r="53" spans="1:15" x14ac:dyDescent="0.2">
      <c r="A53" s="600" t="s">
        <v>1000</v>
      </c>
      <c r="B53" s="578">
        <f>15882595+14433549+14593922</f>
        <v>44910066</v>
      </c>
      <c r="C53" s="578"/>
      <c r="D53" s="602">
        <f>+B53</f>
        <v>44910066</v>
      </c>
      <c r="E53" s="578">
        <v>0</v>
      </c>
      <c r="F53" s="556">
        <f t="shared" si="2"/>
        <v>0</v>
      </c>
      <c r="G53" s="559"/>
      <c r="H53" s="559"/>
      <c r="I53" s="559"/>
      <c r="J53" s="559"/>
      <c r="K53" s="559"/>
      <c r="L53" s="559"/>
      <c r="M53" s="559"/>
      <c r="N53" s="559">
        <f>+L5-F53</f>
        <v>0</v>
      </c>
      <c r="O53" s="561"/>
    </row>
    <row r="54" spans="1:15" x14ac:dyDescent="0.2">
      <c r="A54" s="558"/>
      <c r="B54" s="606">
        <v>0</v>
      </c>
      <c r="C54" s="559"/>
      <c r="D54" s="599"/>
      <c r="E54" s="606">
        <v>0</v>
      </c>
      <c r="F54" s="551"/>
      <c r="G54" s="559"/>
      <c r="H54" s="559"/>
      <c r="I54" s="559"/>
      <c r="J54" s="559"/>
      <c r="K54" s="559"/>
      <c r="L54" s="559"/>
      <c r="M54" s="559"/>
      <c r="N54" s="559"/>
      <c r="O54" s="561"/>
    </row>
    <row r="55" spans="1:15" x14ac:dyDescent="0.2">
      <c r="A55" s="558"/>
      <c r="B55" s="559">
        <v>0</v>
      </c>
      <c r="C55" s="559"/>
      <c r="D55" s="599"/>
      <c r="E55" s="606">
        <v>0</v>
      </c>
      <c r="F55" s="551"/>
      <c r="G55" s="559"/>
      <c r="H55" s="559"/>
      <c r="I55" s="559"/>
      <c r="J55" s="559"/>
      <c r="K55" s="559"/>
      <c r="L55" s="559"/>
      <c r="M55" s="559"/>
      <c r="N55" s="559"/>
      <c r="O55" s="561"/>
    </row>
    <row r="56" spans="1:15" x14ac:dyDescent="0.2">
      <c r="A56" s="558"/>
      <c r="B56" s="559">
        <v>0</v>
      </c>
      <c r="C56" s="559"/>
      <c r="D56" s="599"/>
      <c r="E56" s="606">
        <v>0</v>
      </c>
      <c r="F56" s="551"/>
      <c r="G56" s="559"/>
      <c r="H56" s="559"/>
      <c r="I56" s="559"/>
      <c r="J56" s="559"/>
      <c r="K56" s="559"/>
      <c r="L56" s="559"/>
      <c r="M56" s="559"/>
      <c r="N56" s="559"/>
      <c r="O56" s="561"/>
    </row>
    <row r="57" spans="1:15" ht="13.5" thickBot="1" x14ac:dyDescent="0.25">
      <c r="A57" s="603" t="s">
        <v>982</v>
      </c>
      <c r="B57" s="607">
        <v>0</v>
      </c>
      <c r="C57" s="608"/>
      <c r="D57" s="609"/>
      <c r="E57" s="602">
        <v>0</v>
      </c>
      <c r="F57" s="610">
        <f>B57-E57+C57-D57</f>
        <v>0</v>
      </c>
      <c r="G57" s="611"/>
      <c r="H57" s="564"/>
      <c r="I57" s="564"/>
      <c r="J57" s="564"/>
      <c r="K57" s="564"/>
      <c r="L57" s="564">
        <f>-F57</f>
        <v>0</v>
      </c>
      <c r="M57" s="564"/>
      <c r="N57" s="564"/>
      <c r="O57" s="565"/>
    </row>
    <row r="58" spans="1:15" ht="13.5" thickBot="1" x14ac:dyDescent="0.25">
      <c r="A58" s="612" t="s">
        <v>837</v>
      </c>
      <c r="B58" s="613">
        <f>SUM(B42:B57)*-1</f>
        <v>12385251</v>
      </c>
      <c r="C58" s="578">
        <v>0</v>
      </c>
      <c r="D58" s="602">
        <f>+B58</f>
        <v>12385251</v>
      </c>
      <c r="E58" s="602">
        <v>0</v>
      </c>
      <c r="F58" s="610">
        <f>B58-E58+C58-D58</f>
        <v>0</v>
      </c>
      <c r="G58" s="564"/>
      <c r="H58" s="564"/>
      <c r="I58" s="564"/>
      <c r="J58" s="564"/>
      <c r="K58" s="564"/>
      <c r="L58" s="564">
        <f>-F58</f>
        <v>0</v>
      </c>
      <c r="M58" s="564"/>
      <c r="N58" s="564"/>
      <c r="O58" s="565"/>
    </row>
    <row r="59" spans="1:15" ht="13.5" thickBot="1" x14ac:dyDescent="0.25">
      <c r="A59" s="614" t="s">
        <v>983</v>
      </c>
      <c r="B59" s="615">
        <f>+B58+B39</f>
        <v>0.27999999932944775</v>
      </c>
      <c r="C59" s="615"/>
      <c r="D59" s="615"/>
      <c r="E59" s="616">
        <v>0</v>
      </c>
      <c r="F59" s="551"/>
      <c r="G59" s="606"/>
      <c r="H59" s="606"/>
      <c r="I59" s="606"/>
      <c r="J59" s="606"/>
      <c r="K59" s="606"/>
      <c r="L59" s="559"/>
      <c r="M59" s="559"/>
      <c r="N59" s="606"/>
      <c r="O59" s="561"/>
    </row>
    <row r="60" spans="1:15" ht="15.75" thickBot="1" x14ac:dyDescent="0.3">
      <c r="A60" s="617" t="s">
        <v>922</v>
      </c>
      <c r="B60" s="616"/>
      <c r="C60" s="616">
        <f>SUM(C9:C58)</f>
        <v>1050755788</v>
      </c>
      <c r="D60" s="616">
        <f>SUM(D9:D59)</f>
        <v>1050755788</v>
      </c>
      <c r="E60" s="616">
        <v>0</v>
      </c>
      <c r="F60" s="551">
        <f>B60-E60+C60-D60</f>
        <v>0</v>
      </c>
      <c r="G60" s="618">
        <f t="shared" ref="G60:N60" si="3">SUM(G9:G58)</f>
        <v>301630052</v>
      </c>
      <c r="H60" s="618">
        <f t="shared" si="3"/>
        <v>0</v>
      </c>
      <c r="I60" s="618">
        <f t="shared" si="3"/>
        <v>0</v>
      </c>
      <c r="J60" s="618">
        <f t="shared" si="3"/>
        <v>-211539</v>
      </c>
      <c r="K60" s="618">
        <f t="shared" si="3"/>
        <v>-33848471</v>
      </c>
      <c r="L60" s="618">
        <f t="shared" si="3"/>
        <v>-494929892</v>
      </c>
      <c r="M60" s="618">
        <f t="shared" si="3"/>
        <v>1883453360</v>
      </c>
      <c r="N60" s="618">
        <f t="shared" si="3"/>
        <v>-1559661444</v>
      </c>
      <c r="O60" s="619">
        <f>SUM(F60:N60)</f>
        <v>96432066</v>
      </c>
    </row>
    <row r="61" spans="1:15" ht="15.75" x14ac:dyDescent="0.25">
      <c r="B61" s="620"/>
      <c r="D61" s="621">
        <f>D60-C60</f>
        <v>0</v>
      </c>
      <c r="L61" s="514"/>
      <c r="O61" s="622">
        <f>O60-O9</f>
        <v>-18260000</v>
      </c>
    </row>
    <row r="62" spans="1:15" x14ac:dyDescent="0.2">
      <c r="A62" s="623"/>
      <c r="B62" s="623"/>
      <c r="C62" s="623"/>
      <c r="D62" s="514">
        <f>+D53+D44</f>
        <v>-248033343</v>
      </c>
    </row>
    <row r="63" spans="1:15" ht="20.25" x14ac:dyDescent="0.3">
      <c r="A63" s="624" t="s">
        <v>984</v>
      </c>
      <c r="B63" s="625"/>
      <c r="C63" s="625"/>
      <c r="D63" s="626"/>
      <c r="E63" s="626"/>
    </row>
    <row r="64" spans="1:15" ht="15" x14ac:dyDescent="0.2">
      <c r="A64" s="627"/>
      <c r="B64" s="627"/>
      <c r="C64" s="627"/>
      <c r="D64" s="628"/>
      <c r="E64" s="628"/>
    </row>
    <row r="65" spans="1:5" ht="15" x14ac:dyDescent="0.2">
      <c r="A65" s="629" t="s">
        <v>985</v>
      </c>
      <c r="B65" s="630">
        <f>+G60</f>
        <v>301630052</v>
      </c>
      <c r="C65" s="631"/>
      <c r="D65" s="630"/>
      <c r="E65" s="628"/>
    </row>
    <row r="66" spans="1:5" ht="15" x14ac:dyDescent="0.2">
      <c r="A66" s="629" t="s">
        <v>986</v>
      </c>
      <c r="B66" s="630">
        <f>+H60</f>
        <v>0</v>
      </c>
      <c r="C66" s="631"/>
      <c r="D66" s="630"/>
      <c r="E66" s="628"/>
    </row>
    <row r="67" spans="1:5" ht="15" x14ac:dyDescent="0.2">
      <c r="A67" s="629" t="s">
        <v>987</v>
      </c>
      <c r="B67" s="630">
        <f>+I60</f>
        <v>0</v>
      </c>
      <c r="C67" s="631"/>
      <c r="D67" s="630"/>
      <c r="E67" s="628"/>
    </row>
    <row r="68" spans="1:5" ht="15" x14ac:dyDescent="0.2">
      <c r="A68" s="629" t="s">
        <v>988</v>
      </c>
      <c r="B68" s="630">
        <f>+K60</f>
        <v>-33848471</v>
      </c>
      <c r="C68" s="631"/>
      <c r="D68" s="630"/>
      <c r="E68" s="628"/>
    </row>
    <row r="69" spans="1:5" ht="15" x14ac:dyDescent="0.2">
      <c r="A69" s="629" t="s">
        <v>989</v>
      </c>
      <c r="B69" s="630">
        <f>+L60</f>
        <v>-494929892</v>
      </c>
      <c r="C69" s="631"/>
      <c r="D69" s="630"/>
      <c r="E69" s="628"/>
    </row>
    <row r="70" spans="1:5" ht="15" x14ac:dyDescent="0.2">
      <c r="A70" s="629" t="s">
        <v>234</v>
      </c>
      <c r="B70" s="630">
        <f>+J60</f>
        <v>-211539</v>
      </c>
      <c r="C70" s="631"/>
      <c r="D70" s="630"/>
      <c r="E70" s="628"/>
    </row>
    <row r="71" spans="1:5" ht="15" x14ac:dyDescent="0.2">
      <c r="A71" s="627"/>
      <c r="B71" s="630"/>
      <c r="C71" s="631"/>
      <c r="D71" s="630"/>
      <c r="E71" s="628"/>
    </row>
    <row r="72" spans="1:5" ht="15.75" x14ac:dyDescent="0.25">
      <c r="A72" s="632" t="s">
        <v>984</v>
      </c>
      <c r="B72" s="630"/>
      <c r="C72" s="633">
        <f>SUM(B65:B70)</f>
        <v>-227359850</v>
      </c>
      <c r="D72" s="630"/>
      <c r="E72" s="628"/>
    </row>
    <row r="73" spans="1:5" ht="15" x14ac:dyDescent="0.2">
      <c r="A73" s="627"/>
      <c r="B73" s="630"/>
      <c r="C73" s="631"/>
      <c r="D73" s="630"/>
      <c r="E73" s="628"/>
    </row>
    <row r="74" spans="1:5" ht="15" x14ac:dyDescent="0.2">
      <c r="A74" s="629" t="s">
        <v>990</v>
      </c>
      <c r="B74" s="634">
        <f>+M16</f>
        <v>-600000000</v>
      </c>
      <c r="C74" s="631"/>
      <c r="D74" s="630"/>
      <c r="E74" s="628"/>
    </row>
    <row r="75" spans="1:5" ht="15" x14ac:dyDescent="0.2">
      <c r="A75" s="629" t="s">
        <v>991</v>
      </c>
      <c r="B75" s="634">
        <f>+M17+M19</f>
        <v>0</v>
      </c>
      <c r="C75" s="631"/>
      <c r="D75" s="630"/>
      <c r="E75" s="628"/>
    </row>
    <row r="76" spans="1:5" ht="15" x14ac:dyDescent="0.2">
      <c r="A76" s="629" t="s">
        <v>251</v>
      </c>
      <c r="B76" s="634">
        <f>+M15</f>
        <v>2483453360</v>
      </c>
      <c r="C76" s="631"/>
      <c r="D76" s="630"/>
      <c r="E76" s="628"/>
    </row>
    <row r="77" spans="1:5" ht="15" x14ac:dyDescent="0.2">
      <c r="A77" s="629" t="s">
        <v>252</v>
      </c>
      <c r="B77" s="634">
        <v>0</v>
      </c>
      <c r="C77" s="631"/>
      <c r="D77" s="630"/>
      <c r="E77" s="628"/>
    </row>
    <row r="78" spans="1:5" ht="15" x14ac:dyDescent="0.2">
      <c r="A78" s="629" t="s">
        <v>253</v>
      </c>
      <c r="B78" s="634">
        <v>0</v>
      </c>
      <c r="C78" s="631"/>
      <c r="D78" s="630"/>
      <c r="E78" s="628"/>
    </row>
    <row r="79" spans="1:5" ht="15" x14ac:dyDescent="0.2">
      <c r="A79" s="629"/>
      <c r="B79" s="634"/>
      <c r="C79" s="631"/>
      <c r="D79" s="630"/>
      <c r="E79" s="628"/>
    </row>
    <row r="80" spans="1:5" ht="15" x14ac:dyDescent="0.2">
      <c r="A80" s="629"/>
      <c r="B80" s="630">
        <v>0</v>
      </c>
      <c r="C80" s="631"/>
      <c r="D80" s="630"/>
      <c r="E80" s="628"/>
    </row>
    <row r="81" spans="1:5" ht="15" x14ac:dyDescent="0.2">
      <c r="A81" s="627"/>
      <c r="B81" s="630"/>
      <c r="C81" s="631"/>
      <c r="D81" s="630"/>
      <c r="E81" s="628"/>
    </row>
    <row r="82" spans="1:5" ht="15.75" x14ac:dyDescent="0.25">
      <c r="A82" s="632" t="s">
        <v>992</v>
      </c>
      <c r="B82" s="630"/>
      <c r="C82" s="633">
        <f>SUM(B74:B80)</f>
        <v>1883453360</v>
      </c>
      <c r="D82" s="630"/>
      <c r="E82" s="628"/>
    </row>
    <row r="83" spans="1:5" ht="15" x14ac:dyDescent="0.2">
      <c r="A83" s="627"/>
      <c r="B83" s="630"/>
      <c r="C83" s="631"/>
      <c r="D83" s="630"/>
      <c r="E83" s="628"/>
    </row>
    <row r="84" spans="1:5" ht="15.75" x14ac:dyDescent="0.25">
      <c r="A84" s="632" t="s">
        <v>993</v>
      </c>
      <c r="B84" s="630"/>
      <c r="C84" s="631"/>
      <c r="D84" s="630"/>
      <c r="E84" s="628"/>
    </row>
    <row r="85" spans="1:5" ht="15" x14ac:dyDescent="0.2">
      <c r="A85" s="627"/>
      <c r="B85" s="630"/>
      <c r="C85" s="631"/>
      <c r="D85" s="630"/>
      <c r="E85" s="628"/>
    </row>
    <row r="86" spans="1:5" ht="15" x14ac:dyDescent="0.2">
      <c r="A86" s="629" t="s">
        <v>994</v>
      </c>
      <c r="B86" s="630">
        <f>+N25</f>
        <v>-1978661444</v>
      </c>
      <c r="C86" s="631"/>
      <c r="D86" s="630"/>
      <c r="E86" s="628"/>
    </row>
    <row r="87" spans="1:5" ht="15" x14ac:dyDescent="0.2">
      <c r="A87" s="629" t="s">
        <v>257</v>
      </c>
      <c r="B87" s="634">
        <f>+N29</f>
        <v>0</v>
      </c>
      <c r="C87" s="631"/>
      <c r="D87" s="630"/>
      <c r="E87" s="628"/>
    </row>
    <row r="88" spans="1:5" ht="15" x14ac:dyDescent="0.2">
      <c r="A88" s="629" t="s">
        <v>995</v>
      </c>
      <c r="B88" s="630">
        <f>+N32</f>
        <v>419000000</v>
      </c>
      <c r="C88" s="631"/>
      <c r="D88" s="630"/>
      <c r="E88" s="628"/>
    </row>
    <row r="89" spans="1:5" ht="15" x14ac:dyDescent="0.2">
      <c r="A89" s="627"/>
      <c r="B89" s="630"/>
      <c r="C89" s="631"/>
      <c r="D89" s="630"/>
      <c r="E89" s="628"/>
    </row>
    <row r="90" spans="1:5" ht="15.75" x14ac:dyDescent="0.25">
      <c r="A90" s="632" t="s">
        <v>996</v>
      </c>
      <c r="B90" s="630"/>
      <c r="C90" s="633">
        <f>SUM(B86:B88)</f>
        <v>-1559661444</v>
      </c>
      <c r="D90" s="630"/>
      <c r="E90" s="628"/>
    </row>
    <row r="91" spans="1:5" ht="15" x14ac:dyDescent="0.2">
      <c r="A91" s="627"/>
      <c r="B91" s="630"/>
      <c r="C91" s="631"/>
      <c r="D91" s="630"/>
      <c r="E91" s="628"/>
    </row>
    <row r="92" spans="1:5" ht="15.75" x14ac:dyDescent="0.25">
      <c r="A92" s="629" t="s">
        <v>997</v>
      </c>
      <c r="B92" s="630"/>
      <c r="C92" s="631">
        <f>C90+C82+C72</f>
        <v>96432066</v>
      </c>
      <c r="D92" s="630">
        <f>O60</f>
        <v>96432066</v>
      </c>
      <c r="E92" s="635">
        <f>D92-C92</f>
        <v>0</v>
      </c>
    </row>
    <row r="93" spans="1:5" ht="15.75" x14ac:dyDescent="0.25">
      <c r="A93" s="629" t="s">
        <v>998</v>
      </c>
      <c r="B93" s="630"/>
      <c r="C93" s="631">
        <f>+E9</f>
        <v>112935599</v>
      </c>
      <c r="D93" s="630"/>
      <c r="E93" s="635"/>
    </row>
    <row r="94" spans="1:5" ht="15.75" x14ac:dyDescent="0.25">
      <c r="A94" s="632" t="s">
        <v>999</v>
      </c>
      <c r="B94" s="636"/>
      <c r="C94" s="636">
        <f>SUM(C92:C93)</f>
        <v>209367665</v>
      </c>
      <c r="D94" s="630">
        <f>+B9</f>
        <v>227627665</v>
      </c>
      <c r="E94" s="635">
        <f>D94-C94</f>
        <v>18260000</v>
      </c>
    </row>
    <row r="95" spans="1:5" ht="15" x14ac:dyDescent="0.2">
      <c r="A95" s="628"/>
      <c r="B95" s="628"/>
      <c r="C95" s="628"/>
      <c r="D95" s="628"/>
      <c r="E95" s="628"/>
    </row>
    <row r="96" spans="1:5" ht="15" x14ac:dyDescent="0.2">
      <c r="A96" s="628"/>
      <c r="B96" s="628"/>
      <c r="C96" s="628"/>
      <c r="D96" s="628"/>
      <c r="E96" s="628"/>
    </row>
    <row r="97" spans="1:5" ht="15" x14ac:dyDescent="0.2">
      <c r="A97" s="628"/>
      <c r="B97" s="628"/>
      <c r="C97" s="637"/>
      <c r="D97" s="628"/>
      <c r="E97" s="628"/>
    </row>
    <row r="98" spans="1:5" ht="15" x14ac:dyDescent="0.2">
      <c r="A98" s="628"/>
      <c r="B98" s="628"/>
      <c r="C98" s="628"/>
      <c r="D98" s="628"/>
      <c r="E98" s="628"/>
    </row>
    <row r="99" spans="1:5" ht="15" x14ac:dyDescent="0.2">
      <c r="A99" s="628"/>
      <c r="B99" s="628"/>
      <c r="C99" s="628"/>
      <c r="D99" s="628"/>
      <c r="E99" s="628"/>
    </row>
    <row r="100" spans="1:5" ht="15" x14ac:dyDescent="0.2">
      <c r="A100" s="628"/>
      <c r="B100" s="628"/>
      <c r="C100" s="628"/>
      <c r="D100" s="628"/>
      <c r="E100" s="628"/>
    </row>
    <row r="101" spans="1:5" ht="15" x14ac:dyDescent="0.2">
      <c r="A101" s="628"/>
      <c r="B101" s="628"/>
      <c r="C101" s="628"/>
      <c r="D101" s="628"/>
      <c r="E101" s="628"/>
    </row>
    <row r="102" spans="1:5" ht="15" x14ac:dyDescent="0.2">
      <c r="A102" s="628"/>
      <c r="B102" s="628"/>
      <c r="C102" s="628"/>
      <c r="D102" s="628"/>
      <c r="E102" s="628"/>
    </row>
    <row r="103" spans="1:5" ht="15" x14ac:dyDescent="0.2">
      <c r="A103" s="628"/>
      <c r="B103" s="628"/>
      <c r="C103" s="628"/>
      <c r="D103" s="628"/>
      <c r="E103" s="628"/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002060"/>
  </sheetPr>
  <dimension ref="C1:F59"/>
  <sheetViews>
    <sheetView showGridLines="0" zoomScale="120" zoomScaleNormal="120" workbookViewId="0">
      <selection activeCell="E77" sqref="E77"/>
    </sheetView>
  </sheetViews>
  <sheetFormatPr baseColWidth="10" defaultColWidth="11.42578125" defaultRowHeight="12" x14ac:dyDescent="0.2"/>
  <cols>
    <col min="1" max="1" width="11.42578125" style="189"/>
    <col min="2" max="2" width="5.7109375" style="189" customWidth="1"/>
    <col min="3" max="3" width="70.28515625" style="189" customWidth="1"/>
    <col min="4" max="5" width="25.7109375" style="189" customWidth="1"/>
    <col min="6" max="6" width="14.28515625" style="189" bestFit="1" customWidth="1"/>
    <col min="7" max="16384" width="11.42578125" style="189"/>
  </cols>
  <sheetData>
    <row r="1" spans="3:6" ht="55.15" customHeight="1" x14ac:dyDescent="0.2">
      <c r="C1" s="678"/>
      <c r="D1" s="678"/>
      <c r="E1" s="678"/>
    </row>
    <row r="2" spans="3:6" x14ac:dyDescent="0.2">
      <c r="C2" s="678"/>
      <c r="D2" s="678"/>
      <c r="E2" s="678"/>
    </row>
    <row r="3" spans="3:6" x14ac:dyDescent="0.2">
      <c r="C3" s="678" t="str">
        <f>+INDICE!B2</f>
        <v>TRADERS PRO CASA DE BOLSA S.A.</v>
      </c>
      <c r="D3" s="678"/>
      <c r="E3" s="678"/>
    </row>
    <row r="4" spans="3:6" x14ac:dyDescent="0.2">
      <c r="C4" s="678" t="s">
        <v>235</v>
      </c>
      <c r="D4" s="678"/>
      <c r="E4" s="678"/>
    </row>
    <row r="5" spans="3:6" ht="19.5" customHeight="1" x14ac:dyDescent="0.2">
      <c r="C5" s="686" t="s">
        <v>906</v>
      </c>
      <c r="D5" s="686"/>
      <c r="E5" s="686"/>
    </row>
    <row r="6" spans="3:6" x14ac:dyDescent="0.2">
      <c r="C6" s="690" t="s">
        <v>57</v>
      </c>
      <c r="D6" s="690"/>
      <c r="E6" s="690"/>
    </row>
    <row r="7" spans="3:6" x14ac:dyDescent="0.2">
      <c r="C7" s="312"/>
      <c r="D7" s="313" t="str">
        <f>+'ESTADOS DE RESULTADOS 30_06_22'!E8</f>
        <v>PERIODO ACTUAL 30/06/ 2022</v>
      </c>
      <c r="E7" s="313" t="str">
        <f>+'ESTADOS DE RESULTADOS 30_06_22'!F8</f>
        <v>PERIODO ANTERIOR 30/06/2021</v>
      </c>
    </row>
    <row r="8" spans="3:6" x14ac:dyDescent="0.2">
      <c r="C8" s="197" t="s">
        <v>236</v>
      </c>
      <c r="D8" s="314"/>
      <c r="E8" s="315"/>
    </row>
    <row r="9" spans="3:6" ht="12" customHeight="1" x14ac:dyDescent="0.2">
      <c r="C9" s="207"/>
      <c r="D9" s="272"/>
      <c r="E9" s="316"/>
      <c r="F9" s="248"/>
    </row>
    <row r="10" spans="3:6" x14ac:dyDescent="0.2">
      <c r="C10" s="207" t="s">
        <v>641</v>
      </c>
      <c r="D10" s="316">
        <f>+'Flujo de TP Calculo DIC'!B65</f>
        <v>301630052</v>
      </c>
      <c r="E10" s="316">
        <v>0</v>
      </c>
      <c r="F10" s="248"/>
    </row>
    <row r="11" spans="3:6" ht="12.6" customHeight="1" x14ac:dyDescent="0.2">
      <c r="C11" s="207" t="s">
        <v>237</v>
      </c>
      <c r="D11" s="316">
        <f>+'Flujo de TP Calculo DIC'!B68</f>
        <v>-33848471</v>
      </c>
      <c r="E11" s="316">
        <v>0</v>
      </c>
    </row>
    <row r="12" spans="3:6" x14ac:dyDescent="0.2">
      <c r="C12" s="207" t="s">
        <v>238</v>
      </c>
      <c r="D12" s="316">
        <f>+'Flujo de TP Calculo DIC'!B66</f>
        <v>0</v>
      </c>
      <c r="E12" s="316">
        <v>0</v>
      </c>
    </row>
    <row r="13" spans="3:6" x14ac:dyDescent="0.2">
      <c r="C13" s="207"/>
      <c r="D13" s="316"/>
      <c r="E13" s="316">
        <v>0</v>
      </c>
    </row>
    <row r="14" spans="3:6" x14ac:dyDescent="0.2">
      <c r="C14" s="317" t="s">
        <v>239</v>
      </c>
      <c r="D14" s="318"/>
      <c r="E14" s="318">
        <v>0</v>
      </c>
    </row>
    <row r="15" spans="3:6" x14ac:dyDescent="0.2">
      <c r="C15" s="317" t="s">
        <v>240</v>
      </c>
      <c r="D15" s="319">
        <f>SUM(D10:D13)</f>
        <v>267781581</v>
      </c>
      <c r="E15" s="319">
        <v>0</v>
      </c>
    </row>
    <row r="16" spans="3:6" x14ac:dyDescent="0.2">
      <c r="C16" s="320"/>
      <c r="D16" s="318"/>
      <c r="E16" s="318">
        <v>0</v>
      </c>
    </row>
    <row r="17" spans="3:5" x14ac:dyDescent="0.2">
      <c r="C17" s="317" t="s">
        <v>241</v>
      </c>
      <c r="D17" s="318"/>
      <c r="E17" s="318">
        <v>0</v>
      </c>
    </row>
    <row r="18" spans="3:5" x14ac:dyDescent="0.2">
      <c r="C18" s="320"/>
      <c r="D18" s="318"/>
      <c r="E18" s="318">
        <v>0</v>
      </c>
    </row>
    <row r="19" spans="3:5" x14ac:dyDescent="0.2">
      <c r="C19" s="320" t="s">
        <v>242</v>
      </c>
      <c r="D19" s="318">
        <v>0</v>
      </c>
      <c r="E19" s="318">
        <v>0</v>
      </c>
    </row>
    <row r="20" spans="3:5" x14ac:dyDescent="0.2">
      <c r="C20" s="320"/>
      <c r="D20" s="336">
        <f>SUM(D18:D19)</f>
        <v>0</v>
      </c>
      <c r="E20" s="319">
        <v>0</v>
      </c>
    </row>
    <row r="21" spans="3:5" x14ac:dyDescent="0.2">
      <c r="C21" s="317" t="s">
        <v>243</v>
      </c>
      <c r="D21" s="318"/>
      <c r="E21" s="318">
        <v>0</v>
      </c>
    </row>
    <row r="22" spans="3:5" x14ac:dyDescent="0.2">
      <c r="C22" s="320" t="s">
        <v>244</v>
      </c>
      <c r="D22" s="318">
        <f>+'Flujo de TP Calculo DIC'!B69</f>
        <v>-494929892</v>
      </c>
      <c r="E22" s="318">
        <v>0</v>
      </c>
    </row>
    <row r="23" spans="3:5" x14ac:dyDescent="0.2">
      <c r="C23" s="320"/>
      <c r="D23" s="318"/>
      <c r="E23" s="318">
        <v>0</v>
      </c>
    </row>
    <row r="24" spans="3:5" x14ac:dyDescent="0.2">
      <c r="C24" s="317" t="s">
        <v>245</v>
      </c>
      <c r="D24" s="336">
        <f>D15+D20+D22</f>
        <v>-227148311</v>
      </c>
      <c r="E24" s="319">
        <v>0</v>
      </c>
    </row>
    <row r="25" spans="3:5" x14ac:dyDescent="0.2">
      <c r="C25" s="320"/>
      <c r="D25" s="318"/>
      <c r="E25" s="318">
        <v>0</v>
      </c>
    </row>
    <row r="26" spans="3:5" x14ac:dyDescent="0.2">
      <c r="C26" s="320" t="s">
        <v>234</v>
      </c>
      <c r="D26" s="318">
        <f>+'Flujo de TP Calculo DIC'!B70</f>
        <v>-211539</v>
      </c>
      <c r="E26" s="318">
        <v>0</v>
      </c>
    </row>
    <row r="27" spans="3:5" x14ac:dyDescent="0.2">
      <c r="C27" s="320"/>
      <c r="D27" s="318"/>
      <c r="E27" s="318">
        <v>0</v>
      </c>
    </row>
    <row r="28" spans="3:5" x14ac:dyDescent="0.2">
      <c r="C28" s="317" t="s">
        <v>246</v>
      </c>
      <c r="D28" s="319">
        <f>+D24+D26</f>
        <v>-227359850</v>
      </c>
      <c r="E28" s="319">
        <v>0</v>
      </c>
    </row>
    <row r="29" spans="3:5" x14ac:dyDescent="0.2">
      <c r="C29" s="317"/>
      <c r="D29" s="321"/>
      <c r="E29" s="321">
        <v>0</v>
      </c>
    </row>
    <row r="30" spans="3:5" x14ac:dyDescent="0.2">
      <c r="C30" s="317" t="s">
        <v>247</v>
      </c>
      <c r="D30" s="318"/>
      <c r="E30" s="318">
        <v>0</v>
      </c>
    </row>
    <row r="31" spans="3:5" x14ac:dyDescent="0.2">
      <c r="C31" s="317"/>
      <c r="D31" s="318"/>
      <c r="E31" s="318">
        <v>0</v>
      </c>
    </row>
    <row r="32" spans="3:5" x14ac:dyDescent="0.2">
      <c r="C32" s="320" t="s">
        <v>248</v>
      </c>
      <c r="D32" s="318">
        <v>0</v>
      </c>
      <c r="E32" s="318">
        <v>0</v>
      </c>
    </row>
    <row r="33" spans="3:5" x14ac:dyDescent="0.2">
      <c r="C33" s="320" t="s">
        <v>642</v>
      </c>
      <c r="D33" s="318">
        <f>+'Flujo de TP Calculo DIC'!C82</f>
        <v>1883453360</v>
      </c>
      <c r="E33" s="318">
        <v>0</v>
      </c>
    </row>
    <row r="34" spans="3:5" x14ac:dyDescent="0.2">
      <c r="C34" s="320" t="s">
        <v>249</v>
      </c>
      <c r="D34" s="318" t="s">
        <v>527</v>
      </c>
      <c r="E34" s="318">
        <v>0</v>
      </c>
    </row>
    <row r="35" spans="3:5" x14ac:dyDescent="0.2">
      <c r="C35" s="320" t="s">
        <v>250</v>
      </c>
      <c r="D35" s="318">
        <v>0</v>
      </c>
      <c r="E35" s="318">
        <v>0</v>
      </c>
    </row>
    <row r="36" spans="3:5" x14ac:dyDescent="0.2">
      <c r="C36" s="320" t="s">
        <v>251</v>
      </c>
      <c r="D36" s="318">
        <v>0</v>
      </c>
      <c r="E36" s="318">
        <v>0</v>
      </c>
    </row>
    <row r="37" spans="3:5" x14ac:dyDescent="0.2">
      <c r="C37" s="320" t="s">
        <v>252</v>
      </c>
      <c r="D37" s="318" t="s">
        <v>527</v>
      </c>
      <c r="E37" s="318">
        <v>0</v>
      </c>
    </row>
    <row r="38" spans="3:5" x14ac:dyDescent="0.2">
      <c r="C38" s="320" t="s">
        <v>253</v>
      </c>
      <c r="D38" s="318" t="s">
        <v>527</v>
      </c>
      <c r="E38" s="318">
        <v>0</v>
      </c>
    </row>
    <row r="39" spans="3:5" x14ac:dyDescent="0.2">
      <c r="C39" s="320"/>
      <c r="D39" s="318"/>
      <c r="E39" s="318">
        <v>0</v>
      </c>
    </row>
    <row r="40" spans="3:5" x14ac:dyDescent="0.2">
      <c r="C40" s="317" t="s">
        <v>254</v>
      </c>
      <c r="D40" s="319">
        <f>SUM(D32:D38)</f>
        <v>1883453360</v>
      </c>
      <c r="E40" s="319">
        <v>0</v>
      </c>
    </row>
    <row r="41" spans="3:5" x14ac:dyDescent="0.2">
      <c r="C41" s="317"/>
      <c r="D41" s="321"/>
      <c r="E41" s="321">
        <v>0</v>
      </c>
    </row>
    <row r="42" spans="3:5" x14ac:dyDescent="0.2">
      <c r="C42" s="317" t="s">
        <v>255</v>
      </c>
      <c r="D42" s="318"/>
      <c r="E42" s="318">
        <v>0</v>
      </c>
    </row>
    <row r="43" spans="3:5" x14ac:dyDescent="0.2">
      <c r="C43" s="317"/>
      <c r="D43" s="318"/>
      <c r="E43" s="318">
        <v>0</v>
      </c>
    </row>
    <row r="44" spans="3:5" x14ac:dyDescent="0.2">
      <c r="C44" s="320" t="s">
        <v>256</v>
      </c>
      <c r="D44" s="318">
        <f>+'Flujo de TP Calculo DIC'!B88</f>
        <v>419000000</v>
      </c>
      <c r="E44" s="318">
        <v>0</v>
      </c>
    </row>
    <row r="45" spans="3:5" x14ac:dyDescent="0.2">
      <c r="C45" s="320" t="s">
        <v>643</v>
      </c>
      <c r="D45" s="318">
        <f>+'Flujo de TP Calculo DIC'!B86</f>
        <v>-1978661444</v>
      </c>
      <c r="E45" s="318">
        <v>0</v>
      </c>
    </row>
    <row r="46" spans="3:5" x14ac:dyDescent="0.2">
      <c r="C46" s="320" t="s">
        <v>257</v>
      </c>
      <c r="D46" s="318">
        <v>0</v>
      </c>
      <c r="E46" s="318">
        <v>0</v>
      </c>
    </row>
    <row r="47" spans="3:5" ht="12.75" customHeight="1" x14ac:dyDescent="0.2">
      <c r="C47" s="320" t="s">
        <v>227</v>
      </c>
      <c r="D47" s="318">
        <v>0</v>
      </c>
      <c r="E47" s="318">
        <v>0</v>
      </c>
    </row>
    <row r="48" spans="3:5" ht="12.75" customHeight="1" x14ac:dyDescent="0.2">
      <c r="C48" s="320"/>
      <c r="D48" s="318"/>
      <c r="E48" s="318">
        <v>0</v>
      </c>
    </row>
    <row r="49" spans="3:6" ht="12.75" customHeight="1" x14ac:dyDescent="0.2">
      <c r="C49" s="317" t="s">
        <v>258</v>
      </c>
      <c r="D49" s="319">
        <f>SUM(D44:D48)</f>
        <v>-1559661444</v>
      </c>
      <c r="E49" s="319">
        <v>0</v>
      </c>
    </row>
    <row r="50" spans="3:6" x14ac:dyDescent="0.2">
      <c r="C50" s="320"/>
      <c r="D50" s="318"/>
      <c r="E50" s="318">
        <v>0</v>
      </c>
    </row>
    <row r="51" spans="3:6" x14ac:dyDescent="0.2">
      <c r="C51" s="317" t="s">
        <v>259</v>
      </c>
      <c r="D51" s="318"/>
      <c r="E51" s="318">
        <v>0</v>
      </c>
    </row>
    <row r="52" spans="3:6" x14ac:dyDescent="0.2">
      <c r="C52" s="317"/>
      <c r="D52" s="318"/>
      <c r="E52" s="318">
        <v>0</v>
      </c>
    </row>
    <row r="53" spans="3:6" ht="16.5" customHeight="1" x14ac:dyDescent="0.2">
      <c r="C53" s="320" t="s">
        <v>260</v>
      </c>
      <c r="D53" s="321">
        <f>+D24+D26+D40+D49</f>
        <v>96432066</v>
      </c>
      <c r="E53" s="321">
        <v>0</v>
      </c>
      <c r="F53" s="251"/>
    </row>
    <row r="54" spans="3:6" x14ac:dyDescent="0.2">
      <c r="C54" s="322" t="s">
        <v>261</v>
      </c>
      <c r="D54" s="323">
        <f>+'BALANCE GRAL 30_06_22'!E13</f>
        <v>112935599</v>
      </c>
      <c r="E54" s="323">
        <v>0</v>
      </c>
    </row>
    <row r="55" spans="3:6" ht="12.75" thickBot="1" x14ac:dyDescent="0.25">
      <c r="C55" s="324" t="s">
        <v>262</v>
      </c>
      <c r="D55" s="325">
        <f>D53+D54</f>
        <v>209367665</v>
      </c>
      <c r="E55" s="325">
        <v>0</v>
      </c>
    </row>
    <row r="56" spans="3:6" ht="12.75" thickTop="1" x14ac:dyDescent="0.2">
      <c r="D56" s="240"/>
    </row>
    <row r="57" spans="3:6" hidden="1" x14ac:dyDescent="0.2">
      <c r="D57" s="311">
        <f>+D55-'BALANCE GRAL 30_06_22'!D13</f>
        <v>-18260000</v>
      </c>
    </row>
    <row r="58" spans="3:6" x14ac:dyDescent="0.2">
      <c r="C58" s="688" t="s">
        <v>749</v>
      </c>
      <c r="D58" s="688"/>
      <c r="E58" s="688"/>
      <c r="F58" s="432"/>
    </row>
    <row r="59" spans="3:6" x14ac:dyDescent="0.2">
      <c r="D59" s="311">
        <f>+'BALANCE GRAL 30_06_22'!D13-D55</f>
        <v>18260000</v>
      </c>
    </row>
  </sheetData>
  <mergeCells count="7">
    <mergeCell ref="C58:E58"/>
    <mergeCell ref="C6:E6"/>
    <mergeCell ref="C1:E1"/>
    <mergeCell ref="C2:E2"/>
    <mergeCell ref="C3:E3"/>
    <mergeCell ref="C4:E4"/>
    <mergeCell ref="C5:E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rgb="FF002060"/>
  </sheetPr>
  <dimension ref="B1:M34"/>
  <sheetViews>
    <sheetView showGridLines="0" topLeftCell="C1" zoomScale="126" zoomScaleNormal="126" workbookViewId="0">
      <selection activeCell="E77" sqref="E77"/>
    </sheetView>
  </sheetViews>
  <sheetFormatPr baseColWidth="10" defaultColWidth="11.42578125" defaultRowHeight="12" x14ac:dyDescent="0.2"/>
  <cols>
    <col min="1" max="1" width="5.28515625" style="29" customWidth="1"/>
    <col min="2" max="2" width="40.28515625" style="29" customWidth="1"/>
    <col min="3" max="8" width="15.7109375" style="43" customWidth="1"/>
    <col min="9" max="10" width="15.7109375" style="29" customWidth="1"/>
    <col min="11" max="11" width="15" style="29" bestFit="1" customWidth="1"/>
    <col min="12" max="12" width="11.7109375" style="29" bestFit="1" customWidth="1"/>
    <col min="13" max="16384" width="11.42578125" style="29"/>
  </cols>
  <sheetData>
    <row r="1" spans="2:11" ht="55.15" customHeight="1" x14ac:dyDescent="0.2"/>
    <row r="3" spans="2:11" x14ac:dyDescent="0.2">
      <c r="B3" s="678" t="str">
        <f>+INDICE!B2</f>
        <v>TRADERS PRO CASA DE BOLSA S.A.</v>
      </c>
      <c r="C3" s="678"/>
      <c r="D3" s="678"/>
      <c r="E3" s="678"/>
      <c r="F3" s="678"/>
      <c r="G3" s="678"/>
      <c r="H3" s="678"/>
      <c r="I3" s="678"/>
      <c r="J3" s="678"/>
      <c r="K3" s="678"/>
    </row>
    <row r="4" spans="2:11" x14ac:dyDescent="0.2">
      <c r="B4" s="678" t="s">
        <v>263</v>
      </c>
      <c r="C4" s="678"/>
      <c r="D4" s="678"/>
      <c r="E4" s="678"/>
      <c r="F4" s="678"/>
      <c r="G4" s="678"/>
      <c r="H4" s="678"/>
      <c r="I4" s="678"/>
      <c r="J4" s="678"/>
      <c r="K4" s="678"/>
    </row>
    <row r="5" spans="2:11" x14ac:dyDescent="0.2">
      <c r="B5" s="678" t="s">
        <v>906</v>
      </c>
      <c r="C5" s="678"/>
      <c r="D5" s="678"/>
      <c r="E5" s="678"/>
      <c r="F5" s="678"/>
      <c r="G5" s="678"/>
      <c r="H5" s="678"/>
      <c r="I5" s="678"/>
      <c r="J5" s="678"/>
      <c r="K5" s="678"/>
    </row>
    <row r="6" spans="2:11" ht="15" customHeight="1" x14ac:dyDescent="0.2">
      <c r="B6" s="687" t="s">
        <v>57</v>
      </c>
      <c r="C6" s="687"/>
      <c r="D6" s="687"/>
      <c r="E6" s="687"/>
      <c r="F6" s="687"/>
      <c r="G6" s="687"/>
      <c r="H6" s="687"/>
      <c r="I6" s="687"/>
      <c r="J6" s="687"/>
      <c r="K6" s="687"/>
    </row>
    <row r="7" spans="2:11" ht="15" customHeight="1" thickBot="1" x14ac:dyDescent="0.25">
      <c r="B7" s="236"/>
      <c r="C7" s="236"/>
      <c r="D7" s="29"/>
      <c r="E7" s="29"/>
      <c r="F7" s="29"/>
      <c r="G7" s="29"/>
      <c r="H7" s="29"/>
    </row>
    <row r="8" spans="2:11" s="255" customFormat="1" ht="13.5" customHeight="1" thickBot="1" x14ac:dyDescent="0.25">
      <c r="B8" s="236"/>
      <c r="C8" s="691" t="s">
        <v>264</v>
      </c>
      <c r="D8" s="692"/>
      <c r="E8" s="691" t="s">
        <v>265</v>
      </c>
      <c r="F8" s="692"/>
      <c r="G8" s="693"/>
      <c r="H8" s="692" t="s">
        <v>266</v>
      </c>
      <c r="I8" s="694"/>
      <c r="J8" s="695" t="s">
        <v>267</v>
      </c>
      <c r="K8" s="693"/>
    </row>
    <row r="9" spans="2:11" s="255" customFormat="1" ht="36.75" thickBot="1" x14ac:dyDescent="0.25">
      <c r="B9" s="256" t="s">
        <v>268</v>
      </c>
      <c r="C9" s="257" t="s">
        <v>269</v>
      </c>
      <c r="D9" s="258" t="s">
        <v>270</v>
      </c>
      <c r="E9" s="259" t="s">
        <v>271</v>
      </c>
      <c r="F9" s="260" t="s">
        <v>484</v>
      </c>
      <c r="G9" s="258" t="s">
        <v>272</v>
      </c>
      <c r="H9" s="259" t="s">
        <v>273</v>
      </c>
      <c r="I9" s="261" t="s">
        <v>274</v>
      </c>
      <c r="J9" s="338" t="str">
        <f>+'ESTADOS DE RESULTADOS 30_06_22'!E8</f>
        <v>PERIODO ACTUAL 30/06/ 2022</v>
      </c>
      <c r="K9" s="339" t="str">
        <f>+'ESTADOS DE RESULTADOS 30_06_22'!F8</f>
        <v>PERIODO ANTERIOR 30/06/2021</v>
      </c>
    </row>
    <row r="10" spans="2:11" s="122" customFormat="1" x14ac:dyDescent="0.2">
      <c r="B10" s="262"/>
      <c r="C10" s="263"/>
      <c r="D10" s="264"/>
      <c r="E10" s="263"/>
      <c r="F10" s="265"/>
      <c r="G10" s="264"/>
      <c r="H10" s="263"/>
      <c r="I10" s="264"/>
      <c r="J10" s="263"/>
      <c r="K10" s="264"/>
    </row>
    <row r="11" spans="2:11" s="122" customFormat="1" ht="24" customHeight="1" x14ac:dyDescent="0.2">
      <c r="B11" s="262" t="s">
        <v>275</v>
      </c>
      <c r="C11" s="263">
        <f>+'BALANCE GRAL 30_06_22'!H62</f>
        <v>0</v>
      </c>
      <c r="D11" s="264">
        <f>+'BALANCE GRAL 30_06_22'!H61</f>
        <v>3386000000</v>
      </c>
      <c r="E11" s="263">
        <f>+'BALANCE GRAL 30_06_22'!H65</f>
        <v>0</v>
      </c>
      <c r="F11" s="265">
        <f>+'BALANCE GRAL 30_06_22'!H67</f>
        <v>0</v>
      </c>
      <c r="G11" s="264">
        <f>+'BALANCE GRAL 30_06_22'!H66</f>
        <v>0</v>
      </c>
      <c r="H11" s="266">
        <f>+'BALANCE GRAL 30_06_22'!H72</f>
        <v>0</v>
      </c>
      <c r="I11" s="264">
        <f>+'BALANCE GRAL 30_06_22'!H73</f>
        <v>-9529900.7300000004</v>
      </c>
      <c r="J11" s="267">
        <f>SUM(C11:I11)</f>
        <v>3376470099.27</v>
      </c>
      <c r="K11" s="268">
        <v>0</v>
      </c>
    </row>
    <row r="12" spans="2:11" s="122" customFormat="1" ht="24" customHeight="1" x14ac:dyDescent="0.2">
      <c r="B12" s="262"/>
      <c r="C12" s="263"/>
      <c r="D12" s="264"/>
      <c r="E12" s="263"/>
      <c r="F12" s="265"/>
      <c r="G12" s="264"/>
      <c r="H12" s="266"/>
      <c r="I12" s="264"/>
      <c r="J12" s="267">
        <f>SUM(C12:I12)</f>
        <v>0</v>
      </c>
      <c r="K12" s="268">
        <v>0</v>
      </c>
    </row>
    <row r="13" spans="2:11" s="122" customFormat="1" ht="24" customHeight="1" x14ac:dyDescent="0.2">
      <c r="B13" s="269" t="s">
        <v>276</v>
      </c>
      <c r="C13" s="263"/>
      <c r="D13" s="264"/>
      <c r="E13" s="263"/>
      <c r="F13" s="270"/>
      <c r="G13" s="271"/>
      <c r="H13" s="266"/>
      <c r="I13" s="264"/>
      <c r="J13" s="267">
        <f t="shared" ref="J13:J24" si="0">SUM(C13:I13)</f>
        <v>0</v>
      </c>
      <c r="K13" s="268">
        <v>0</v>
      </c>
    </row>
    <row r="14" spans="2:11" s="122" customFormat="1" ht="24" customHeight="1" x14ac:dyDescent="0.2">
      <c r="B14" s="262"/>
      <c r="C14" s="263"/>
      <c r="D14" s="264"/>
      <c r="E14" s="263"/>
      <c r="F14" s="270"/>
      <c r="G14" s="271"/>
      <c r="H14" s="266"/>
      <c r="I14" s="264"/>
      <c r="J14" s="267">
        <f t="shared" si="0"/>
        <v>0</v>
      </c>
      <c r="K14" s="268">
        <v>0</v>
      </c>
    </row>
    <row r="15" spans="2:11" s="122" customFormat="1" ht="24" customHeight="1" x14ac:dyDescent="0.2">
      <c r="B15" s="262" t="s">
        <v>277</v>
      </c>
      <c r="C15" s="263" t="s">
        <v>278</v>
      </c>
      <c r="D15" s="264" t="s">
        <v>278</v>
      </c>
      <c r="E15" s="266">
        <f>+E27-E11</f>
        <v>0</v>
      </c>
      <c r="F15" s="270">
        <v>0</v>
      </c>
      <c r="G15" s="271" t="s">
        <v>278</v>
      </c>
      <c r="H15" s="266" t="s">
        <v>278</v>
      </c>
      <c r="I15" s="264" t="s">
        <v>278</v>
      </c>
      <c r="J15" s="267">
        <f t="shared" si="0"/>
        <v>0</v>
      </c>
      <c r="K15" s="268">
        <v>0</v>
      </c>
    </row>
    <row r="16" spans="2:11" s="122" customFormat="1" ht="24" customHeight="1" x14ac:dyDescent="0.2">
      <c r="B16" s="262"/>
      <c r="C16" s="263"/>
      <c r="D16" s="264"/>
      <c r="E16" s="266"/>
      <c r="F16" s="270"/>
      <c r="G16" s="271"/>
      <c r="H16" s="266"/>
      <c r="I16" s="264"/>
      <c r="J16" s="267">
        <f t="shared" si="0"/>
        <v>0</v>
      </c>
      <c r="K16" s="268">
        <v>0</v>
      </c>
    </row>
    <row r="17" spans="2:13" s="122" customFormat="1" ht="24" customHeight="1" x14ac:dyDescent="0.2">
      <c r="B17" s="262" t="s">
        <v>279</v>
      </c>
      <c r="C17" s="263" t="s">
        <v>278</v>
      </c>
      <c r="D17" s="264" t="s">
        <v>278</v>
      </c>
      <c r="E17" s="266" t="s">
        <v>278</v>
      </c>
      <c r="F17" s="272">
        <v>0</v>
      </c>
      <c r="G17" s="271">
        <f>+G27-G11-G25</f>
        <v>0</v>
      </c>
      <c r="H17" s="266" t="s">
        <v>278</v>
      </c>
      <c r="I17" s="264" t="s">
        <v>278</v>
      </c>
      <c r="J17" s="267">
        <f t="shared" si="0"/>
        <v>0</v>
      </c>
      <c r="K17" s="268">
        <v>0</v>
      </c>
    </row>
    <row r="18" spans="2:13" s="122" customFormat="1" ht="24" customHeight="1" x14ac:dyDescent="0.2">
      <c r="B18" s="262"/>
      <c r="C18" s="263"/>
      <c r="D18" s="264"/>
      <c r="E18" s="266"/>
      <c r="F18" s="270"/>
      <c r="G18" s="271"/>
      <c r="H18" s="266"/>
      <c r="I18" s="264"/>
      <c r="J18" s="267">
        <f t="shared" si="0"/>
        <v>0</v>
      </c>
      <c r="K18" s="268">
        <v>0</v>
      </c>
    </row>
    <row r="19" spans="2:13" s="122" customFormat="1" ht="24" customHeight="1" x14ac:dyDescent="0.2">
      <c r="B19" s="262" t="s">
        <v>144</v>
      </c>
      <c r="C19" s="263" t="s">
        <v>278</v>
      </c>
      <c r="D19" s="264" t="s">
        <v>278</v>
      </c>
      <c r="E19" s="266" t="s">
        <v>278</v>
      </c>
      <c r="F19" s="272" t="s">
        <v>278</v>
      </c>
      <c r="G19" s="271" t="s">
        <v>278</v>
      </c>
      <c r="H19" s="266" t="s">
        <v>278</v>
      </c>
      <c r="I19" s="264" t="s">
        <v>278</v>
      </c>
      <c r="J19" s="267">
        <f t="shared" si="0"/>
        <v>0</v>
      </c>
      <c r="K19" s="268">
        <v>0</v>
      </c>
    </row>
    <row r="20" spans="2:13" s="122" customFormat="1" ht="24" customHeight="1" x14ac:dyDescent="0.2">
      <c r="B20" s="262"/>
      <c r="C20" s="263"/>
      <c r="D20" s="264"/>
      <c r="E20" s="266"/>
      <c r="F20" s="272"/>
      <c r="G20" s="271"/>
      <c r="H20" s="266"/>
      <c r="I20" s="264"/>
      <c r="J20" s="267">
        <f t="shared" si="0"/>
        <v>0</v>
      </c>
      <c r="K20" s="268">
        <v>0</v>
      </c>
    </row>
    <row r="21" spans="2:13" s="122" customFormat="1" ht="24" customHeight="1" x14ac:dyDescent="0.2">
      <c r="B21" s="262" t="s">
        <v>280</v>
      </c>
      <c r="C21" s="263">
        <v>0</v>
      </c>
      <c r="E21" s="266">
        <v>0</v>
      </c>
      <c r="F21" s="272" t="s">
        <v>278</v>
      </c>
      <c r="G21" s="271" t="s">
        <v>278</v>
      </c>
      <c r="H21" s="266" t="s">
        <v>278</v>
      </c>
      <c r="I21" s="264" t="s">
        <v>278</v>
      </c>
      <c r="J21" s="267">
        <f t="shared" si="0"/>
        <v>0</v>
      </c>
      <c r="K21" s="268">
        <v>0</v>
      </c>
    </row>
    <row r="22" spans="2:13" s="122" customFormat="1" ht="24" customHeight="1" x14ac:dyDescent="0.2">
      <c r="B22" s="262"/>
      <c r="C22" s="263"/>
      <c r="D22" s="264"/>
      <c r="E22" s="266"/>
      <c r="F22" s="272"/>
      <c r="G22" s="271"/>
      <c r="H22" s="266"/>
      <c r="I22" s="264"/>
      <c r="J22" s="267">
        <f t="shared" si="0"/>
        <v>0</v>
      </c>
      <c r="K22" s="268">
        <v>0</v>
      </c>
    </row>
    <row r="23" spans="2:13" s="122" customFormat="1" ht="24" customHeight="1" x14ac:dyDescent="0.2">
      <c r="B23" s="262" t="s">
        <v>281</v>
      </c>
      <c r="C23" s="263" t="s">
        <v>278</v>
      </c>
      <c r="D23" s="264">
        <v>0</v>
      </c>
      <c r="E23" s="266" t="s">
        <v>278</v>
      </c>
      <c r="F23" s="272" t="s">
        <v>278</v>
      </c>
      <c r="G23" s="271" t="s">
        <v>278</v>
      </c>
      <c r="H23" s="266" t="s">
        <v>278</v>
      </c>
      <c r="I23" s="264">
        <v>0</v>
      </c>
      <c r="J23" s="267">
        <f t="shared" si="0"/>
        <v>0</v>
      </c>
      <c r="K23" s="264">
        <v>0</v>
      </c>
    </row>
    <row r="24" spans="2:13" s="122" customFormat="1" ht="24" customHeight="1" x14ac:dyDescent="0.2">
      <c r="B24" s="262"/>
      <c r="C24" s="263"/>
      <c r="D24" s="264"/>
      <c r="E24" s="266"/>
      <c r="F24" s="270"/>
      <c r="G24" s="271"/>
      <c r="H24" s="266"/>
      <c r="I24" s="264"/>
      <c r="J24" s="267">
        <f t="shared" si="0"/>
        <v>0</v>
      </c>
      <c r="K24" s="268">
        <v>0</v>
      </c>
    </row>
    <row r="25" spans="2:13" s="122" customFormat="1" ht="24" customHeight="1" x14ac:dyDescent="0.2">
      <c r="B25" s="262" t="s">
        <v>282</v>
      </c>
      <c r="C25" s="263">
        <v>0</v>
      </c>
      <c r="D25" s="264">
        <f>+D27-D11</f>
        <v>419000000</v>
      </c>
      <c r="E25" s="266">
        <v>0</v>
      </c>
      <c r="F25" s="272">
        <f>-F28</f>
        <v>0</v>
      </c>
      <c r="G25" s="271">
        <f>+G27-G11</f>
        <v>0</v>
      </c>
      <c r="H25" s="266">
        <f>-I25</f>
        <v>9529900.7300000004</v>
      </c>
      <c r="I25" s="264">
        <f>+I11</f>
        <v>-9529900.7300000004</v>
      </c>
      <c r="J25" s="267">
        <f>SUM(C25:I25)</f>
        <v>419000000</v>
      </c>
      <c r="K25" s="268">
        <v>0</v>
      </c>
    </row>
    <row r="26" spans="2:13" s="122" customFormat="1" ht="24" customHeight="1" thickBot="1" x14ac:dyDescent="0.25">
      <c r="B26" s="262" t="s">
        <v>146</v>
      </c>
      <c r="C26" s="273" t="s">
        <v>278</v>
      </c>
      <c r="D26" s="274" t="s">
        <v>278</v>
      </c>
      <c r="E26" s="273" t="s">
        <v>278</v>
      </c>
      <c r="F26" s="275">
        <f>+F27</f>
        <v>0</v>
      </c>
      <c r="G26" s="274" t="s">
        <v>278</v>
      </c>
      <c r="H26" s="276"/>
      <c r="I26" s="274">
        <f>+I27</f>
        <v>12385250.720000001</v>
      </c>
      <c r="J26" s="267">
        <f>SUM(C26:I26)</f>
        <v>12385250.720000001</v>
      </c>
      <c r="K26" s="277">
        <v>0</v>
      </c>
    </row>
    <row r="27" spans="2:13" s="122" customFormat="1" ht="24" customHeight="1" thickBot="1" x14ac:dyDescent="0.25">
      <c r="B27" s="278" t="s">
        <v>712</v>
      </c>
      <c r="C27" s="279">
        <f>+'BALANCE GRAL 30_06_22'!G62</f>
        <v>0</v>
      </c>
      <c r="D27" s="280">
        <f>+'BALANCE GRAL 30_06_22'!G61</f>
        <v>3805000000</v>
      </c>
      <c r="E27" s="281">
        <f>+'BALANCE GRAL 30_06_22'!G65</f>
        <v>0</v>
      </c>
      <c r="F27" s="280">
        <f>+'BALANCE GRAL 30_06_22'!G67</f>
        <v>0</v>
      </c>
      <c r="G27" s="282">
        <f>+'BALANCE GRAL 30_06_22'!G66</f>
        <v>0</v>
      </c>
      <c r="H27" s="279">
        <f>+'BALANCE GRAL 30_06_22'!G72</f>
        <v>-9529901</v>
      </c>
      <c r="I27" s="280">
        <f>+'BALANCE GRAL 30_06_22'!G73</f>
        <v>12385250.720000001</v>
      </c>
      <c r="J27" s="283">
        <f>SUM(C27:I27)</f>
        <v>3807855349.7199998</v>
      </c>
      <c r="K27" s="284">
        <v>0</v>
      </c>
      <c r="L27" s="148"/>
      <c r="M27" s="148"/>
    </row>
    <row r="28" spans="2:13" s="122" customFormat="1" ht="24" customHeight="1" thickBot="1" x14ac:dyDescent="0.25">
      <c r="B28" s="285" t="s">
        <v>908</v>
      </c>
      <c r="C28" s="286">
        <v>0</v>
      </c>
      <c r="D28" s="286">
        <v>0</v>
      </c>
      <c r="E28" s="286">
        <v>0</v>
      </c>
      <c r="F28" s="286">
        <v>0</v>
      </c>
      <c r="G28" s="286">
        <v>0</v>
      </c>
      <c r="H28" s="286">
        <v>0</v>
      </c>
      <c r="I28" s="286">
        <v>0</v>
      </c>
      <c r="J28" s="287">
        <v>0</v>
      </c>
      <c r="K28" s="288">
        <v>0</v>
      </c>
    </row>
    <row r="30" spans="2:13" hidden="1" x14ac:dyDescent="0.2">
      <c r="D30" s="43">
        <f>SUM(D11:D26)</f>
        <v>3805000000</v>
      </c>
      <c r="E30" s="43">
        <f t="shared" ref="E30:J30" si="1">SUM(E11:E26)</f>
        <v>0</v>
      </c>
      <c r="F30" s="43">
        <f t="shared" si="1"/>
        <v>0</v>
      </c>
      <c r="G30" s="43">
        <f t="shared" si="1"/>
        <v>0</v>
      </c>
      <c r="H30" s="43">
        <f t="shared" si="1"/>
        <v>9529900.7300000004</v>
      </c>
      <c r="I30" s="43">
        <f t="shared" si="1"/>
        <v>-6674550.7400000002</v>
      </c>
      <c r="J30" s="43">
        <f t="shared" si="1"/>
        <v>3807855349.9899998</v>
      </c>
      <c r="K30" s="59">
        <f>+J27-'BALANCE GRAL 30_06_22'!G75</f>
        <v>0</v>
      </c>
    </row>
    <row r="31" spans="2:13" hidden="1" x14ac:dyDescent="0.2"/>
    <row r="32" spans="2:13" hidden="1" x14ac:dyDescent="0.2">
      <c r="C32" s="59">
        <f t="shared" ref="C32:I32" si="2">+C30-C27</f>
        <v>0</v>
      </c>
      <c r="D32" s="59">
        <f t="shared" si="2"/>
        <v>0</v>
      </c>
      <c r="E32" s="59">
        <f t="shared" si="2"/>
        <v>0</v>
      </c>
      <c r="F32" s="59">
        <f t="shared" si="2"/>
        <v>0</v>
      </c>
      <c r="G32" s="59">
        <f t="shared" si="2"/>
        <v>0</v>
      </c>
      <c r="H32" s="59">
        <f t="shared" si="2"/>
        <v>19059801.73</v>
      </c>
      <c r="I32" s="59">
        <f t="shared" si="2"/>
        <v>-19059801.460000001</v>
      </c>
      <c r="J32" s="59">
        <f>+J30-J27</f>
        <v>0.26999998092651367</v>
      </c>
    </row>
    <row r="33" spans="2:11" x14ac:dyDescent="0.2">
      <c r="J33" s="59">
        <f>+J27-'BALANCE GRAL 30_06_22'!G75</f>
        <v>0</v>
      </c>
    </row>
    <row r="34" spans="2:11" x14ac:dyDescent="0.2">
      <c r="B34" s="688" t="s">
        <v>749</v>
      </c>
      <c r="C34" s="688"/>
      <c r="D34" s="688"/>
      <c r="E34" s="688"/>
      <c r="F34" s="688"/>
      <c r="G34" s="688"/>
      <c r="H34" s="688"/>
      <c r="I34" s="688"/>
      <c r="J34" s="688"/>
      <c r="K34" s="688"/>
    </row>
  </sheetData>
  <mergeCells count="9">
    <mergeCell ref="B34:K34"/>
    <mergeCell ref="B3:K3"/>
    <mergeCell ref="C8:D8"/>
    <mergeCell ref="E8:G8"/>
    <mergeCell ref="H8:I8"/>
    <mergeCell ref="J8:K8"/>
    <mergeCell ref="B4:K4"/>
    <mergeCell ref="B5:K5"/>
    <mergeCell ref="B6:K6"/>
  </mergeCells>
  <pageMargins left="0.7" right="0.7" top="0.75" bottom="0.75" header="0.3" footer="0.3"/>
  <pageSetup paperSize="9" orientation="portrait" r:id="rId1"/>
  <drawing r:id="rId2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1.xml"/><Relationship Id="rId1" Type="http://schemas.openxmlformats.org/package/2006/relationships/digital-signature/signature" Target="sig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UhRW4Lo7QCgfJN3p1aCPKpw5rXSoVtR6TkNRPRlyN94=</DigestValue>
    </Reference>
    <Reference Type="http://www.w3.org/2000/09/xmldsig#Object" URI="#idOfficeObject">
      <DigestMethod Algorithm="http://www.w3.org/2001/04/xmlenc#sha256"/>
      <DigestValue>hyNrk5ANc8hWM4yFG590P0bMI4IfEzfP4G9nzLZp/tc=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S0eJLhxkjs7jg5sQ/5K3d7BPs1tTcdMnb/fsyu/hCwk=</DigestValue>
    </Reference>
    <Reference Type="http://www.w3.org/2000/09/xmldsig#Object" URI="#idValidSigLnImg">
      <DigestMethod Algorithm="http://www.w3.org/2001/04/xmlenc#sha256"/>
      <DigestValue>CtQvd8skddycEMiAh8B3ZNvYlAGHxuQmW3mlrr1SIdE=</DigestValue>
    </Reference>
    <Reference Type="http://www.w3.org/2000/09/xmldsig#Object" URI="#idInvalidSigLnImg">
      <DigestMethod Algorithm="http://www.w3.org/2001/04/xmlenc#sha256"/>
      <DigestValue>5YJejtghOaL8Qc0ZQbb6OdOf1iV88mkvaJkDEh73CfY=</DigestValue>
    </Reference>
  </SignedInfo>
  <SignatureValue>b2chwMgrGDSXQV9Ixe0pqvZ7pT+3aPDGquUATdJhXBmTdaE87UiOfUNYM+EcQzOQmKVHII0eHkLq
08vt96xHtaK8u7/TKG0CIROy/rv7NZ+eXLlUWrdEzbt58tRc/SjFzGWHEz3EGE5Iho6Ikmz/SdBp
6WAx2mYQuoYerUlryZZ8h3VFghlkQjfLqUNXRRJ1u6HIFQ1VQmT2U1aDLFihLBq306mnzSKqfOtP
d51vAI5zrN3RFjkzrjiwZ5aRlhGcGe2W2wtbeTEMdZ+zYcMy7tUE/oCmSVXw9scbTZRZEppLJk13
HWJgecS9rzu4oHKqCCFFqTO93oYtbfdDSgrc0Q==</SignatureValue>
  <KeyInfo>
    <X509Data>
      <X509Certificate>MIIHzTCCBbWgAwIBAgIQZBfNphHODklg7eWVVqciuDANBgkqhkiG9w0BAQsFADBPMRcwFQYDVQQFEw5SVUMgODAwODAwOTktMDELMAkGA1UEBhMCUFkxETAPBgNVBAoMCFZJVCBTLkEuMRQwEgYDVQQDEwtDQS1WSVQgUy5BLjAeFw0yMTA3MTMxOTEyMjFaFw0yMzA3MTMxOTEyMjFaMIGlMRcwFQYDVQQqDA5ESUVHTyBCRU5KQU1JTjEWMBQGA1UEBAwNQkFSQk9aQSBDTEFSSTESMBAGA1UEBRMJQ0kyMzcwMTg1MSUwIwYDVQQDDBxESUVHTyBCRU5KQU1JTiBCQVJCT1pBIENMQVJJMREwDwYDVQQLDAhGSVJNQSBGMjEXMBUGA1UECgwOUEVSU09OQSBGSVNJQ0ExCzAJBgNVBAYTAlBZMIIBIjANBgkqhkiG9w0BAQEFAAOCAQ8AMIIBCgKCAQEAkan/6hB4fcDPZQMxScP+0zHhVeQrOfzwTlwF5eOtJF10EgK4ZQf/j/jjzJJZPLAGrADCuluzi0fcd6gh8VvOeS7McbbNj2rJskVZEh2sofcjXvvBDRTzgSzM9DG9/e5xAll4QEm02R4E6A+OIYPYWENCCTNXmJ2cMyJApx5jKTi8cHzH4Q1PKv/thFZKiGb6SWljtB9U5ALKG2TgIyeILPtlvDkZBj/diz0IE2rWWcUQhmyGq/4A5Fst81DLe9eeMfuAFR/JlmtEeTrk3wwfPiV3v4nLNlgDkKMh1Mz1EgKpxX3M7hzHxbFEB6Ib+wnRtC+f0wICgxz6Xzd1j/RxowIDAQABo4IDTDCCA0gwDAYDVR0TAQH/BAIwADAOBgNVHQ8BAf8EBAMCBeAwLAYDVR0lAQH/BCIwIAYIKwYBBQUHAwQGCCsGAQUFBwMCBgorBgEEAYI3FAICMB0GA1UdDgQWBBQRMKirm/8kE2pgzrSpUdv7oVPfSz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IGA1UdEQQbMBmBF0RJRUdPQkVOSkFNSU5AR01BSUw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H50/6RIvqA2w+hYQg8pCkBQHfmGNog65iXkj+Nxo2W9shP40V4j31rAGFEqUjU/XjfVNSCOkn+bYIbulRws2Bhv+LrzFoyJSCtBRK0pJHjU5oCaylM9slZr9uxIyfo2/JjCcROYJO3GNjrBk5Q5hfMu6bISvfpqH6PxpirtMhViffcHsERE+qRuMn7Flm9LF4eLUBMgS+JLjgeZBEUt0RQu0Rrz5qDVVQoWWs+c3hjvimHSW4uPHJhktAietpYM6lL4yK5Kmu+guwpUGkGKR7acPIqgo9A9iANzGHoiXIzkbgAXlAa8IgS2nX5spwNb6jypz35HmWjo3Zc33AvDtp9ItSbK6bsu5ySiN3yyskz+hri0ozIA4tJTH4CXXcqw4eIaeaXg0e7b4iT8jVaE1hDKsSSAJGzsj4fxZ+X13eqJDWNPADHNRo7fS6k3hP/3PE5YmK+rvdLR7gxbjhyfWoJmWY35HVAvvOPNtazkYZzshIOqZckDg6bRZlbvZjDPlNBzTfCAT7qrELo5Dkir7Xfx50uOZWI120roLnYPf4fWBhHZzd/9cvI2eH5pwFvd63AyHAxAaj5XPO0hXTNjKkZ0eWYW85UrgZHd6+S84tmSLoi6Q36KYIHFKfpxDyqMkmxMATTlBB6exW/AOjOv7bXj2Z7Vw2a3TbZ2YS1Nxp3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41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</Transform>
          <Transform Algorithm="http://www.w3.org/TR/2001/REC-xml-c14n-20010315"/>
        </Transforms>
        <DigestMethod Algorithm="http://www.w3.org/2001/04/xmlenc#sha256"/>
        <DigestValue>+e0IRe98gH234JTNkR7vvuDEpzHqQnLF+dXoFFrla4k=</DigestValue>
      </Reference>
      <Reference URI="/xl/calcChain.xml?ContentType=application/vnd.openxmlformats-officedocument.spreadsheetml.calcChain+xml">
        <DigestMethod Algorithm="http://www.w3.org/2001/04/xmlenc#sha256"/>
        <DigestValue>YpsIW7B52fvwCOJNHvUO+mE4XpKiRuLiWECwmnb2w8g=</DigestValue>
      </Reference>
      <Reference URI="/xl/comments1.xml?ContentType=application/vnd.openxmlformats-officedocument.spreadsheetml.comments+xml">
        <DigestMethod Algorithm="http://www.w3.org/2001/04/xmlenc#sha256"/>
        <DigestValue>/m8LDlOD6Do6hGBFDaxGdSfLcYshCG2DFqaJ7cMUeuQ=</DigestValue>
      </Reference>
      <Reference URI="/xl/comments2.xml?ContentType=application/vnd.openxmlformats-officedocument.spreadsheetml.comments+xml">
        <DigestMethod Algorithm="http://www.w3.org/2001/04/xmlenc#sha256"/>
        <DigestValue>yaHUjLZEbj0X5/ay1w6As4eX5dbZXZlTB3BgN/S64q0=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J2BAgzEtgHZvJLT6Z8wBZSKIOSgDyh8bTQWrBE/grlI=</DigestValue>
      </Reference>
      <Reference URI="/xl/drawings/drawing1.xml?ContentType=application/vnd.openxmlformats-officedocument.drawing+xml">
        <DigestMethod Algorithm="http://www.w3.org/2001/04/xmlenc#sha256"/>
        <DigestValue>RkKSKi4S4PG9wwHMAfHZv/Nopxcl8XnzD049Fe1kC9Y=</DigestValue>
      </Reference>
      <Reference URI="/xl/drawings/drawing2.xml?ContentType=application/vnd.openxmlformats-officedocument.drawing+xml">
        <DigestMethod Algorithm="http://www.w3.org/2001/04/xmlenc#sha256"/>
        <DigestValue>RZY1v0U1FgN9AzPxFYMKubY8Fjjcm/gFj3um1CzQrNE=</DigestValue>
      </Reference>
      <Reference URI="/xl/drawings/drawing3.xml?ContentType=application/vnd.openxmlformats-officedocument.drawing+xml">
        <DigestMethod Algorithm="http://www.w3.org/2001/04/xmlenc#sha256"/>
        <DigestValue>gn2FGm2GCFnUXykrEQCWpZu5tBZ1/uwNMcfhoA7rKIw=</DigestValue>
      </Reference>
      <Reference URI="/xl/drawings/drawing4.xml?ContentType=application/vnd.openxmlformats-officedocument.drawing+xml">
        <DigestMethod Algorithm="http://www.w3.org/2001/04/xmlenc#sha256"/>
        <DigestValue>G5wo06wszXv9M8bEaB8lJMkp61VUOm5/AXHqFiH8hj0=</DigestValue>
      </Reference>
      <Reference URI="/xl/drawings/drawing5.xml?ContentType=application/vnd.openxmlformats-officedocument.drawing+xml">
        <DigestMethod Algorithm="http://www.w3.org/2001/04/xmlenc#sha256"/>
        <DigestValue>dzRISMGn5S1DaaDSby7/dv/RRiEMLYMMaU/Hy9tsT8A=</DigestValue>
      </Reference>
      <Reference URI="/xl/drawings/drawing6.xml?ContentType=application/vnd.openxmlformats-officedocument.drawing+xml">
        <DigestMethod Algorithm="http://www.w3.org/2001/04/xmlenc#sha256"/>
        <DigestValue>0pAdXJ/H5DAoe41woJvFnwYXBpjLqtxrGPjWWgbBIyw=</DigestValue>
      </Reference>
      <Reference URI="/xl/drawings/drawing7.xml?ContentType=application/vnd.openxmlformats-officedocument.drawing+xml">
        <DigestMethod Algorithm="http://www.w3.org/2001/04/xmlenc#sha256"/>
        <DigestValue>tpxwfJC9jnVdSplu51hIUvo6VMBrb9t6n0kbnKcQ/gw=</DigestValue>
      </Reference>
      <Reference URI="/xl/drawings/drawing8.xml?ContentType=application/vnd.openxmlformats-officedocument.drawing+xml">
        <DigestMethod Algorithm="http://www.w3.org/2001/04/xmlenc#sha256"/>
        <DigestValue>w6QYIl9KxDr0E5uYDk2CdE1u++WMF1pTFMTAjxHN0+4=</DigestValue>
      </Reference>
      <Reference URI="/xl/drawings/drawing9.xml?ContentType=application/vnd.openxmlformats-officedocument.drawing+xml">
        <DigestMethod Algorithm="http://www.w3.org/2001/04/xmlenc#sha256"/>
        <DigestValue>j/MKTC7TeAmCOLfQXcYw5vMJ2Es8ovPriZibiJCygEA=</DigestValue>
      </Reference>
      <Reference URI="/xl/drawings/vmlDrawing1.vml?ContentType=application/vnd.openxmlformats-officedocument.vmlDrawing">
        <DigestMethod Algorithm="http://www.w3.org/2001/04/xmlenc#sha256"/>
        <DigestValue>2n35JMkm3A/74CnpAfxqLPVesMquFT3sLg4FdlcOSAs=</DigestValue>
      </Reference>
      <Reference URI="/xl/drawings/vmlDrawing2.vml?ContentType=application/vnd.openxmlformats-officedocument.vmlDrawing">
        <DigestMethod Algorithm="http://www.w3.org/2001/04/xmlenc#sha256"/>
        <DigestValue>O6XZKiY8qnGu6JXjtCaer3LwzV1TqSloY7Z1tKisYFE=</DigestValue>
      </Reference>
      <Reference URI="/xl/drawings/vmlDrawing3.vml?ContentType=application/vnd.openxmlformats-officedocument.vmlDrawing">
        <DigestMethod Algorithm="http://www.w3.org/2001/04/xmlenc#sha256"/>
        <DigestValue>zB5xp8FD9tKTTGUE57f9mdeieJHYndXppjsI+SnkCqc=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Jy7ocQrK2tsB6LqRMLsg0VXGQF2YE9MwzIU03LUiLvc=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+Ghp6ayukeoiiJxAmsXv6Lu5mWyFxLbo+iKSOYlsS28=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lQ82QnWwbz4cwqWmA0PvUVUEvxx4zrtn0uT8oTImCQY=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QCUd4S2AR5kBEdM2lM/qKg2NIYxhQ+ilG7IzUn+1xxs=</DigestValue>
      </Reference>
      <Reference URI="/xl/externalLinks/_rels/externalLink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UwScaaVvJJr8sVMKke2dTwYL0T0jaSMJuw7X9zicf0M=</DigestValue>
      </Reference>
      <Reference URI="/xl/externalLinks/_rels/externalLink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+sve5e634ul32tVzbk+xVE5TrTRFSvIjrGUYNEd4uAc=</DigestValue>
      </Reference>
      <Reference URI="/xl/externalLinks/_rels/externalLink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KPvaf7CfFw9mOuwWSoBv6EJksvUsMaXwFB/cerx1YSM=</DigestValue>
      </Reference>
      <Reference URI="/xl/externalLinks/_rels/externalLink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b9ar1wqLsDZWYaE90P/sqBwUqGrZDBb2VhANFyqCNN4=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5.xml?ContentType=application/vnd.openxmlformats-officedocument.spreadsheetml.externalLink+xml">
        <DigestMethod Algorithm="http://www.w3.org/2001/04/xmlenc#sha256"/>
        <DigestValue>X86UJCBrlTsQcCsV64tuAnPOX4RQM/PJibK1gJg9PO0=</DigestValue>
      </Reference>
      <Reference URI="/xl/externalLinks/externalLink6.xml?ContentType=application/vnd.openxmlformats-officedocument.spreadsheetml.externalLink+xml">
        <DigestMethod Algorithm="http://www.w3.org/2001/04/xmlenc#sha256"/>
        <DigestValue>OaIQ9gajCN3Zrp3czmOJP1G+LFOczti5bMgF/No3Fxs=</DigestValue>
      </Reference>
      <Reference URI="/xl/externalLinks/externalLink7.xml?ContentType=application/vnd.openxmlformats-officedocument.spreadsheetml.externalLink+xml">
        <DigestMethod Algorithm="http://www.w3.org/2001/04/xmlenc#sha256"/>
        <DigestValue>ClXLdInWniPsDsgs1MVBFziSacQxWzFFepQV8aVDhK8=</DigestValue>
      </Reference>
      <Reference URI="/xl/externalLinks/externalLink8.xml?ContentType=application/vnd.openxmlformats-officedocument.spreadsheetml.externalLink+xml">
        <DigestMethod Algorithm="http://www.w3.org/2001/04/xmlenc#sha256"/>
        <DigestValue>kdMk8sKGiEf3wa337mkzmxvjdEe5U58AtaX/gaGrowI=</DigestValue>
      </Reference>
      <Reference URI="/xl/media/image1.png?ContentType=image/png">
        <DigestMethod Algorithm="http://www.w3.org/2001/04/xmlenc#sha256"/>
        <DigestValue>z002VpVS4JA1It5qSY0cdLXFVqCI4pMstUrsEAa3hT8=</DigestValue>
      </Reference>
      <Reference URI="/xl/media/image2.png?ContentType=image/png">
        <DigestMethod Algorithm="http://www.w3.org/2001/04/xmlenc#sha256"/>
        <DigestValue>TlzBI7e/Ism4kh/8vbQKWFG+u2P2KUExVHsgm6INjj4=</DigestValue>
      </Reference>
      <Reference URI="/xl/media/image3.emf?ContentType=image/x-emf">
        <DigestMethod Algorithm="http://www.w3.org/2001/04/xmlenc#sha256"/>
        <DigestValue>ugLGC9MtxzbATN9LF88VF2sAe18uIC7WvwEGFSSG0hU=</DigestValue>
      </Reference>
      <Reference URI="/xl/media/image4.emf?ContentType=image/x-emf">
        <DigestMethod Algorithm="http://www.w3.org/2001/04/xmlenc#sha256"/>
        <DigestValue>FpuMRMJr31r60IomOwwjIudwJSD7X5ITpUDNtAlXN7Q=</DigestValue>
      </Reference>
      <Reference URI="/xl/media/image5.emf?ContentType=image/x-emf">
        <DigestMethod Algorithm="http://www.w3.org/2001/04/xmlenc#sha256"/>
        <DigestValue>tBfPXcFFrYFIGIkxELHq2NWjrLnwFS2ZH1kZjUq/H2I=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aZDlRffyX5XDzwv2q7PWA0PmoD+iEKKpnI00kl3rUd4=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us64TnVnxW6S3JGyKSPYkF8hRrmqXxu3UhET7UNI3oY=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3auKKYy+1zVh2/o2zFXt0gBsKnXg8b+IwT1iM49e1ek=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eA/Fwsrhp9JJub8a3MIghHzaSlbH+/seBzvdXSGZYco=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7yc4Widd96LfqGpm3vG07LXMLKV2NEBlR0BCf+FHTDM=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sharedStrings.xml?ContentType=application/vnd.openxmlformats-officedocument.spreadsheetml.sharedStrings+xml">
        <DigestMethod Algorithm="http://www.w3.org/2001/04/xmlenc#sha256"/>
        <DigestValue>GE0+es+56w39BUkS6Ld5twCysHza/7V/oKWFYlyxTKU=</DigestValue>
      </Reference>
      <Reference URI="/xl/styles.xml?ContentType=application/vnd.openxmlformats-officedocument.spreadsheetml.styles+xml">
        <DigestMethod Algorithm="http://www.w3.org/2001/04/xmlenc#sha256"/>
        <DigestValue>/ZyH/59lXoKp/Iggx1mhcV9DuUlB6Nhz0kI0zWWnzj8=</DigestValue>
      </Reference>
      <Reference URI="/xl/tables/table1.xml?ContentType=application/vnd.openxmlformats-officedocument.spreadsheetml.table+xml">
        <DigestMethod Algorithm="http://www.w3.org/2001/04/xmlenc#sha256"/>
        <DigestValue>QGGFUJTUSTbce6kkco4jCA6qbgbE/z+SeFRt/paoLM0=</DigestValue>
      </Reference>
      <Reference URI="/xl/tables/table2.xml?ContentType=application/vnd.openxmlformats-officedocument.spreadsheetml.table+xml">
        <DigestMethod Algorithm="http://www.w3.org/2001/04/xmlenc#sha256"/>
        <DigestValue>qpFhfOA0incUKRZfq2j34RRkkIJOiaoBifMgr57PiIk=</DigestValue>
      </Reference>
      <Reference URI="/xl/tables/table3.xml?ContentType=application/vnd.openxmlformats-officedocument.spreadsheetml.table+xml">
        <DigestMethod Algorithm="http://www.w3.org/2001/04/xmlenc#sha256"/>
        <DigestValue>pZcSaxszAx+MwscRO7aV5pay4W7QfTuxogECLbLjCR0=</DigestValue>
      </Reference>
      <Reference URI="/xl/tables/table4.xml?ContentType=application/vnd.openxmlformats-officedocument.spreadsheetml.table+xml">
        <DigestMethod Algorithm="http://www.w3.org/2001/04/xmlenc#sha256"/>
        <DigestValue>Xr7VCPTEWd2X4SZuNd63bznfkB8NsCIPbSbs89y0qRo=</DigestValue>
      </Reference>
      <Reference URI="/xl/theme/theme1.xml?ContentType=application/vnd.openxmlformats-officedocument.theme+xml">
        <DigestMethod Algorithm="http://www.w3.org/2001/04/xmlenc#sha256"/>
        <DigestValue>HpkhkEH/NfxYYunqn8gDSSXwsogmnmNBn70U95mIPRU=</DigestValue>
      </Reference>
      <Reference URI="/xl/workbook.xml?ContentType=application/vnd.openxmlformats-officedocument.spreadsheetml.sheet.main+xml">
        <DigestMethod Algorithm="http://www.w3.org/2001/04/xmlenc#sha256"/>
        <DigestValue>OC8YkSAI0JSPFRO+S/nY+dSruomYyYr+OcR8WWQqID8=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myxn58YE54apK38+keIy8FKHypQE5tQeku10vbGEOaI=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aicZpxLIl2/3f4J4U+2LKTUY5B1Q6JRCJwRGjkl/CJU=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UzfVJS9QGl1+s6vSNXtv/31FjiVQFBt1WWF+rQ5NEeg=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v6ZR+j1fFuNhPdOuKCFGVSq7SvzvtF1XjdATb4W++CQ=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nUVdzvshlLUgRaM7X4sHX/9tln+OftfDhfnaA+Y9Nzk=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tnuHqQYJoYrMKwqfxAt4GYCSfZ37aqTLEPx5w3S0Lp4=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4s9qknDynYPr1xuzc4NY1dbPuCxhKyhwp+fAHZRIQIQ=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aNSy593Et2UK8oA6WHGONS53DInpYWmo3LI9HSF3xe0=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7jrEoPWIZjori3e+3CKNKgrzlCOuPXF/kWJA5txchnk=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KSvMPc92CI6mP9VIkVIJwBFyvcMBNsRDtriEism+/Bg=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lvLBtWALA0rZogtnOvxeDmgN4PGqgx6eST/Vp85V05Y=</DigestValue>
      </Reference>
      <Reference URI="/xl/worksheets/sheet1.xml?ContentType=application/vnd.openxmlformats-officedocument.spreadsheetml.worksheet+xml">
        <DigestMethod Algorithm="http://www.w3.org/2001/04/xmlenc#sha256"/>
        <DigestValue>2WxJY+YV2HUKOkAEGYcScC6Irje/lesi0VT5YcnbXIM=</DigestValue>
      </Reference>
      <Reference URI="/xl/worksheets/sheet10.xml?ContentType=application/vnd.openxmlformats-officedocument.spreadsheetml.worksheet+xml">
        <DigestMethod Algorithm="http://www.w3.org/2001/04/xmlenc#sha256"/>
        <DigestValue>XjYoQJd4VVMLU4EOC3A3BYgNAqWAo3zUoZ2Gj0QVLxg=</DigestValue>
      </Reference>
      <Reference URI="/xl/worksheets/sheet11.xml?ContentType=application/vnd.openxmlformats-officedocument.spreadsheetml.worksheet+xml">
        <DigestMethod Algorithm="http://www.w3.org/2001/04/xmlenc#sha256"/>
        <DigestValue>dd1Uc/xtnXfuNFs0Z54FK9qQ7pPoKULdTzxP24c2nCo=</DigestValue>
      </Reference>
      <Reference URI="/xl/worksheets/sheet12.xml?ContentType=application/vnd.openxmlformats-officedocument.spreadsheetml.worksheet+xml">
        <DigestMethod Algorithm="http://www.w3.org/2001/04/xmlenc#sha256"/>
        <DigestValue>2TqNNSU7ZkrVqGYGKBsBSUsELJj3ilnBPQd9RfgFDMg=</DigestValue>
      </Reference>
      <Reference URI="/xl/worksheets/sheet13.xml?ContentType=application/vnd.openxmlformats-officedocument.spreadsheetml.worksheet+xml">
        <DigestMethod Algorithm="http://www.w3.org/2001/04/xmlenc#sha256"/>
        <DigestValue>T1YWbuIonXHUC6nWBDct31g0TGX4uhS2d1Ho4RO8U+0=</DigestValue>
      </Reference>
      <Reference URI="/xl/worksheets/sheet14.xml?ContentType=application/vnd.openxmlformats-officedocument.spreadsheetml.worksheet+xml">
        <DigestMethod Algorithm="http://www.w3.org/2001/04/xmlenc#sha256"/>
        <DigestValue>DapNCt8DQ040xPvvpFHbk2ANnjStFCDujGsHU/N6DaY=</DigestValue>
      </Reference>
      <Reference URI="/xl/worksheets/sheet15.xml?ContentType=application/vnd.openxmlformats-officedocument.spreadsheetml.worksheet+xml">
        <DigestMethod Algorithm="http://www.w3.org/2001/04/xmlenc#sha256"/>
        <DigestValue>95ni5vLP3uU8kjp12WmuQBbcyZiZVzap9zmAizmbbEM=</DigestValue>
      </Reference>
      <Reference URI="/xl/worksheets/sheet16.xml?ContentType=application/vnd.openxmlformats-officedocument.spreadsheetml.worksheet+xml">
        <DigestMethod Algorithm="http://www.w3.org/2001/04/xmlenc#sha256"/>
        <DigestValue>npIiWqNqwKq1MmgM0MF7jdq7Cecf6iyMbqAT9Af1JbM=</DigestValue>
      </Reference>
      <Reference URI="/xl/worksheets/sheet17.xml?ContentType=application/vnd.openxmlformats-officedocument.spreadsheetml.worksheet+xml">
        <DigestMethod Algorithm="http://www.w3.org/2001/04/xmlenc#sha256"/>
        <DigestValue>Y+3LonmSOz6y8no0GxgM/T6JAzqdBZT/+Fq9GU7w05c=</DigestValue>
      </Reference>
      <Reference URI="/xl/worksheets/sheet18.xml?ContentType=application/vnd.openxmlformats-officedocument.spreadsheetml.worksheet+xml">
        <DigestMethod Algorithm="http://www.w3.org/2001/04/xmlenc#sha256"/>
        <DigestValue>lzfofG2Sk0Bbidl3SQIF+r/znW7n2pc9hsqQdh+h/VY=</DigestValue>
      </Reference>
      <Reference URI="/xl/worksheets/sheet19.xml?ContentType=application/vnd.openxmlformats-officedocument.spreadsheetml.worksheet+xml">
        <DigestMethod Algorithm="http://www.w3.org/2001/04/xmlenc#sha256"/>
        <DigestValue>Utq2rMfdJoqO5j8UxQzcsbPpRyeZxIM5akgQbdflspI=</DigestValue>
      </Reference>
      <Reference URI="/xl/worksheets/sheet2.xml?ContentType=application/vnd.openxmlformats-officedocument.spreadsheetml.worksheet+xml">
        <DigestMethod Algorithm="http://www.w3.org/2001/04/xmlenc#sha256"/>
        <DigestValue>rWVmbEqfZ0c+118Q87XAn1RisOsGfPArsYB7utUf1Bo=</DigestValue>
      </Reference>
      <Reference URI="/xl/worksheets/sheet20.xml?ContentType=application/vnd.openxmlformats-officedocument.spreadsheetml.worksheet+xml">
        <DigestMethod Algorithm="http://www.w3.org/2001/04/xmlenc#sha256"/>
        <DigestValue>AuWKo3jlr4UXAEt33VSVmW9mBNqnESVp5QoZcmLC2a0=</DigestValue>
      </Reference>
      <Reference URI="/xl/worksheets/sheet21.xml?ContentType=application/vnd.openxmlformats-officedocument.spreadsheetml.worksheet+xml">
        <DigestMethod Algorithm="http://www.w3.org/2001/04/xmlenc#sha256"/>
        <DigestValue>FsJz78Z4f0+0dleXA464Vw667bbIgNaetER2l6lAMiY=</DigestValue>
      </Reference>
      <Reference URI="/xl/worksheets/sheet22.xml?ContentType=application/vnd.openxmlformats-officedocument.spreadsheetml.worksheet+xml">
        <DigestMethod Algorithm="http://www.w3.org/2001/04/xmlenc#sha256"/>
        <DigestValue>GPGynINJBsF/icF0Pp+MLse05yc7QkGdvfcxoYnWZlg=</DigestValue>
      </Reference>
      <Reference URI="/xl/worksheets/sheet23.xml?ContentType=application/vnd.openxmlformats-officedocument.spreadsheetml.worksheet+xml">
        <DigestMethod Algorithm="http://www.w3.org/2001/04/xmlenc#sha256"/>
        <DigestValue>2UjCtHVzjaiEW1zM0u3ENhxjlc6KLIUqM7fOb9fd4lk=</DigestValue>
      </Reference>
      <Reference URI="/xl/worksheets/sheet24.xml?ContentType=application/vnd.openxmlformats-officedocument.spreadsheetml.worksheet+xml">
        <DigestMethod Algorithm="http://www.w3.org/2001/04/xmlenc#sha256"/>
        <DigestValue>pmU428M/P8r14OGWLFthwdYXPzriJ7SJ7ttI7xdlXs0=</DigestValue>
      </Reference>
      <Reference URI="/xl/worksheets/sheet25.xml?ContentType=application/vnd.openxmlformats-officedocument.spreadsheetml.worksheet+xml">
        <DigestMethod Algorithm="http://www.w3.org/2001/04/xmlenc#sha256"/>
        <DigestValue>Lad9hl39tb1NUNuXkOIdDLGWEYAGBTBwjmGMmPQOd8M=</DigestValue>
      </Reference>
      <Reference URI="/xl/worksheets/sheet26.xml?ContentType=application/vnd.openxmlformats-officedocument.spreadsheetml.worksheet+xml">
        <DigestMethod Algorithm="http://www.w3.org/2001/04/xmlenc#sha256"/>
        <DigestValue>ZxfDscaeEOMy5UwgzCTH9KsiUqp5UPvIoZhz8Ydb3xk=</DigestValue>
      </Reference>
      <Reference URI="/xl/worksheets/sheet27.xml?ContentType=application/vnd.openxmlformats-officedocument.spreadsheetml.worksheet+xml">
        <DigestMethod Algorithm="http://www.w3.org/2001/04/xmlenc#sha256"/>
        <DigestValue>vqKNkdu6YER3a5bP8vobFYDqlc/HnX+GiQVIrqKoeSo=</DigestValue>
      </Reference>
      <Reference URI="/xl/worksheets/sheet28.xml?ContentType=application/vnd.openxmlformats-officedocument.spreadsheetml.worksheet+xml">
        <DigestMethod Algorithm="http://www.w3.org/2001/04/xmlenc#sha256"/>
        <DigestValue>RpHROlCpteVqCCw6KBCZB/vjYdFPK62XnnfVc+dKmMY=</DigestValue>
      </Reference>
      <Reference URI="/xl/worksheets/sheet29.xml?ContentType=application/vnd.openxmlformats-officedocument.spreadsheetml.worksheet+xml">
        <DigestMethod Algorithm="http://www.w3.org/2001/04/xmlenc#sha256"/>
        <DigestValue>O8mp9Ba0mlWhZ4tL+uM14Qt2R6R3R0Ewy23Y/BJ15hk=</DigestValue>
      </Reference>
      <Reference URI="/xl/worksheets/sheet3.xml?ContentType=application/vnd.openxmlformats-officedocument.spreadsheetml.worksheet+xml">
        <DigestMethod Algorithm="http://www.w3.org/2001/04/xmlenc#sha256"/>
        <DigestValue>0AsgUpbdLVD/3bmsVRh+UThuDv5PJanrwRAW2euTHyk=</DigestValue>
      </Reference>
      <Reference URI="/xl/worksheets/sheet30.xml?ContentType=application/vnd.openxmlformats-officedocument.spreadsheetml.worksheet+xml">
        <DigestMethod Algorithm="http://www.w3.org/2001/04/xmlenc#sha256"/>
        <DigestValue>K5YKdPWHre/a70b4WVxbcAazGZYCz6/Y7WlBIcpYBZQ=</DigestValue>
      </Reference>
      <Reference URI="/xl/worksheets/sheet4.xml?ContentType=application/vnd.openxmlformats-officedocument.spreadsheetml.worksheet+xml">
        <DigestMethod Algorithm="http://www.w3.org/2001/04/xmlenc#sha256"/>
        <DigestValue>WU4EqHJUD+Dk12XyvFuv5/LnNnrnkkfHPH0g+aXs0co=</DigestValue>
      </Reference>
      <Reference URI="/xl/worksheets/sheet5.xml?ContentType=application/vnd.openxmlformats-officedocument.spreadsheetml.worksheet+xml">
        <DigestMethod Algorithm="http://www.w3.org/2001/04/xmlenc#sha256"/>
        <DigestValue>PKYzjraf5nxfG8u0P34G4D32Bzs2dPRylNZQGIndhOE=</DigestValue>
      </Reference>
      <Reference URI="/xl/worksheets/sheet6.xml?ContentType=application/vnd.openxmlformats-officedocument.spreadsheetml.worksheet+xml">
        <DigestMethod Algorithm="http://www.w3.org/2001/04/xmlenc#sha256"/>
        <DigestValue>LbtqTtm/9KYS0VpqaDX9FQIdhiJxMu2/+BUpHUL154k=</DigestValue>
      </Reference>
      <Reference URI="/xl/worksheets/sheet7.xml?ContentType=application/vnd.openxmlformats-officedocument.spreadsheetml.worksheet+xml">
        <DigestMethod Algorithm="http://www.w3.org/2001/04/xmlenc#sha256"/>
        <DigestValue>s7Lajl94RTTUv3gh/7b9+cx1UJ0QDRfvCmjfJ+IaurA=</DigestValue>
      </Reference>
      <Reference URI="/xl/worksheets/sheet8.xml?ContentType=application/vnd.openxmlformats-officedocument.spreadsheetml.worksheet+xml">
        <DigestMethod Algorithm="http://www.w3.org/2001/04/xmlenc#sha256"/>
        <DigestValue>r6WMAxN2mjQz9kUS4h53+uRUBVhDy3RTkUPSrlHuuY8=</DigestValue>
      </Reference>
      <Reference URI="/xl/worksheets/sheet9.xml?ContentType=application/vnd.openxmlformats-officedocument.spreadsheetml.worksheet+xml">
        <DigestMethod Algorithm="http://www.w3.org/2001/04/xmlenc#sha256"/>
        <DigestValue>NIzA14cKB5PQewCCRFHV7zfj0e6ZiKWWi0d8opX8FHI=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2022-08-25T20:48:32Z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{447140C9-7EA5-48C1-B5C2-AF927AB7FC83}</SetupID>
          <SignatureText>Diego Barboza</SignatureText>
          <SignatureImage/>
          <SignatureComments/>
          <WindowsVersion>10.0</WindowsVersion>
          <OfficeVersion>16.0.15427/23</OfficeVersion>
          <ApplicationVersion>16.0.15427</ApplicationVersion>
          <Monitors>2</Monitors>
          <HorizontalResolution>3840</HorizontalResolution>
          <VerticalResolution>2160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2022-08-25T20:48:32Z</xd:SigningTime>
          <xd:SigningCertificate>
            <xd:Cert>
              <xd:CertDigest>
                <DigestMethod Algorithm="http://www.w3.org/2001/04/xmlenc#sha256"/>
                <DigestValue>xtXZSJDeBq4m/eSebeD5UsyH7PoPRA6ef0+yJf5bNSY=</DigestValue>
              </xd:CertDigest>
              <xd:IssuerSerial>
                <X509IssuerName>CN=CA-VIT S.A., O=VIT S.A., C=PY, SERIALNUMBER=RUC 80080099-0</X509IssuerName>
                <X509SerialNumber>133046393457591965638684905519245107896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ijCCBXKgAwIBAgIQXL4SbP2TKxBT/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+F56rRUuqIRjjbbPKENoAxRohZX/5ydv4Oyaws61j+dCw2OAhf3YAgQx6tBS9svuZfg7ikuMUdTgOYVxBjDJpjNgd5nwcLKD4BUyKyzZD6limUTES/nRWV6dPOa/zPx2EnJXL5hXFMj20ozkApBDmIdHEeKpX7zETMADtU9fkEDPHnI81VpyswTOa35yMKa/oPx+3pMYONxBMLbSc9CJgSxeTfpty/pSO/aEW2FVj1c8HvDIawYDHDc+e6le/2wNwD/JF2pmyEm+DD2jT63ZUfdPpW6LG1BnbRL008hAjoL6JUZIynBjv8I7Jk6s4SsmhrSvv5M11+LTSrX60T7/iFlsE5gcNXE7RppwJBagNUQmhZa5gedyemRk6D7lN/v59IvIE4vDLEX5odzhXjA2DGtoG3yW/J6SEUMBCBZ5ZdTF2Y6cA798/tg41QjDYfXQO70xmvW4O7ZHMzrvqsSJf6PlMQpRZsSwVzdvfnlBQp2pbUYCRUACahsrgvkpM6ouU1CsxK1QkgGJdXsvq1u94PayCs24skrf2i1WhkwPCew83EUJnU/DIgcLXkEXagHAavllLE5+VWREEntGpgwu33Vo3S6kwudQVQ0RbCj4xv56StHDXSQAp3QIDAQABo4ICQDCCAjwwEgYDVR0TAQH/BAgwBgEB/wIBADAOBgNVHQ8BAf8EBAMCAQYwHQYDVR0OBBYEFANjfJ9tWnKlU5G02+yR+wNffHydMB8GA1UdIwQYMBaAFMLEEfIqaEQMACjsTNYp25L7Xr3WMHcGCCsGAQUFBwEBBGswaTA+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+gLYYraHR0cDovL3d3dy5hY3JhaXouZ292LnB5L2FybC9hY19yYWl6X3B5LmNybDANBgkqhkiG9w0BAQsFAAOCAgEAXj5dl1RQoEIEdBPQmdth34vuZsTvsc0ZziDuK8YnGKDPEgzUu2CoyMfAmCbPB7bcQ+gP5hHKJJsurWsXB5A4n0yB7em+9o9ORPxjM+B+2zPQQk7qKlvVmM+0fXwVJgOqdMOSm5gbgPfX/1a7teUtbedLbnCxcPLu32RInDiwLctKYi1lhCNCcjpMhjpkzbIfQkSUieZYOVeQMbMkloAxigpJIgn94aeA739zQfKDFhBKclum4xt2H0vQvIPUNwwONvb3MNO/FtdYNyOAW+RMCApCuZ/0Ylh4OzDGJoqZevs0jmL4EdUYxzjbQ99ebxYqOnnBGoxhyVEwlzyHdaeYxqqtCmSDTptl7d9cP+T/o/RLteARfbwOtfU9cR0s/6H4S0hZOHUCpJXzKPs634BPXLx8Za+tq9YgLRdo++wcZT4LmmNY8r38tJQzg37Bc+Cayrel2QV5Cp3emum+aq1TGT6QFM55RQvNqS5yfettn+NiFPUaEUMotbaO7Mor7f+opjeuk2QUF+WaWZEQxgYhiW0IthZCQdjIHh+Qxx0AaW6e9IKwhQY/oNltQqlTQWM/G23aebdYu2bhSxvx/8XGaFdjbqDERPNLWr6cTIBMSXfVO0wH9JrgjB/sM6S/1zKprTfvidbiUX3lFcGsqVJAb3Vli2O5NpX3E8iTJtHLpYE=</xd:EncapsulatedX509Certificate>
            <xd:EncapsulatedX509Certificate>MIIF+TCCA+GgAwIBAgIQDCG0OEbFG/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/cm6CSmT+jjZqFSsUDVF/dhuVxBS93gNy7t8XCJBugnJ6t+HUiVeziPNNVoVn9tOhVFxeJrOlfJxmvl9TTax0QbTwJUmw3AiPNNd1rdJL1gsQCKV0h4f+5djd/ZbnOV8B9VYtXpU/E6csQHEkYodpkKUQswcftFPjcyhPDub8DoZfx1oBno0MJ0RhqDB6IxO5PHP5vbIggEDtezYneIyJsJyuC/KqeaJO30275dqN4rDZ8smOIOII/9L/z3agbfkiuc9vKgXi9N7UXm0Vcb/tjvBiey9U7cahNA+W5x+mcwC2bnkGLMVVMCrW9JbYvFCjyrg306IjoKQcVMoHcuxrYSME7ILqzglWgws26G45/khG2f9IpS6EDTqt5uaKU9ogocmmUMtHfGqDRvp1yOKRs9jPuYcju6hJlkD9c8McKxkr9NMBR0q/SswzRwNm8KhoPubjzCj0nYx6N2fnLBy6PhCpsmyf+z0LbT36voKNTSDKYYt03Ih2qL2uM0PeaSim5bsw+kwDcIPTX1CS/OxIBgLUHlxAs28VIVKA/OE/m9eHcn6N3lYOt3vEWkHr/wJqhk2JPw0G5apqj4nM74qX4YIONx/lGQSf47elkliPsGftfp4KsHB+9o1bNrRCTfk6EpELx23RPwArCiA1dyjQofa4YW9yqGraAHp5bAgMBAAGjgZAwgY0wDwYDVR0TAQH/BAUwAwEB/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/e9OvgiJE3Hin++Gd2+j0gzIrKZ1xEO7KdvRPrOj9D7xl63oK+VFX6d/FvUISJdPvsRjsvwbEm71FYe7Y5bDRLV1Zsti4pSOJMGl1ZgkCKgLEBfTQpnGuOzRlD30ddt4aCQnj/nSSJBsKHJ5MDed5f09ufzS5g6gRudIeoa6kV0vA2KI+28Fafz1F/TRuE451nhb3M2vRBmcFj/nEZYt7adecYY98gXefxmwosPwOeKZq2EjGL7/Si3l2sOiOazOprbV4XJfeVajBZY7o39U5SoPSMNqrPVeZfELwRqgX/LCUPqFEePTYrHaOdu3A7AoJb7q1rj9SEtB10hfIsg+BKF7ukFcqkoeys9ug5X16A1//LmaNuku471ePVUzKw30WGTawFzOgxc1CsKqyVHxeGfmRdoqDwGl37S16NJSSPU9rloIe77LqiQR7NZfFW/9cWnsPLHS3pCWJEYNbc4UL8pIOOBKt1edM6wK+Wkd8J+/1EBu+LFCdjEgW07kZqe300S6TQYFxgD6KOCSM6ou33kR4rVF20lSWwwhDSf/DLn8e</xd:EncapsulatedX509Certificate>
          </xd:CertificateValues>
        </xd:UnsignedSignatureProperties>
      </xd:UnsignedProperties>
    </xd:QualifyingProperties>
  </Object>
  <Object Id="idValidSigLnImg">AQAAAGwAAAAAAAAAAAAAAEsDAAB/AQAAAAAAAAAAAAA+GQAAdgsAACBFTUYAAAEAuBsAAKoAAAAGAAAAAAAAAAAAAAAAAAAAAA8AAHAIAAAmAQAApQAAAAAAAAAAAAAAAAAAAHB8BACIhAIACgAAABAAAAAAAAAAAAAAAEsAAAAQAAAAAAAAAAUAAAAeAAAAGAAAAAAAAAAAAAAATAMAAIABAAAnAAAAGAAAAAEAAAAAAAAAAAAAAAAAAAAlAAAADAAAAAEAAABMAAAAZAAAAAAAAAAAAAAASwMAAH8BAAAAAAAAAAAAAEwDAACAAQAAIQDwAAAAAAAAAAAAAACAPwAAAAAAAAAAAACAPwAAAAAAAAAAAAAAAAAAAAAAAAAAAAAAAAAAAAAAAAAAJQAAAAwAAAAAAACAKAAAAAwAAAABAAAAJwAAABgAAAABAAAAAAAAAP///wAAAAAAJQAAAAwAAAABAAAATAAAAGQAAAAAAAAAAAAAAP8CAAB/AQAAAAAAAAAAAAAAAwAAgAEAACEA8AAAAAAAAAAAAAAAgD8AAAAAAAAAAAAAgD8AAAAAAAAAAAAAAAAAAAAAAAAAAAAAAAAAAAAAAAAAACUAAAAMAAAAAAAAgCgAAAAMAAAAAQAAACcAAAAYAAAAAQAAAAAAAADw8PAAAAAAACUAAAAMAAAAAQAAAEwAAABkAAAAAAAAAAAAAABLAwAAfwEAAAAAAAAAAAAATAMAAIABAAAhAPAAAAAAAAAAAAAAAIA/AAAAAAAAAAAAAIA/AAAAAAAAAAAAAAAAAAAAAAAAAAAAAAAAAAAAAAAAAAAlAAAADAAAAAAAAIAoAAAADAAAAAEAAAAnAAAAGAAAAAEAAAAAAAAA8PDwAAAAAAAlAAAADAAAAAEAAABMAAAAZAAAAAAAAAAAAAAASwMAAH8BAAAAAAAAAAAAAEwDAACAAQAAIQDwAAAAAAAAAAAAAACAPwAAAAAAAAAAAACAPwAAAAAAAAAAAAAAAAAAAAAAAAAAAAAAAAAAAAAAAAAAJQAAAAwAAAAAAACAKAAAAAwAAAABAAAAJwAAABgAAAABAAAAAAAAAPDw8AAAAAAAJQAAAAwAAAABAAAATAAAAGQAAAAAAAAAAAAAAEsDAAB/AQAAAAAAAAAAAABMAwAAgAEAACEA8AAAAAAAAAAAAAAAgD8AAAAAAAAAAAAAgD8AAAAAAAAAAAAAAAAAAAAAAAAAAAAAAAAAAAAAAAAAACUAAAAMAAAAAAAAgCgAAAAMAAAAAQAAACcAAAAYAAAAAQAAAAAAAADw8PAAAAAAACUAAAAMAAAAAQAAAEwAAABkAAAAAAAAAAAAAABLAwAAfwEAAAAAAAAAAAAATAMAAIABAAAhAPAAAAAAAAAAAAAAAIA/AAAAAAAAAAAAAIA/AAAAAAAAAAAAAAAAAAAAAAAAAAAAAAAAAAAAAAAAAAAlAAAADAAAAAAAAIAoAAAADAAAAAEAAAAnAAAAGAAAAAEAAAAAAAAA////AAAAAAAlAAAADAAAAAEAAABMAAAAZAAAAAAAAAAAAAAASwMAAH8BAAAAAAAAAAAAAEwDAACAAQAAIQDwAAAAAAAAAAAAAACAPwAAAAAAAAAAAACAPwAAAAAAAAAAAAAAAAAAAAAAAAAAAAAAAAAAAAAAAAAAJQAAAAwAAAAAAACAKAAAAAwAAAABAAAAJwAAABgAAAABAAAAAAAAAP///wAAAAAAJQAAAAwAAAABAAAATAAAAGQAAAAAAAAAAAAAAEsDAAB/AQAAAAAAAAAAAABMAwAAgAEAACEA8AAAAAAAAAAAAAAAgD8AAAAAAAAAAAAAgD8AAAAAAAAAAAAAAAAAAAAAAAAAAAAAAAAAAAAAAAAAACUAAAAMAAAAAAAAgCgAAAAMAAAAAQAAACcAAAAYAAAAAQAAAAAAAAD///8AAAAAACUAAAAMAAAAAQAAAEwAAABkAAAAAAAAAAsAAAD/AgAAOgAAAAAAAAALAAAAAAMAADAAAAAhAPAAAAAAAAAAAAAAAIA/AAAAAAAAAAAAAIA/AAAAAAAAAAAAAAAAAAAAAAAAAAAAAAAAAAAAAAAAAAAlAAAADAAAAAAAAIAoAAAADAAAAAEAAAAnAAAAGAAAAAEAAAAAAAAA////AAAAAAAlAAAADAAAAAEAAABMAAAAZAAAACECAAAMAAAAsQIAADgAAAAhAgAADAAAAJEAAAAtAAAAIQDwAAAAAAAAAAAAAACAPwAAAAAAAAAAAACAPwAAAAAAAAAAAAAAAAAAAAAAAAAAAAAAAAAAAAAAAAAAJQAAAAwAAAAAAACAKAAAAAwAAAABAAAAUgAAAHABAAABAAAA4P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CECAAAMAAAAsgIAADkAAAAlAAAADAAAAAEAAABUAAAAhAAAACICAAAMAAAAsAIAADgAAAABAAAAAAD1QMdx9EAiAgAADAAAAAkAAABMAAAAAAAAAAAAAAAAAAAA//////////9gAAAAMgA1AC8AOAAvADIAMAAyADIA6+sRAAAAEQAAAAwAAAARAAAADAAAABEAAAARAAAAEQAAABEAAABLAAAAQAAAADAAAAAFAAAAIAAAAAEAAAABAAAAEAAAAAAAAAAAAAAATAMAAIABAAAAAAAAAAAAAEwDAACAAQ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RgAAAAAAAACFAAAAIQDwAAAAAAAAAAAAAACAPwAAAAAAAAAAAACAPwAAAAAAAAAAAAAAAAAAAAAAAAAAAAAAAAAAAAAAAAAAJQAAAAwAAAAAAACAKAAAAAwAAAADAAAAJwAAABgAAAADAAAAAAAAAAAAAAAAAAAAJQAAAAwAAAADAAAATAAAAGQAAAAAAAAAAAAAAP//////////AAAAAEYAAAAAAwAAAAAAACEA8AAAAAAAAAAAAAAAgD8AAAAAAAAAAAAAgD8AAAAAAAAAAAAAAAAAAAAAAAAAAAAAAAAAAAAAAAAAACUAAAAMAAAAAAAAgCgAAAAMAAAAAwAAACcAAAAYAAAAAwAAAAAAAAAAAAAAAAAAACUAAAAMAAAAAwAAAEwAAABkAAAAAAAAAAAAAAD//////////wADAABGAAAAAAAAAIUAAAAhAPAAAAAAAAAAAAAAAIA/AAAAAAAAAAAAAIA/AAAAAAAAAAAAAAAAAAAAAAAAAAAAAAAAAAAAAAAAAAAlAAAADAAAAAAAAIAoAAAADAAAAAMAAAAnAAAAGAAAAAMAAAAAAAAAAAAAAAAAAAAlAAAADAAAAAMAAABMAAAAZAAAAAAAAADLAAAA/wIAAMwAAAAAAAAAywAAAAADAAACAAAAIQDwAAAAAAAAAAAAAACAPwAAAAAAAAAAAACAPwAAAAAAAAAAAAAAAAAAAAAAAAAAAAAAAAAAAAAAAAAAJQAAAAwAAAAAAACAKAAAAAwAAAADAAAAJwAAABgAAAADAAAAAAAAAP///wAAAAAAJQAAAAwAAAADAAAATAAAAGQAAAAAAAAARgAAAP8CAADKAAAAAAAAAEYAAAAAAwAAhQAAACEA8AAAAAAAAAAAAAAAgD8AAAAAAAAAAAAAgD8AAAAAAAAAAAAAAAAAAAAAAAAAAAAAAAAAAAAAAAAAACUAAAAMAAAAAAAAgCgAAAAMAAAAAwAAACcAAAAYAAAAAwAAAAAAAAD///8AAAAAACUAAAAMAAAAAwAAAEwAAABkAAAAGgAAAKcAAAAwAAAAygAAABoAAAC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GwAAAKcAAAAvAAAAygAAAAEAAAAAAPVAx3H0QBsAAADLAAAAAQAAAEwAAAAEAAAAGgAAAKcAAAAxAAAAywAAAFAAAABYAAA/FQAAABYAAAAMAAAAAAAAACUAAAAMAAAAAgAAACcAAAAYAAAABAAAAAAAAAD///8AAAAAACUAAAAMAAAABAAAAEwAAABkAAAAfwAAAFEAAADlAgAAygAAAH8AAABRAAAAZwIAAHoAAAAhAPAAAAAAAAAAAAAAAIA/AAAAAAAAAAAAAIA/AAAAAAAAAAAAAAAAAAAAAAAAAAAAAAAAAAAAAAAAAAAlAAAADAAAAAAAAIAoAAAADAAAAAQAAAAnAAAAGAAAAAQAAAAAAAAA////AAAAAAAlAAAADAAAAAQAAABMAAAAZAAAAH8AAABRAAAA5QIAAL8AAAB/AAAAUQAAAGcCAABvAAAAIQDwAAAAAAAAAAAAAACAPwAAAAAAAAAAAACAPwAAAAAAAAAAAAAAAAAAAAAAAAAAAAAAAAAAAAAAAAAAJQAAAAwAAAAAAACAKAAAAAwAAAAEAAAAJwAAABgAAAAEAAAAAAAAAP///wAAAAAAJQAAAAwAAAAEAAAATAAAAGQAAAB/AAAAfwAAALcBAAC/AAAAfwAAAH8AAAA5AQAAQQAAACEA8AAAAAAAAAAAAAAAgD8AAAAAAAAAAAAAgD8AAAAAAAAAAAAAAAAAAAAAAAAAAAAAAAAAAAAAAAAAACUAAAAMAAAAAAAAgCgAAAAMAAAABAAAAFIAAABwAQAABAAAAN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B/AAAAfwAAALgBAADAAAAAJQAAAAwAAAAEAAAAVAAAAJwAAACAAAAAfwAAALYBAAC/AAAAAQAAAAAA9UDHcfRAgAAAAH8AAAANAAAATAAAAAAAAAAAAAAAAAAAAP//////////aAAAAEQAaQBlAGcAbwAgAEIAYQByAGIAbwB6AGEABgkiAAAADAAAABkAAAAcAAAAHAAAAA0AAAAcAAAAGAAAABEAAAAcAAAAHAAAABYAAAAYAAAASwAAAEAAAAAwAAAABQAAACAAAAABAAAAAQAAABAAAAAAAAAAAAAAAEwDAACAAQAAAAAAAAAAAABMAwAAgAEAACUAAAAMAAAAAgAAACcAAAAYAAAABQAAAAAAAAD///8AAAAAACUAAAAMAAAABQAAAEwAAABkAAAAAAAAANgAAABLAwAAdAEAAAAAAADYAAAATAMAAJ0AAAAhAPAAAAAAAAAAAAAAAIA/AAAAAAAAAAAAAIA/AAAAAAAAAAAAAAAAAAAAAAAAAAAAAAAAAAAAAAAAAAAlAAAADAAAAAAAAIAoAAAADAAAAAUAAAAnAAAAGAAAAAUAAAAAAAAA////AAAAAAAlAAAADAAAAAUAAABMAAAAZAAAAE4AAADYAAAA/QIAAAQBAABOAAAA2AAAALACAAAtAAAAIQDwAAAAAAAAAAAAAACAPwAAAAAAAAAAAACAPwAAAAAAAAAAAAAAAAAAAAAAAAAAAAAAAAAAAAAAAAAAJQAAAAwAAAAAAACAKAAAAAwAAAAFAAAAJQAAAAwAAAABAAAAGAAAAAwAAAAAAAAAEgAAAAwAAAABAAAAHgAAABgAAABOAAAA2AAAAP4CAAAFAQAAJQAAAAwAAAABAAAAVAAAAJwAAABPAAAA2AAAAB0BAAAEAQAAAQAAAAAA9UDHcfRATwAAANgAAAANAAAATAAAAAAAAAAAAAAAAAAAAP//////////aAAAAEQAaQBlAGcAbwAgAEIAYQByAGIAbwB6AGEAxXUWAAAACAAAABEAAAATAAAAEwAAAAkAAAASAAAAEAAAAAsAAAATAAAAEwAAAA4AAAAQAAAASwAAAEAAAAAwAAAABQAAACAAAAABAAAAAQAAABAAAAAAAAAAAAAAAEwDAACAAQAAAAAAAAAAAABMAwAAgAEAACUAAAAMAAAAAgAAACcAAAAYAAAABQAAAAAAAAD///8AAAAAACUAAAAMAAAABQAAAEwAAABkAAAATgAAABABAAD9AgAAPAEAAE4AAAAQAQAAsAIAAC0AAAAhAPAAAAAAAAAAAAAAAIA/AAAAAAAAAAAAAIA/AAAAAAAAAAAAAAAAAAAAAAAAAAAAAAAAAAAAAAAAAAAlAAAADAAAAAAAAIAoAAAADAAAAAUAAAAlAAAADAAAAAEAAAAYAAAADAAAAAAAAAASAAAADAAAAAEAAAAeAAAAGAAAAE4AAAAQAQAA/gIAAD0BAAAlAAAADAAAAAEAAABUAAAArAAAAE8AAAAQAQAAIgEAADwBAAABAAAAAAD1QMdx9EBPAAAAEAEAABAAAABMAAAAAAAAAAAAAAAAAAAA//////////9sAAAARABpAHIAZQBjAHQAbwByACAAVABpAHQAdQBsAGEAcgAWAAAACAAAAAsAAAARAAAADwAAAAsAAAATAAAACwAAAAkAAAARAAAACAAAAAsAAAASAAAACAAAABAAAAALAAAASwAAAEAAAAAwAAAABQAAACAAAAABAAAAAQAAABAAAAAAAAAAAAAAAEwDAACAAQAAAAAAAAAAAABMAwAAgAEAACUAAAAMAAAAAgAAACcAAAAYAAAABQAAAAAAAAD///8AAAAAACUAAAAMAAAABQAAAEwAAABkAAAATgAAAEgBAAD9AgAAdAEAAE4AAABIAQAAsAIAAC0AAAAhAPAAAAAAAAAAAAAAAIA/AAAAAAAAAAAAAIA/AAAAAAAAAAAAAAAAAAAAAAAAAAAAAAAAAAAAAAAAAAAlAAAADAAAAAAAAIAoAAAADAAAAAUAAAAlAAAADAAAAAEAAAAYAAAADAAAAAAAAAASAAAADAAAAAEAAAAWAAAADAAAAAAAAABUAAAARAEAAE8AAABIAQAA/AIAAHQBAAABAAAAAAD1QMdx9EBPAAAASAEAACkAAABMAAAABAAAAE4AAABIAQAA/gIAAHUBAACgAAAARgBpAHIAbQBhAGQAbwAgAHAAbwByADoAIABEAEkARQBHAE8AIABCAEUATgBKAEEATQBJAE4AIABCAEEAUgBCAE8AWgBBACAAQwBMAEEAUgBJAAAAEAAAAAgAAAALAAAAHAAAABAAAAATAAAAEwAAAAkAAAATAAAAEwAAAAsAAAAHAAAACQAAABYAAAAJAAAAEAAAABYAAAAYAAAACQAAABIAAAAQAAAAGAAAAAsAAAAVAAAAHQAAAAkAAAAYAAAACQAAABIAAAAVAAAAEwAAABIAAAAYAAAAEgAAABUAAAAJAAAAFAAAAA8AAAAVAAAAEwAAAAkAAAAWAAAADAAAAAAAAAAlAAAADAAAAAIAAAAOAAAAFAAAAAAAAAAQAAAAFAAAAA==</Object>
  <Object Id="idInvalidSigLnImg">AQAAAGwAAAAAAAAAAAAAAEsDAAB/AQAAAAAAAAAAAAA+GQAAdgsAACBFTUYAAAEAKDYAALEAAAAGAAAAAAAAAAAAAAAAAAAAAA8AAHAIAAAmAQAApQAAAAAAAAAAAAAAAAAAAHB8BACIhAIACgAAABAAAAAAAAAAAAAAAEsAAAAQAAAAAAAAAAUAAAAeAAAAGAAAAAAAAAAAAAAATAMAAIABAAAnAAAAGAAAAAEAAAAAAAAAAAAAAAAAAAAlAAAADAAAAAEAAABMAAAAZAAAAAAAAAAAAAAASwMAAH8BAAAAAAAAAAAAAEwDAACAAQAAIQDwAAAAAAAAAAAAAACAPwAAAAAAAAAAAACAPwAAAAAAAAAAAAAAAAAAAAAAAAAAAAAAAAAAAAAAAAAAJQAAAAwAAAAAAACAKAAAAAwAAAABAAAAJwAAABgAAAABAAAAAAAAAP///wAAAAAAJQAAAAwAAAABAAAATAAAAGQAAAAAAAAAAAAAAP8CAAB/AQAAAAAAAAAAAAAAAwAAgAEAACEA8AAAAAAAAAAAAAAAgD8AAAAAAAAAAAAAgD8AAAAAAAAAAAAAAAAAAAAAAAAAAAAAAAAAAAAAAAAAACUAAAAMAAAAAAAAgCgAAAAMAAAAAQAAACcAAAAYAAAAAQAAAAAAAADw8PAAAAAAACUAAAAMAAAAAQAAAEwAAABkAAAAAAAAAAAAAABLAwAAfwEAAAAAAAAAAAAATAMAAIABAAAhAPAAAAAAAAAAAAAAAIA/AAAAAAAAAAAAAIA/AAAAAAAAAAAAAAAAAAAAAAAAAAAAAAAAAAAAAAAAAAAlAAAADAAAAAAAAIAoAAAADAAAAAEAAAAnAAAAGAAAAAEAAAAAAAAA8PDwAAAAAAAlAAAADAAAAAEAAABMAAAAZAAAAAAAAAAAAAAASwMAAH8BAAAAAAAAAAAAAEwDAACAAQAAIQDwAAAAAAAAAAAAAACAPwAAAAAAAAAAAACAPwAAAAAAAAAAAAAAAAAAAAAAAAAAAAAAAAAAAAAAAAAAJQAAAAwAAAAAAACAKAAAAAwAAAABAAAAJwAAABgAAAABAAAAAAAAAPDw8AAAAAAAJQAAAAwAAAABAAAATAAAAGQAAAAAAAAAAAAAAEsDAAB/AQAAAAAAAAAAAABMAwAAgAEAACEA8AAAAAAAAAAAAAAAgD8AAAAAAAAAAAAAgD8AAAAAAAAAAAAAAAAAAAAAAAAAAAAAAAAAAAAAAAAAACUAAAAMAAAAAAAAgCgAAAAMAAAAAQAAACcAAAAYAAAAAQAAAAAAAADw8PAAAAAAACUAAAAMAAAAAQAAAEwAAABkAAAAAAAAAAAAAABLAwAAfwEAAAAAAAAAAAAATAMAAIABAAAhAPAAAAAAAAAAAAAAAIA/AAAAAAAAAAAAAIA/AAAAAAAAAAAAAAAAAAAAAAAAAAAAAAAAAAAAAAAAAAAlAAAADAAAAAAAAIAoAAAADAAAAAEAAAAnAAAAGAAAAAEAAAAAAAAA////AAAAAAAlAAAADAAAAAEAAABMAAAAZAAAAAAAAAAAAAAASwMAAH8BAAAAAAAAAAAAAEwDAACAAQAAIQDwAAAAAAAAAAAAAACAPwAAAAAAAAAAAACAPwAAAAAAAAAAAAAAAAAAAAAAAAAAAAAAAAAAAAAAAAAAJQAAAAwAAAAAAACAKAAAAAwAAAABAAAAJwAAABgAAAABAAAAAAAAAP///wAAAAAAJQAAAAwAAAABAAAATAAAAGQAAAAAAAAAAAAAAEsDAAB/AQAAAAAAAAAAAABMAwAAgAEAACEA8AAAAAAAAAAAAAAAgD8AAAAAAAAAAAAAgD8AAAAAAAAAAAAAAAAAAAAAAAAAAAAAAAAAAAAAAAAAACUAAAAMAAAAAAAAgCgAAAAMAAAAAQAAACcAAAAYAAAAAQAAAAAAAAD///8AAAAAACUAAAAMAAAAAQAAAEwAAABkAAAAAAAAAAsAAAD/AgAAOgAAAAAAAAALAAAAAAMAADAAAAAhAPAAAAAAAAAAAAAAAIA/AAAAAAAAAAAAAIA/AAAAAAAAAAAAAAAAAAAAAAAAAAAAAAAAAAAAAAAAAAAlAAAADAAAAAAAAIAoAAAADAAAAAEAAAAnAAAAGAAAAAEAAAAAAAAA////AAAAAAAlAAAADAAAAAEAAABMAAAAZAAAAE4AAAALAAAAfQAAADoAAABOAAAACwAAADAAAAAwAAAAIQDwAAAAAAAAAAAAAACAPwAAAAAAAAAAAACAPwAAAAAAAAAAAAAAAAAAAAAAAAAAAAAAAAAAAAAAAAAAJQAAAAwAAAAAAACAKAAAAAwAAAABAAAAFQAAAAwAAAADAAAAcgAAAKAZAABSAAAADAAAAHkAAAAzAAAAUgAAAAwAAAAoAAAAKAAAAAAA/wEAAAAAAAAAAAAAgD8AAAAAAAAAAAAAgD8AAAAAAAAAAP///wAAAAAAbAAAADQAAACgAAAAABkAACgAAAAoAAAAKAAAACgAAAAoAAAAAQAgAAMAAAAAGQAAAAAAAAAAAAAAAAAAAAAAAAAA/wAA/wAA/wAAAAAAAAAAAAAAAAAAAAAAAAAAAAAAAAAAAAAAAAAAAAAAAAAAAAAAAAArLCzDAAAAAAAAAAAAAAAAAAAAAAAAAAAAAAAAAAAAAAAAAAAAAAAAAAAAAAAAAAAAAAAALzG+zBcXW2IAAAAAAAAAAAAAAAAAAAAAAAAAAAAAAAAAAAAAAAAAAAAAAAAAAAAAAAAAAAAAAAAAAAAALzG+zBcXW2IAAAAAAAAAAAAAAAAAAAAAAAAAAAAAAAAAAAAAAAAAAAAAAAAAAAAAODo6/zg6Ov8rLCzDAAAAAAAAAAAAAAAAAAAAAAAAAAAAAAAAAAAAAAAAAAAAAAAAFxdbYjs97f87Pe3/FxdbYgAAAAAAAAAAAAAAAAAAAAAAAAAAAAAAAAAAAAAAAAAAAAAAAAAAAAAAAAAALzG+zDs97f8vMb7MAAAAAAAAAAAAAAAAAAAAAAAAAAAAAAAAAAAAAAAAAAAAAAAAAAAAADg6Ov84Ojr/ODo6/zg6Ov8eHx+KAAAAAAAAAAAAAAAAAAAAAAAAAAAAAAAAAAAAAAAAAAAXF1tiOz3t/zs97f8XF1tiAAAAAAAAAAAAAAAAAAAAAAAAAAAAAAAAAAAAAAAAAAAAAAAALzG+zDs97f8vMb7MAAAAAAAAAAAAAAAAAAAAAAAAAAAAAAAAAAAAAAAAAAAAAAAAAAAAAAAAAAA4Ojr/ODo6/zg6Ov84Ojr/ODo6/yssLMMSEhJRAAAAAAAAAAAAAAAAAAAAAAAAAAAAAAAAAAAAABcXW2I7Pe3/Oz3t/xcXW2IAAAAAAAAAAAAAAAAAAAAAAAAAAAAAAAAAAAAALzG+zDs97f8vMb7MAAAAAAAAAAAAAAAAAAAAAAAAAAAAAAAAAAAAAAAAAAAAAAAAAAAAAAAAAAAAAAAAODo6/zg6Ov9mZ2f/ODo6/zg6Ov84Ojr/ODo6/yssLMMAAAAAEhISURISElEAAAAAAAAAAAAAAAAAAAAAFxdbYjs97f87Pe3/FxdbYgAAAAAAAAAAAAAAAAAAAAAAAAAALzG+zDs97f8vMb7MAAAAAAAAAAAAAAAAAAAAAAAAAAAAAAAAAAAAAAAAAAAAAAAAAAAAAAAAAAAAAAAAAAAAADg6Ov84Ojr/kZKS//r6+v+RkpL/ODo6/zg6Ov84Ojr/ODo6/zg6Ov84Ojr/W1tbmwAAAAAAAAAAAAAAAAAAAAAXF1tiOz3t/zs97f8XF1tiAAAAAAAAAAAAAAAALzG+zDs97f8vMb7MAAAAAAAAAAAAAAAAAAAAAAAAAAAAAAAAAAAAAAAAAAAAAAAAAAAAAAAAAAAAAAAAAAAAAAAAAAA4Ojr/ODo6/5GSkv/6+vr/+vr6//r6+v9mZ2f/ODo6/zg6Ov84Ojr/ODo6/729vf9ra2ttAAAAAAAAAAAAAAAAAAAAABcXW2I7Pe3/Oz3t/xcXW2IAAAAALzG+zDs97f8vMb7MAAAAAAAAAAAAAAAAAAAAAAAAAAAAAAAAAAAAAAAAAAAAAAAAAAAAAAAAAAAAAAAAAAAAAAAAAAAAAAAAODo6/zg6Ov+RkpL/+vr6//r6+v/6+vr/+vr6/729vf9mZ2f/kZKS//r6+v/6+vr/+vr6/2tra20AAAAAAAAAAAAAAAAAAAAAFxdbYjs97f87Pe3/Oz3t/zs97f8vMb7MAAAAAAAAAAAAAAAAAAAAAAAAAAAAAAAAAAAAAAAAAAAAAAAAAAAAAAAAAAAAAAAAAAAAAAAAAAAAAAAAAAAAADg6Ov84Ojr/kZKS//r6+v/6+vr/+vr6//r6+v/6+vr/+vr6//r6+v/6+vr/+vr6//r6+v/6+vr/AAAAAAAAAAAAAAAAAAAAAAAAAAAkJY+aOz3t/zs97f87Pe3/AAAAAAAAAAAAAAAAAAAAAAAAAAAAAAAAAAAAAAAAAAAAAAAAAAAAAAAAAAAAAAAAAAAAAAAAAAAAAAAAAAAAAAAAAAA4Ojr/ODo6/5GSkv/6+vr/+vr6//r6+v/6+vr/+vr6//r6+v/6+vr/+vr6//r6+v/6+vr/1dXV2QAAAAAAAAAAAAAAAAAAAAAAAAAALzG+zDs97f87Pe3/Oz3t/xcXW2IAAAAAAAAAAAAAAAAAAAAAAAAAAAAAAAAAAAAAAAAAAAAAAAAAAAAAAAAAAAAAAAAAAAAAAAAAAAAAAAAAAAAAODo6/zg6Ov+RkpL/+vr6//r6+v/6+vr/+vr6//r6+v/6+vr/+vr6//r6+v/6+vr/1dXV2QAAAAAAAAAAAAAAAAAAAAAAAAAALzG+zDs97f8vMb7MJCWPmjs97f87Pe3/FxdbYgAAAAAAAAAAAAAAAAAAAAAAAAAAAAAAAAAAAAAAAAAAAAAAAAAAAAAAAAAAAAAAAAAAAAAAAAAAAAAAADg6Ov84Ojr/kZKS//r6+v/6+vr/+vr6//r6+v/6+vr/+vr6//r6+v/6+vr/1dXV2QAAAAAAAAAAAAAAAAAAAAAAAAAALzG+zDs97f8vMb7MAAAAAAAAAAAXF1tiOz3t/zs97f8XF1tiAAAAAAAAAAAAAAAAAAAAAAAAAAAAAAAAAAAAAAAAAAAAAAAAAAAAAAAAAAAAAAAAAAAAAAAAAAA4Ojr/ODo6/5GSkv/6+vr/+vr6//r6+v/6+vr/+vr6//r6+v/6+vr/1dXV2QAAAAAAAAAAAAAAAAAAAAAAAAAALzG+zDs97f8vMb7MAAAAAAAAAAAAAAAAAAAAABcXW2I7Pe3/Oz3t/xcXW2IAAAAAAAAAAAAAAAAAAAAAAAAAAAAAAAAAAAAAAAAAAAAAAAAAAAAAAAAAAAAAAAAAAAAAODo6/zg6Ov+RkpL/+vr6//r6+v/6+vr/+vr6//r6+v/6+vr/1dXV2QAAAAAAAAAAAAAAAAAAAAAAAAAALzG+zDs97f8vMb7MAAAAAAAAAAAAAAAAAAAAAAAAAAAAAAAAFxdbYjs97f87Pe3/FxdbYgAAAAAAAAAAAAAAAAAAAAAAAAAAAAAAAAAAAAAAAAAAAAAAAAAAAAAAAAAAAAAAADg6Ov84Ojr/kZKS//r6+v/6+vr/+vr6//r6+v/6+vr/1dXV2QAAAAAAAAAAAAAAAAAAAAAAAAAALzG+zDs97f8vMb7MAAAAAAAAAAAAAAAAAAAAAAAAAAAAAAAAAAAAAAAAAAAXF1tiOz3t/zs97f8XF1tiAAAAAAAAAAAAAAAAAAAAAAAAAAAAAAAAAAAAAAAAAAAAAAAAAAAAAAAAAAA4Ojr/ODo6/5GSkv/6+vr/+vr6//r6+v/6+vr/1dXV2QAAAAAAAAAAAAAAAAAAAAAAAAAALzG+zDs97f8vMb7MAAAAAAAAAAAAAAAAAAAAAAAAAAAAAAAAAAAAAAAAAAAAAAAAAAAAABcXW2I7Pe3/Oz3t/xcXW2IAAAAAAAAAAAAAAAAAAAAAAAAAAAAAAAAAAAAAAAAAAAAAAAAAAAAAODo6/zg6Ov+RkpL/+vr6//r6+v/6+vr/+vr6/2tra20AAAAAAAAAAAAAAAAAAAAAFxdbYjs97f8vMb7MAAAAAAAAAAAAAAAAAAAAAAAAAAAAAAAAAAAAAAAAAAAAAAAAAAAAAAAAAAAAAAAAFxdbYjs97f8vMb7MAAAAAAAAAAAAAAAAAAAAAAAAAAAAAAAAAAAAAAAAAAAAAAAAAAAAADg6Ov84Ojr/kZKS//r6+v/6+vr/+vr6/729vf+RkpL/T1BQvAAAAAAAAAAAAAAAAAAAAAAXF1tiAAAAAAAAAAAAAAAAAAAAAAAAAAAAAAAAAAAAAAAAAAAAAAAAAAAAAAAAAAAAAAAAAAAAAAAAAAAXF1tiAAAAAAAAAAAAAAAAAAAAAAAAAAAAAAAAAAAAAAAAAAAAAAAAAAAAAAAAAAA4Ojr/ODo6/5GSkv+9vb3/kZKS/zg6Ov84Ojr/ODo6/zg6Ov9ERUXdAAAAAAAAAAAAAAAAAAAAAAAAAAAAAAAAAAAAAAAAAAAAAAAAAAAAAAAAAAAAAAAAAAAAAAAAAAAAAAAAAAAAAAAAAAAAAAAAAAAAAAAAAAAAAAAAAAAAAAAAAAAAAAAAAAAAAAAAAAAAAAAAAAAAAAAAAAAAAAAAODo6/zg6Ov9mZ2f/ODo6/zg6Ov84Ojr/ODo6/zg6Ov84Ojr/ODo6/0RFRd0AAAAAAAAAAAAAAAAAAAAAAAAAAAAAAAASEhJRAAAAAAAAAAAAAAAAAAAAAAAAAAAAAAAAAAAAAAAAAAAAAAAAAAAAAAAAAAAAAAAAAAAAAAAAAAAAAAAAAAAAAAAAAAAAAAAAAAAAAAAAAAAAAAAAAAAAADg6Ov84Ojr/ODo6/zg6Ov84Ojr/kZKS/729vf/6+vr/+vr6//r6+v/6+vr/W1tbmwAAAAAAAAAAAAAAAGtra20rLCzDHh8figAAAAAAAAAAAAAAAAAAAAAAAAAAAAAAAAAAAAAAAAAAAAAAAAAAAAAAAAAAAAAAAAAAAAAAAAAAAAAAAAAAAAAAAAAAAAAAAAAAAAAAAAAAAAAAAAAAAAA4Ojr/ODo6/zg6Ov9mZ2f/vb29//r6+v/6+vr/+vr6//r6+v/6+vr/+vr6//r6+v9ra2ttAAAAAGtra21mZ2f/ODo6/x4fH4oAAAAAAAAAAAAAAAAAAAAAAAAAAAAAAAAAAAAAAAAAAAAAAAAAAAAAAAAAAAAAAAAAAAAAAAAAAAAAAAAAAAAAAAAAAAAAAAAAAAAAAAAAAAAAAAAeHx+KODo6/zg6Ov9mZ2f/+vr6//r6+v/6+vr/+vr6//r6+v/6+vr/+vr6//r6+v/6+vr/+vr6/6ysrK+9vb3/ODo6/zg6Ov84Ojr/AAAAAAAAAAAAAAAAAAAAAAAAAAAAAAAAAAAAAAAAAAAAAAAAAAAAAAAAAAAAAAAAAAAAAAAAAAAAAAAAAAAAAAAAAAAAAAAAAAAAAAAAAAASEhJRODo6/zg6Ov9mZ2f/+vr6//r6+v/6+vr/+vr6//r6+v/6+vr/+vr6//r6+v/6+vr/+vr6//r6+v/6+vr/+vr6/729vf84Ojr/ODo6/yssLMMAAAAAAAAAAAAAAAAAAAAAAAAAAAAAAAAAAAAAAAAAAAAAAAAAAAAAAAAAAAAAAAAAAAAAAAAAAAAAAAAAAAAAAAAAAAAAAAAAAAAAHh8fijg6Ov84Ojr/vb29//r6+v/6+vr/+vr6//r6+v/6+vr/+vr6//r6+v/6+vr/+vr6//r6+v/6+vr/+vr6//r6+v/6+vr/Zmdn/zg6Ov84Ojr/AAAAAAAAAAAAAAAAAAAAAAAAAAAAAAAAAAAAAAAAAAAAAAAAAAAAAAAAAAAAAAAAAAAAAAAAAAAAAAAAAAAAAAAAAAAAAAAAAAAAADg6Ov84Ojr/kZKS//r6+v/6+vr/+vr6//r6+v/6+vr/+vr6//r6+v/6+vr/+vr6//r6+v/6+vr/+vr6//r6+v/6+vr/+vr6//r6+v84Ojr/ODo6/x4fH4oAAAAAAAAAAAAAAAAAAAAAAAAAAAAAAAAAAAAAAAAAAAAAAAAAAAAAAAAAAAAAAAAAAAAAAAAAAAAAAAAAAAAAAAAAABISElE4Ojr/ODo6/729vf/6+vr/+vr6//r6+v/6+vr/+vr6//r6+v/6+vr/+vr6//r6+v/6+vr/+vr6//r6+v/6+vr/+vr6//r6+v/6+vr/Zmdn/zg6Ov8rLCzDAAAAAAAAAAAAAAAAAAAAAAAAAAAAAAAAAAAAAAAAAAAAAAAAAAAAAAAAAAAAAAAAAAAAAAAAAAAAAAAAAAAAAAAAAAAeHx+KODo6/zg6Ov/6+vr/+vr6//r6+v/6+vr/+vr6//r6+v/6+vr/+vr6//r6+v/6+vr/+vr6//r6+v/6+vr/+vr6//r6+v/6+vr/+vr6/5GSkv84Ojr/ODo6/wAAAAAAAAAAAAAAAAAAAAAAAAAAAAAAAAAAAAAAAAAAAAAAAAAAAAAAAAAAAAAAAAAAAAAAAAAAAAAAAAAAAAAAAAAAHh8fijg6Ov84Ojr/+vr6//r6+v/6+vr/+vr6//r6+v/6+vr/+vr6//r6+v/6+vr/+vr6//r6+v/6+vr/+vr6//r6+v/6+vr/+vr6//r6+v+RkpL/ODo6/zg6Ov8AAAAAAAAAAAAAAAAAAAAAAAAAAAAAAAAAAAAAAAAAAAAAAAAAAAAAAAAAAAAAAAAAAAAAAAAAAAAAAAAAAAAAAAAAAB4fH4o4Ojr/ODo6//r6+v/6+vr/+vr6//r6+v/6+vr/+vr6//r6+v/6+vr/+vr6//r6+v/6+vr/+vr6//r6+v/6+vr/+vr6//r6+v/6+vr/kZKS/zg6Ov84Ojr/AAAAAAAAAAAAAAAAAAAAAAAAAAAAAAAAAAAAAAAAAAAAAAAAAAAAAAAAAAAAAAAAAAAAAAAAAAAAAAAAAAAAAAAAAAAeHx+KODo6/zg6Ov/6+vr/+vr6//r6+v/6+vr/+vr6//r6+v/6+vr/+vr6//r6+v/6+vr/+vr6//r6+v/6+vr/+vr6//r6+v/6+vr/+vr6/5GSkv84Ojr/ODo6/wAAAAAAAAAAAAAAAAAAAAAAAAAAAAAAAAAAAAAAAAAAAAAAAAAAAAAAAAAAAAAAAAAAAAAAAAAAAAAAAAAAAAAAAAAAAAAAADg6Ov84Ojr/kZKS//r6+v/6+vr/+vr6//r6+v/6+vr/+vr6//r6+v/6+vr/+vr6//r6+v/6+vr/+vr6//r6+v/6+vr/+vr6//r6+v84Ojr/ODo6/x4fH4oAAAAAAAAAAAAAAAAAAAAAAAAAAAAAAAAAAAAAAAAAAAAAAAAAAAAAAAAAAAAAAAAAAAAAAAAAAAAAAAAAAAAAAAAAAAAAAAArLCzDODo6/2ZnZ//6+vr/+vr6//r6+v/6+vr/+vr6//r6+v/6+vr/+vr6//r6+v/6+vr/+vr6//r6+v/6+vr/+vr6//r6+v+9vb3/ODo6/zg6Ov8SEhJRAAAAAAAAAAAAAAAAAAAAAAAAAAAAAAAAAAAAAAAAAAAAAAAAAAAAAAAAAAAAAAAAAAAAAAAAAAAAAAAAAAAAAAAAAAAAAAAAHh8fijg6Ov84Ojr/kZKS//r6+v/6+vr/+vr6//r6+v/6+vr/+vr6//r6+v/6+vr/+vr6//r6+v/6+vr/+vr6//r6+v/6+vr/ODo6/zg6Ov84Ojr/AAAAAAAAAAAAAAAAAAAAAAAAAAAAAAAAAAAAAAAAAAAAAAAAAAAAAAAAAAAAAAAAAAAAAAAAAAAAAAAAAAAAAAAAAAAAAAAAAAAAAAAAAAArLCzDODo6/zg6Ov+9vb3/+vr6//r6+v/6+vr/+vr6//r6+v/6+vr/+vr6//r6+v/6+vr/+vr6//r6+v/6+vr/Zmdn/zg6Ov84Ojr/EhISUQAAAAAAAAAAAAAAAAAAAAAAAAAAAAAAAAAAAAAAAAAAAAAAAAAAAAAAAAAAAAAAAAAAAAAAAAAAAAAAAAAAAAAAAAAAAAAAAAAAAAAAAAAAEhISUTg6Ov84Ojr/ODo6/729vf/6+vr/+vr6//r6+v/6+vr/+vr6//r6+v/6+vr/+vr6//r6+v/6+vr/Zmdn/zg6Ov84Ojr/KywswwAAAAAAAAAAAAAAAAAAAAAAAAAAAAAAAAAAAAAAAAAAAAAAAAAAAAAAAAAAAAAAAAAAAAAAAAAAAAAAAAAAAAAAAAAAAAAAAAAAAAAAAAAAAAAAAAAAAAASEhJRODo6/zg6Ov84Ojr/Zmdn//r6+v/6+vr/+vr6//r6+v/6+vr/+vr6//r6+v+9vb3/ODo6/zg6Ov84Ojr/KywswwAAAAAAAAAAAAAAAAAAAAAAAAAAAAAAAAAAAAAAAAAAAAAAAAAAAAAAAAAAAAAAAAAAAAAAAAAAAAAAAAAAAAAAAAAAAAAAAAAAAAAAAAAAAAAAAAAAAAAAAAAAAAAAABISElE4Ojr/ODo6/zg6Ov84Ojr/Zmdn/5GSkv+RkpL/kZKS/5GSkv84Ojr/ODo6/zg6Ov84Ojr/KywswwAAAAAAAAAAAAAAAAAAAAAAAAAAAAAAAAAAAAAAAAAAAAAAAAAAAAAAAAAAAAAAAAAAAAAAAAAAAAAAAAAAAAAAAAAAAAAAAAAAAAAAAAAAAAAAAAAAAAAAAAAAAAAAAAAAAAAAAAAAAAAAACssLMM4Ojr/ODo6/zg6Ov84Ojr/ODo6/zg6Ov84Ojr/ODo6/zg6Ov84Ojr/EhISUQAAAAAAAAAAAAAAAAAAAAAAAAAAAAAAAAAAAAAAAAAAAAAAAAAAAAAAAAAAAAAAAAAAAAAAAAAAAAAAAAAAAAAAAAAAAAAAAAAAAAAAAAAAAAAAAAAAAAAAAAAAAAAAAAAAAAAAAAAAAAAAAAAAAAAAAAAAAAAAAB4fH4orLCzDODo6/zg6Ov84Ojr/ODo6/x4fH4oSEhJRAAAAAAAAAAAAAAAAAAAAAAAAAAAAAAAAAAAAAAAAAAAAAAAAAAAAAAAAAAAAAAAAAAAAAAAAAAAAAAAAAAAAAAAAAAAnAAAAGAAAAAEAAAAAAAAA////AAAAAAAlAAAADAAAAAEAAABMAAAAZAAAAMwAAAAMAAAApQEAADgAAADMAAAADAAAANoAAAAtAAAAIQDwAAAAAAAAAAAAAACAPwAAAAAAAAAAAACAPwAAAAAAAAAAAAAAAAAAAAAAAAAAAAAAAAAAAAAAAAAAJQAAAAwAAAAAAACAKAAAAAwAAAABAAAAUgAAAHABAAABAAAA4P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MwAAAAMAAAApgEAADkAAAAlAAAADAAAAAEAAABUAAAAqAAAAM0AAAAMAAAApAEAADgAAAABAAAAAAD1QMdx9EDNAAAADAAAAA8AAABMAAAAAAAAAAAAAAAAAAAA//////////9sAAAARgBpAHIAbQBhACAAbgBvACAAdgDhAGwAaQBkAGEAAAAQAAAACAAAAAsAAAAcAAAAEAAAAAkAAAASAAAAEwAAAAkAAAAPAAAAEAAAAAgAAAAIAAAAEwAAABAAAABLAAAAQAAAADAAAAAFAAAAIAAAAAEAAAABAAAAEAAAAAAAAAAAAAAATAMAAIABAAAAAAAAAAAAAEwDAACAAQ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RgAAAAAAAACFAAAAIQDwAAAAAAAAAAAAAACAPwAAAAAAAAAAAACAPwAAAAAAAAAAAAAAAAAAAAAAAAAAAAAAAAAAAAAAAAAAJQAAAAwAAAAAAACAKAAAAAwAAAADAAAAJwAAABgAAAADAAAAAAAAAAAAAAAAAAAAJQAAAAwAAAADAAAATAAAAGQAAAAAAAAAAAAAAP//////////AAAAAEYAAAAAAwAAAAAAACEA8AAAAAAAAAAAAAAAgD8AAAAAAAAAAAAAgD8AAAAAAAAAAAAAAAAAAAAAAAAAAAAAAAAAAAAAAAAAACUAAAAMAAAAAAAAgCgAAAAMAAAAAwAAACcAAAAYAAAAAwAAAAAAAAAAAAAAAAAAACUAAAAMAAAAAwAAAEwAAABkAAAAAAAAAAAAAAD//////////wADAABGAAAAAAAAAIUAAAAhAPAAAAAAAAAAAAAAAIA/AAAAAAAAAAAAAIA/AAAAAAAAAAAAAAAAAAAAAAAAAAAAAAAAAAAAAAAAAAAlAAAADAAAAAAAAIAoAAAADAAAAAMAAAAnAAAAGAAAAAMAAAAAAAAAAAAAAAAAAAAlAAAADAAAAAMAAABMAAAAZAAAAAAAAADLAAAA/wIAAMwAAAAAAAAAywAAAAADAAACAAAAIQDwAAAAAAAAAAAAAACAPwAAAAAAAAAAAACAPwAAAAAAAAAAAAAAAAAAAAAAAAAAAAAAAAAAAAAAAAAAJQAAAAwAAAAAAACAKAAAAAwAAAADAAAAJwAAABgAAAADAAAAAAAAAP///wAAAAAAJQAAAAwAAAADAAAATAAAAGQAAAAAAAAARgAAAP8CAADKAAAAAAAAAEYAAAAAAwAAhQAAACEA8AAAAAAAAAAAAAAAgD8AAAAAAAAAAAAAgD8AAAAAAAAAAAAAAAAAAAAAAAAAAAAAAAAAAAAAAAAAACUAAAAMAAAAAAAAgCgAAAAMAAAAAwAAACcAAAAYAAAAAwAAAAAAAAD///8AAAAAACUAAAAMAAAAAwAAAEwAAABkAAAAGgAAAKcAAAAwAAAAygAAABoAAAC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GwAAAKcAAAAvAAAAygAAAAEAAAAAAPVAx3H0QBsAAADLAAAAAQAAAEwAAAAEAAAAGgAAAKcAAAAxAAAAywAAAFAAAABYAAAAFQAAABYAAAAMAAAAAAAAACUAAAAMAAAAAgAAACcAAAAYAAAABAAAAAAAAAD///8AAAAAACUAAAAMAAAABAAAAEwAAABkAAAAfwAAAFEAAADlAgAAygAAAH8AAABRAAAAZwIAAHoAAAAhAPAAAAAAAAAAAAAAAIA/AAAAAAAAAAAAAIA/AAAAAAAAAAAAAAAAAAAAAAAAAAAAAAAAAAAAAAAAAAAlAAAADAAAAAAAAIAoAAAADAAAAAQAAAAnAAAAGAAAAAQAAAAAAAAA////AAAAAAAlAAAADAAAAAQAAABMAAAAZAAAAH8AAABRAAAA5QIAAL8AAAB/AAAAUQAAAGcCAABvAAAAIQDwAAAAAAAAAAAAAACAPwAAAAAAAAAAAACAPwAAAAAAAAAAAAAAAAAAAAAAAAAAAAAAAAAAAAAAAAAAJQAAAAwAAAAAAACAKAAAAAwAAAAEAAAAJwAAABgAAAAEAAAAAAAAAP///wAAAAAAJQAAAAwAAAAEAAAATAAAAGQAAAB/AAAAfwAAALcBAAC/AAAAfwAAAH8AAAA5AQAAQQAAACEA8AAAAAAAAAAAAAAAgD8AAAAAAAAAAAAAgD8AAAAAAAAAAAAAAAAAAAAAAAAAAAAAAAAAAAAAAAAAACUAAAAMAAAAAAAAgCgAAAAMAAAABAAAAFIAAABwAQAABAAAAN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B/AAAAfwAAALgBAADAAAAAJQAAAAwAAAAEAAAAVAAAAJwAAACAAAAAfwAAALYBAAC/AAAAAQAAAAAA9UDHcfRAgAAAAH8AAAANAAAATAAAAAAAAAAAAAAAAAAAAP//////////aAAAAEQAaQBlAGcAbwAgAEIAYQByAGIAbwB6AGEAAAAiAAAADAAAABkAAAAcAAAAHAAAAA0AAAAcAAAAGAAAABEAAAAcAAAAHAAAABYAAAAYAAAASwAAAEAAAAAwAAAABQAAACAAAAABAAAAAQAAABAAAAAAAAAAAAAAAEwDAACAAQAAAAAAAAAAAABMAwAAgAEAACUAAAAMAAAAAgAAACcAAAAYAAAABQAAAAAAAAD///8AAAAAACUAAAAMAAAABQAAAEwAAABkAAAAAAAAANgAAABLAwAAdAEAAAAAAADYAAAATAMAAJ0AAAAhAPAAAAAAAAAAAAAAAIA/AAAAAAAAAAAAAIA/AAAAAAAAAAAAAAAAAAAAAAAAAAAAAAAAAAAAAAAAAAAlAAAADAAAAAAAAIAoAAAADAAAAAUAAAAnAAAAGAAAAAUAAAAAAAAA////AAAAAAAlAAAADAAAAAUAAABMAAAAZAAAAE4AAADYAAAA/QIAAAQBAABOAAAA2AAAALACAAAtAAAAIQDwAAAAAAAAAAAAAACAPwAAAAAAAAAAAACAPwAAAAAAAAAAAAAAAAAAAAAAAAAAAAAAAAAAAAAAAAAAJQAAAAwAAAAAAACAKAAAAAwAAAAFAAAAJQAAAAwAAAABAAAAGAAAAAwAAAAAAAAAEgAAAAwAAAABAAAAHgAAABgAAABOAAAA2AAAAP4CAAAFAQAAJQAAAAwAAAABAAAAVAAAAJwAAABPAAAA2AAAAB0BAAAEAQAAAQAAAAAA9UDHcfRATwAAANgAAAANAAAATAAAAAAAAAAAAAAAAAAAAP//////////aAAAAEQAaQBlAGcAbwAgAEIAYQByAGIAbwB6AGEAAAAWAAAACAAAABEAAAATAAAAEwAAAAkAAAASAAAAEAAAAAsAAAATAAAAEwAAAA4AAAAQAAAASwAAAEAAAAAwAAAABQAAACAAAAABAAAAAQAAABAAAAAAAAAAAAAAAEwDAACAAQAAAAAAAAAAAABMAwAAgAEAACUAAAAMAAAAAgAAACcAAAAYAAAABQAAAAAAAAD///8AAAAAACUAAAAMAAAABQAAAEwAAABkAAAATgAAABABAAD9AgAAPAEAAE4AAAAQAQAAsAIAAC0AAAAhAPAAAAAAAAAAAAAAAIA/AAAAAAAAAAAAAIA/AAAAAAAAAAAAAAAAAAAAAAAAAAAAAAAAAAAAAAAAAAAlAAAADAAAAAAAAIAoAAAADAAAAAUAAAAlAAAADAAAAAEAAAAYAAAADAAAAAAAAAASAAAADAAAAAEAAAAeAAAAGAAAAE4AAAAQAQAA/gIAAD0BAAAlAAAADAAAAAEAAABUAAAArAAAAE8AAAAQAQAAIgEAADwBAAABAAAAAAD1QMdx9EBPAAAAEAEAABAAAABMAAAAAAAAAAAAAAAAAAAA//////////9sAAAARABpAHIAZQBjAHQAbwByACAAVABpAHQAdQBsAGEAcgAWAAAACAAAAAsAAAARAAAADwAAAAsAAAATAAAACwAAAAkAAAARAAAACAAAAAsAAAASAAAACAAAABAAAAALAAAASwAAAEAAAAAwAAAABQAAACAAAAABAAAAAQAAABAAAAAAAAAAAAAAAEwDAACAAQAAAAAAAAAAAABMAwAAgAEAACUAAAAMAAAAAgAAACcAAAAYAAAABQAAAAAAAAD///8AAAAAACUAAAAMAAAABQAAAEwAAABkAAAATgAAAEgBAAD9AgAAdAEAAE4AAABIAQAAsAIAAC0AAAAhAPAAAAAAAAAAAAAAAIA/AAAAAAAAAAAAAIA/AAAAAAAAAAAAAAAAAAAAAAAAAAAAAAAAAAAAAAAAAAAlAAAADAAAAAAAAIAoAAAADAAAAAUAAAAlAAAADAAAAAEAAAAYAAAADAAAAAAAAAASAAAADAAAAAEAAAAWAAAADAAAAAAAAABUAAAARAEAAE8AAABIAQAA/AIAAHQBAAABAAAAAAD1QMdx9EBPAAAASAEAACkAAABMAAAABAAAAE4AAABIAQAA/gIAAHUBAACgAAAARgBpAHIAbQBhAGQAbwAgAHAAbwByADoAIABEAEkARQBHAE8AIABCAEUATgBKAEEATQBJAE4AIABCAEEAUgBCAE8AWgBBACAAQwBMAEEAUgBJAAAAEAAAAAgAAAALAAAAHAAAABAAAAATAAAAEwAAAAkAAAATAAAAEwAAAAsAAAAHAAAACQAAABYAAAAJAAAAEAAAABYAAAAYAAAACQAAABIAAAAQAAAAGAAAAAsAAAAVAAAAHQAAAAkAAAAYAAAACQAAABIAAAAVAAAAEwAAABIAAAAYAAAAEgAAABUAAAAJAAAAFAAAAA8AAAAVAAAAEwAAAAk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+X13RDr4VyqiZ5O7pz6M7MQvrR0gN8XQUiDUQT+4sOs=</DigestValue>
    </Reference>
    <Reference Type="http://www.w3.org/2000/09/xmldsig#Object" URI="#idOfficeObject">
      <DigestMethod Algorithm="http://www.w3.org/2001/04/xmlenc#sha256"/>
      <DigestValue>OGYSU0Rsqt1FUa/KK4hGiJkPaaT/8J4F+JgENJAB6Qw=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JcsC9ABbsG0saAurx2XnMCyeC8NDh87Uwq7hsQPE/q4=</DigestValue>
    </Reference>
    <Reference Type="http://www.w3.org/2000/09/xmldsig#Object" URI="#idValidSigLnImg">
      <DigestMethod Algorithm="http://www.w3.org/2001/04/xmlenc#sha256"/>
      <DigestValue>ZsxUe6f1vyIAHJC5s0qNWxl3lDhKqziOIy47PSMxn+E=</DigestValue>
    </Reference>
    <Reference Type="http://www.w3.org/2000/09/xmldsig#Object" URI="#idInvalidSigLnImg">
      <DigestMethod Algorithm="http://www.w3.org/2001/04/xmlenc#sha256"/>
      <DigestValue>zayDlu8wCQi9pLNykdGQb+qpXIaxufbsBLelvJdQB5s=</DigestValue>
    </Reference>
  </SignedInfo>
  <SignatureValue>gubkGiXUyuXHmXITBStclYQdpakImcu9GhkrhavaEDkB0fmEuRUOsjDPcD8b+ODpA3pt7grg1l8b
tTGUDwlsVZ1zMLEb6aC9gWODx5zJkK4fhNxNOO6bNGnJi2FhkG3+ck41YzfurK1QgnuipfmajMyn
OFfWZyjr+C3nssz/NyNw4EYNjMVjYayDtojfZIePVU9g1bbI2ZT+84Y51hbqTIdE7lQ33Ty3Ihlb
lls/amKxlzRw+sHsgZ1d9nVDEsAmg1Hb7tDGCMByW7luymUXZWohg7KrPkz9WIUbBtLplLgh73vo
9JL6Es+d3E2wawYBxXc5vh2CX8S13pk5kZqEfQ==</SignatureValue>
  <KeyInfo>
    <X509Data>
      <X509Certificate>MIIH9DCCBdygAwIBAgIIUtUs/w76PIAwDQYJKoZIhvcNAQELBQAwWzEXMBUGA1UEBRMOUlVDIDgwMDUwMTcyLTExGjAYBgNVBAMTEUNBLURPQ1VNRU5UQSBTLkEuMRcwFQYDVQQKEw5ET0NVTUVOVEEgUy5BLjELMAkGA1UEBhMCUFkwHhcNMjEwNzEzMTk1MDM4WhcNMjMwNzEzMjAwMDM4WjCBjzELMAkGA1UEBhMCUFkxEDAOBgNVBAQMB1BFUkVJUkExEjAQBgNVBAUTCUNJMTU0Nzk1ODESMBAGA1UEKgwJU0FEWSBTTUlEMRcwFQYDVQQKDA5QRVJTT05BIEZJU0lDQTERMA8GA1UECwwIRklSTUEgRjIxGjAYBgNVBAMMEVNBRFkgU01JRCBQRVJFSVJBMIIBIjANBgkqhkiG9w0BAQEFAAOCAQ8AMIIBCgKCAQEArt41jT0GieWkuyfrfvkSLWbpUv4h6xmCwXZu+NE4qktvu+e+Hbx7hYCeyZsjgD47+ZOYpJer4/57Gp95icMpwFI8WDd31Cg7w4Yu2j+oZSEyKvL5tpa2x0RR3FdnsNu9vu5xziRk6BZ48nb701+Hp6inkVOgF6UPl9RDeddz3mgDRflWG4hfZluMaqfs6uMdMQ6F+nez9VXmf2YX72TUzCSxzI9F1QHHhPozMy8bnOnhQkKrssStO5gpSxwrl9OEaCQDYbNd1IK1T66148LmektBBqiDI099RFLUYXTrlcBuSSqWU7dt1mC+V0/c/AFU8O6jW1fLapXzx2VR5pY2BQIDAQABo4IDhTCCA4EwDAYDVR0TAQH/BAIwADAOBgNVHQ8BAf8EBAMCBeAwKgYDVR0lAQH/BCAwHgYIKwYBBQUHAwEGCCsGAQUFBwMCBggrBgEFBQcDBDAdBgNVHQ4EFgQUVPthvMLN92wA+cWG7NWsBfWynqMwgZcGCCsGAQUFBwEBBIGKMIGHMDoGCCsGAQUFBzABhi5odHRwczovL3d3dy5kb2N1bWVudGEuY29tLnB5L2Zpcm1hZGlnaXRhbC9vc2NwMEkGCCsGAQUFBzAChj1odHRwczovL3d3dy5kb2N1bWVudGEuY29tLnB5L2Zpcm1hZGlnaXRhbC9kZXNjYXJnYXMvY2Fkb2MuY3J0MB8GA1UdIwQYMBaAFEAmrCZcYo/G9QJU5I3BGibW7qWyME8GA1UdHwRIMEYwRKBCoECGPmh0dHBzOi8vd3d3LmRvY3VtZW50YS5jb20ucHkvZmlybWFkaWdpdGFsL2Rlc2Nhcmdhcy9jcmxkb2MuY3JsMCkGA1UdEQQiMCCBHnNhZHkucGVyZWlyYUBpbnBvc2l0aXZhLmNvbS5weTCCAd0GA1UdIASCAdQwggHQMIIBzAYOKwYBBAGC+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FORXPTGtJOmLsZaKmB5CTme0/+xJkT/FfdwugysWEhSs3ePJmJ3RqsSsGbJCLay1uwUDLXTwNFrO23Qtu3+Huc61jrzZkxqdMzzPToBw2QeoxeTsywerWvbIM04MDczr+OPSe5o5VvyQ+kSS3+FY47ecHIMhYkCn8+zUjcT8lJ701cGSH6PcjjKPOs2yqTCADtS19YauiQeUVcoS0YipSBztVteeXYzu0IVMwsWOHmkwDEtKwuDo07XwSUAnaNRK2qpgLfhU+M8kSsUhcwZ3oMdr2gK/qHMhdDqwzzqHbxCXj2+3m7cpMpeauftQp98qAORlqQixSTgw9hnQ36ItxjVg1cvmImDj8q7qsz5PKzG4INCRYb8eJk9XCVAQi24EeaviLr7imIf5NyRO7as7rWT/Jxle/iaeJgdrUj7eoSZAgjxJoOKwPI34jr07NRUoYBgnXNBOb5YpSTY3UGh1CLIrw2vG6t9YYimneJfJdjuoymv56BrmfYMgKGj59aQ5lSVQSJVsfznkSj7fMVCs8dvdpjfGOS18DQOxDQlZNE8aWPIs21ysE0+YnudfXvIG/yDRGDgPLJspyxPqfi2DnfVBAQ5EJ5jC7Fx79DzQiWPeH915B5vpoX4IfxIcEJqQMWMhk+Qs/el5Qwx7D1AgpsBWAvPjPZ7CyJmK2llI47t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41"/>
          </Transform>
          <Transform Algorithm="http://www.w3.org/TR/2001/REC-xml-c14n-20010315"/>
        </Transforms>
        <DigestMethod Algorithm="http://www.w3.org/2001/04/xmlenc#sha256"/>
        <DigestValue>+e0IRe98gH234JTNkR7vvuDEpzHqQnLF+dXoFFrla4k=</DigestValue>
      </Reference>
      <Reference URI="/xl/calcChain.xml?ContentType=application/vnd.openxmlformats-officedocument.spreadsheetml.calcChain+xml">
        <DigestMethod Algorithm="http://www.w3.org/2001/04/xmlenc#sha256"/>
        <DigestValue>YpsIW7B52fvwCOJNHvUO+mE4XpKiRuLiWECwmnb2w8g=</DigestValue>
      </Reference>
      <Reference URI="/xl/comments1.xml?ContentType=application/vnd.openxmlformats-officedocument.spreadsheetml.comments+xml">
        <DigestMethod Algorithm="http://www.w3.org/2001/04/xmlenc#sha256"/>
        <DigestValue>/m8LDlOD6Do6hGBFDaxGdSfLcYshCG2DFqaJ7cMUeuQ=</DigestValue>
      </Reference>
      <Reference URI="/xl/comments2.xml?ContentType=application/vnd.openxmlformats-officedocument.spreadsheetml.comments+xml">
        <DigestMethod Algorithm="http://www.w3.org/2001/04/xmlenc#sha256"/>
        <DigestValue>yaHUjLZEbj0X5/ay1w6As4eX5dbZXZlTB3BgN/S64q0=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J2BAgzEtgHZvJLT6Z8wBZSKIOSgDyh8bTQWrBE/grlI=</DigestValue>
      </Reference>
      <Reference URI="/xl/drawings/drawing1.xml?ContentType=application/vnd.openxmlformats-officedocument.drawing+xml">
        <DigestMethod Algorithm="http://www.w3.org/2001/04/xmlenc#sha256"/>
        <DigestValue>RkKSKi4S4PG9wwHMAfHZv/Nopxcl8XnzD049Fe1kC9Y=</DigestValue>
      </Reference>
      <Reference URI="/xl/drawings/drawing2.xml?ContentType=application/vnd.openxmlformats-officedocument.drawing+xml">
        <DigestMethod Algorithm="http://www.w3.org/2001/04/xmlenc#sha256"/>
        <DigestValue>RZY1v0U1FgN9AzPxFYMKubY8Fjjcm/gFj3um1CzQrNE=</DigestValue>
      </Reference>
      <Reference URI="/xl/drawings/drawing3.xml?ContentType=application/vnd.openxmlformats-officedocument.drawing+xml">
        <DigestMethod Algorithm="http://www.w3.org/2001/04/xmlenc#sha256"/>
        <DigestValue>gn2FGm2GCFnUXykrEQCWpZu5tBZ1/uwNMcfhoA7rKIw=</DigestValue>
      </Reference>
      <Reference URI="/xl/drawings/drawing4.xml?ContentType=application/vnd.openxmlformats-officedocument.drawing+xml">
        <DigestMethod Algorithm="http://www.w3.org/2001/04/xmlenc#sha256"/>
        <DigestValue>G5wo06wszXv9M8bEaB8lJMkp61VUOm5/AXHqFiH8hj0=</DigestValue>
      </Reference>
      <Reference URI="/xl/drawings/drawing5.xml?ContentType=application/vnd.openxmlformats-officedocument.drawing+xml">
        <DigestMethod Algorithm="http://www.w3.org/2001/04/xmlenc#sha256"/>
        <DigestValue>dzRISMGn5S1DaaDSby7/dv/RRiEMLYMMaU/Hy9tsT8A=</DigestValue>
      </Reference>
      <Reference URI="/xl/drawings/drawing6.xml?ContentType=application/vnd.openxmlformats-officedocument.drawing+xml">
        <DigestMethod Algorithm="http://www.w3.org/2001/04/xmlenc#sha256"/>
        <DigestValue>0pAdXJ/H5DAoe41woJvFnwYXBpjLqtxrGPjWWgbBIyw=</DigestValue>
      </Reference>
      <Reference URI="/xl/drawings/drawing7.xml?ContentType=application/vnd.openxmlformats-officedocument.drawing+xml">
        <DigestMethod Algorithm="http://www.w3.org/2001/04/xmlenc#sha256"/>
        <DigestValue>tpxwfJC9jnVdSplu51hIUvo6VMBrb9t6n0kbnKcQ/gw=</DigestValue>
      </Reference>
      <Reference URI="/xl/drawings/drawing8.xml?ContentType=application/vnd.openxmlformats-officedocument.drawing+xml">
        <DigestMethod Algorithm="http://www.w3.org/2001/04/xmlenc#sha256"/>
        <DigestValue>w6QYIl9KxDr0E5uYDk2CdE1u++WMF1pTFMTAjxHN0+4=</DigestValue>
      </Reference>
      <Reference URI="/xl/drawings/drawing9.xml?ContentType=application/vnd.openxmlformats-officedocument.drawing+xml">
        <DigestMethod Algorithm="http://www.w3.org/2001/04/xmlenc#sha256"/>
        <DigestValue>j/MKTC7TeAmCOLfQXcYw5vMJ2Es8ovPriZibiJCygEA=</DigestValue>
      </Reference>
      <Reference URI="/xl/drawings/vmlDrawing1.vml?ContentType=application/vnd.openxmlformats-officedocument.vmlDrawing">
        <DigestMethod Algorithm="http://www.w3.org/2001/04/xmlenc#sha256"/>
        <DigestValue>2n35JMkm3A/74CnpAfxqLPVesMquFT3sLg4FdlcOSAs=</DigestValue>
      </Reference>
      <Reference URI="/xl/drawings/vmlDrawing2.vml?ContentType=application/vnd.openxmlformats-officedocument.vmlDrawing">
        <DigestMethod Algorithm="http://www.w3.org/2001/04/xmlenc#sha256"/>
        <DigestValue>O6XZKiY8qnGu6JXjtCaer3LwzV1TqSloY7Z1tKisYFE=</DigestValue>
      </Reference>
      <Reference URI="/xl/drawings/vmlDrawing3.vml?ContentType=application/vnd.openxmlformats-officedocument.vmlDrawing">
        <DigestMethod Algorithm="http://www.w3.org/2001/04/xmlenc#sha256"/>
        <DigestValue>zB5xp8FD9tKTTGUE57f9mdeieJHYndXppjsI+SnkCqc=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Jy7ocQrK2tsB6LqRMLsg0VXGQF2YE9MwzIU03LUiLvc=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+Ghp6ayukeoiiJxAmsXv6Lu5mWyFxLbo+iKSOYlsS28=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lQ82QnWwbz4cwqWmA0PvUVUEvxx4zrtn0uT8oTImCQY=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QCUd4S2AR5kBEdM2lM/qKg2NIYxhQ+ilG7IzUn+1xxs=</DigestValue>
      </Reference>
      <Reference URI="/xl/externalLinks/_rels/externalLink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UwScaaVvJJr8sVMKke2dTwYL0T0jaSMJuw7X9zicf0M=</DigestValue>
      </Reference>
      <Reference URI="/xl/externalLinks/_rels/externalLink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+sve5e634ul32tVzbk+xVE5TrTRFSvIjrGUYNEd4uAc=</DigestValue>
      </Reference>
      <Reference URI="/xl/externalLinks/_rels/externalLink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KPvaf7CfFw9mOuwWSoBv6EJksvUsMaXwFB/cerx1YSM=</DigestValue>
      </Reference>
      <Reference URI="/xl/externalLinks/_rels/externalLink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b9ar1wqLsDZWYaE90P/sqBwUqGrZDBb2VhANFyqCNN4=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5.xml?ContentType=application/vnd.openxmlformats-officedocument.spreadsheetml.externalLink+xml">
        <DigestMethod Algorithm="http://www.w3.org/2001/04/xmlenc#sha256"/>
        <DigestValue>X86UJCBrlTsQcCsV64tuAnPOX4RQM/PJibK1gJg9PO0=</DigestValue>
      </Reference>
      <Reference URI="/xl/externalLinks/externalLink6.xml?ContentType=application/vnd.openxmlformats-officedocument.spreadsheetml.externalLink+xml">
        <DigestMethod Algorithm="http://www.w3.org/2001/04/xmlenc#sha256"/>
        <DigestValue>OaIQ9gajCN3Zrp3czmOJP1G+LFOczti5bMgF/No3Fxs=</DigestValue>
      </Reference>
      <Reference URI="/xl/externalLinks/externalLink7.xml?ContentType=application/vnd.openxmlformats-officedocument.spreadsheetml.externalLink+xml">
        <DigestMethod Algorithm="http://www.w3.org/2001/04/xmlenc#sha256"/>
        <DigestValue>ClXLdInWniPsDsgs1MVBFziSacQxWzFFepQV8aVDhK8=</DigestValue>
      </Reference>
      <Reference URI="/xl/externalLinks/externalLink8.xml?ContentType=application/vnd.openxmlformats-officedocument.spreadsheetml.externalLink+xml">
        <DigestMethod Algorithm="http://www.w3.org/2001/04/xmlenc#sha256"/>
        <DigestValue>kdMk8sKGiEf3wa337mkzmxvjdEe5U58AtaX/gaGrowI=</DigestValue>
      </Reference>
      <Reference URI="/xl/media/image1.png?ContentType=image/png">
        <DigestMethod Algorithm="http://www.w3.org/2001/04/xmlenc#sha256"/>
        <DigestValue>z002VpVS4JA1It5qSY0cdLXFVqCI4pMstUrsEAa3hT8=</DigestValue>
      </Reference>
      <Reference URI="/xl/media/image2.png?ContentType=image/png">
        <DigestMethod Algorithm="http://www.w3.org/2001/04/xmlenc#sha256"/>
        <DigestValue>TlzBI7e/Ism4kh/8vbQKWFG+u2P2KUExVHsgm6INjj4=</DigestValue>
      </Reference>
      <Reference URI="/xl/media/image3.emf?ContentType=image/x-emf">
        <DigestMethod Algorithm="http://www.w3.org/2001/04/xmlenc#sha256"/>
        <DigestValue>ugLGC9MtxzbATN9LF88VF2sAe18uIC7WvwEGFSSG0hU=</DigestValue>
      </Reference>
      <Reference URI="/xl/media/image4.emf?ContentType=image/x-emf">
        <DigestMethod Algorithm="http://www.w3.org/2001/04/xmlenc#sha256"/>
        <DigestValue>FpuMRMJr31r60IomOwwjIudwJSD7X5ITpUDNtAlXN7Q=</DigestValue>
      </Reference>
      <Reference URI="/xl/media/image5.emf?ContentType=image/x-emf">
        <DigestMethod Algorithm="http://www.w3.org/2001/04/xmlenc#sha256"/>
        <DigestValue>tBfPXcFFrYFIGIkxELHq2NWjrLnwFS2ZH1kZjUq/H2I=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aZDlRffyX5XDzwv2q7PWA0PmoD+iEKKpnI00kl3rUd4=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us64TnVnxW6S3JGyKSPYkF8hRrmqXxu3UhET7UNI3oY=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3auKKYy+1zVh2/o2zFXt0gBsKnXg8b+IwT1iM49e1ek=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eA/Fwsrhp9JJub8a3MIghHzaSlbH+/seBzvdXSGZYco=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7yc4Widd96LfqGpm3vG07LXMLKV2NEBlR0BCf+FHTDM=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sharedStrings.xml?ContentType=application/vnd.openxmlformats-officedocument.spreadsheetml.sharedStrings+xml">
        <DigestMethod Algorithm="http://www.w3.org/2001/04/xmlenc#sha256"/>
        <DigestValue>GE0+es+56w39BUkS6Ld5twCysHza/7V/oKWFYlyxTKU=</DigestValue>
      </Reference>
      <Reference URI="/xl/styles.xml?ContentType=application/vnd.openxmlformats-officedocument.spreadsheetml.styles+xml">
        <DigestMethod Algorithm="http://www.w3.org/2001/04/xmlenc#sha256"/>
        <DigestValue>/ZyH/59lXoKp/Iggx1mhcV9DuUlB6Nhz0kI0zWWnzj8=</DigestValue>
      </Reference>
      <Reference URI="/xl/tables/table1.xml?ContentType=application/vnd.openxmlformats-officedocument.spreadsheetml.table+xml">
        <DigestMethod Algorithm="http://www.w3.org/2001/04/xmlenc#sha256"/>
        <DigestValue>QGGFUJTUSTbce6kkco4jCA6qbgbE/z+SeFRt/paoLM0=</DigestValue>
      </Reference>
      <Reference URI="/xl/tables/table2.xml?ContentType=application/vnd.openxmlformats-officedocument.spreadsheetml.table+xml">
        <DigestMethod Algorithm="http://www.w3.org/2001/04/xmlenc#sha256"/>
        <DigestValue>qpFhfOA0incUKRZfq2j34RRkkIJOiaoBifMgr57PiIk=</DigestValue>
      </Reference>
      <Reference URI="/xl/tables/table3.xml?ContentType=application/vnd.openxmlformats-officedocument.spreadsheetml.table+xml">
        <DigestMethod Algorithm="http://www.w3.org/2001/04/xmlenc#sha256"/>
        <DigestValue>pZcSaxszAx+MwscRO7aV5pay4W7QfTuxogECLbLjCR0=</DigestValue>
      </Reference>
      <Reference URI="/xl/tables/table4.xml?ContentType=application/vnd.openxmlformats-officedocument.spreadsheetml.table+xml">
        <DigestMethod Algorithm="http://www.w3.org/2001/04/xmlenc#sha256"/>
        <DigestValue>Xr7VCPTEWd2X4SZuNd63bznfkB8NsCIPbSbs89y0qRo=</DigestValue>
      </Reference>
      <Reference URI="/xl/theme/theme1.xml?ContentType=application/vnd.openxmlformats-officedocument.theme+xml">
        <DigestMethod Algorithm="http://www.w3.org/2001/04/xmlenc#sha256"/>
        <DigestValue>HpkhkEH/NfxYYunqn8gDSSXwsogmnmNBn70U95mIPRU=</DigestValue>
      </Reference>
      <Reference URI="/xl/workbook.xml?ContentType=application/vnd.openxmlformats-officedocument.spreadsheetml.sheet.main+xml">
        <DigestMethod Algorithm="http://www.w3.org/2001/04/xmlenc#sha256"/>
        <DigestValue>OC8YkSAI0JSPFRO+S/nY+dSruomYyYr+OcR8WWQqID8=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myxn58YE54apK38+keIy8FKHypQE5tQeku10vbGEOaI=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aicZpxLIl2/3f4J4U+2LKTUY5B1Q6JRCJwRGjkl/CJU=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UzfVJS9QGl1+s6vSNXtv/31FjiVQFBt1WWF+rQ5NEeg=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v6ZR+j1fFuNhPdOuKCFGVSq7SvzvtF1XjdATb4W++CQ=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nUVdzvshlLUgRaM7X4sHX/9tln+OftfDhfnaA+Y9Nzk=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tnuHqQYJoYrMKwqfxAt4GYCSfZ37aqTLEPx5w3S0Lp4=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4s9qknDynYPr1xuzc4NY1dbPuCxhKyhwp+fAHZRIQIQ=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aNSy593Et2UK8oA6WHGONS53DInpYWmo3LI9HSF3xe0=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7jrEoPWIZjori3e+3CKNKgrzlCOuPXF/kWJA5txchnk=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KSvMPc92CI6mP9VIkVIJwBFyvcMBNsRDtriEism+/Bg=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lvLBtWALA0rZogtnOvxeDmgN4PGqgx6eST/Vp85V05Y=</DigestValue>
      </Reference>
      <Reference URI="/xl/worksheets/sheet1.xml?ContentType=application/vnd.openxmlformats-officedocument.spreadsheetml.worksheet+xml">
        <DigestMethod Algorithm="http://www.w3.org/2001/04/xmlenc#sha256"/>
        <DigestValue>2WxJY+YV2HUKOkAEGYcScC6Irje/lesi0VT5YcnbXIM=</DigestValue>
      </Reference>
      <Reference URI="/xl/worksheets/sheet10.xml?ContentType=application/vnd.openxmlformats-officedocument.spreadsheetml.worksheet+xml">
        <DigestMethod Algorithm="http://www.w3.org/2001/04/xmlenc#sha256"/>
        <DigestValue>XjYoQJd4VVMLU4EOC3A3BYgNAqWAo3zUoZ2Gj0QVLxg=</DigestValue>
      </Reference>
      <Reference URI="/xl/worksheets/sheet11.xml?ContentType=application/vnd.openxmlformats-officedocument.spreadsheetml.worksheet+xml">
        <DigestMethod Algorithm="http://www.w3.org/2001/04/xmlenc#sha256"/>
        <DigestValue>dd1Uc/xtnXfuNFs0Z54FK9qQ7pPoKULdTzxP24c2nCo=</DigestValue>
      </Reference>
      <Reference URI="/xl/worksheets/sheet12.xml?ContentType=application/vnd.openxmlformats-officedocument.spreadsheetml.worksheet+xml">
        <DigestMethod Algorithm="http://www.w3.org/2001/04/xmlenc#sha256"/>
        <DigestValue>2TqNNSU7ZkrVqGYGKBsBSUsELJj3ilnBPQd9RfgFDMg=</DigestValue>
      </Reference>
      <Reference URI="/xl/worksheets/sheet13.xml?ContentType=application/vnd.openxmlformats-officedocument.spreadsheetml.worksheet+xml">
        <DigestMethod Algorithm="http://www.w3.org/2001/04/xmlenc#sha256"/>
        <DigestValue>T1YWbuIonXHUC6nWBDct31g0TGX4uhS2d1Ho4RO8U+0=</DigestValue>
      </Reference>
      <Reference URI="/xl/worksheets/sheet14.xml?ContentType=application/vnd.openxmlformats-officedocument.spreadsheetml.worksheet+xml">
        <DigestMethod Algorithm="http://www.w3.org/2001/04/xmlenc#sha256"/>
        <DigestValue>DapNCt8DQ040xPvvpFHbk2ANnjStFCDujGsHU/N6DaY=</DigestValue>
      </Reference>
      <Reference URI="/xl/worksheets/sheet15.xml?ContentType=application/vnd.openxmlformats-officedocument.spreadsheetml.worksheet+xml">
        <DigestMethod Algorithm="http://www.w3.org/2001/04/xmlenc#sha256"/>
        <DigestValue>95ni5vLP3uU8kjp12WmuQBbcyZiZVzap9zmAizmbbEM=</DigestValue>
      </Reference>
      <Reference URI="/xl/worksheets/sheet16.xml?ContentType=application/vnd.openxmlformats-officedocument.spreadsheetml.worksheet+xml">
        <DigestMethod Algorithm="http://www.w3.org/2001/04/xmlenc#sha256"/>
        <DigestValue>npIiWqNqwKq1MmgM0MF7jdq7Cecf6iyMbqAT9Af1JbM=</DigestValue>
      </Reference>
      <Reference URI="/xl/worksheets/sheet17.xml?ContentType=application/vnd.openxmlformats-officedocument.spreadsheetml.worksheet+xml">
        <DigestMethod Algorithm="http://www.w3.org/2001/04/xmlenc#sha256"/>
        <DigestValue>Y+3LonmSOz6y8no0GxgM/T6JAzqdBZT/+Fq9GU7w05c=</DigestValue>
      </Reference>
      <Reference URI="/xl/worksheets/sheet18.xml?ContentType=application/vnd.openxmlformats-officedocument.spreadsheetml.worksheet+xml">
        <DigestMethod Algorithm="http://www.w3.org/2001/04/xmlenc#sha256"/>
        <DigestValue>lzfofG2Sk0Bbidl3SQIF+r/znW7n2pc9hsqQdh+h/VY=</DigestValue>
      </Reference>
      <Reference URI="/xl/worksheets/sheet19.xml?ContentType=application/vnd.openxmlformats-officedocument.spreadsheetml.worksheet+xml">
        <DigestMethod Algorithm="http://www.w3.org/2001/04/xmlenc#sha256"/>
        <DigestValue>Utq2rMfdJoqO5j8UxQzcsbPpRyeZxIM5akgQbdflspI=</DigestValue>
      </Reference>
      <Reference URI="/xl/worksheets/sheet2.xml?ContentType=application/vnd.openxmlformats-officedocument.spreadsheetml.worksheet+xml">
        <DigestMethod Algorithm="http://www.w3.org/2001/04/xmlenc#sha256"/>
        <DigestValue>rWVmbEqfZ0c+118Q87XAn1RisOsGfPArsYB7utUf1Bo=</DigestValue>
      </Reference>
      <Reference URI="/xl/worksheets/sheet20.xml?ContentType=application/vnd.openxmlformats-officedocument.spreadsheetml.worksheet+xml">
        <DigestMethod Algorithm="http://www.w3.org/2001/04/xmlenc#sha256"/>
        <DigestValue>AuWKo3jlr4UXAEt33VSVmW9mBNqnESVp5QoZcmLC2a0=</DigestValue>
      </Reference>
      <Reference URI="/xl/worksheets/sheet21.xml?ContentType=application/vnd.openxmlformats-officedocument.spreadsheetml.worksheet+xml">
        <DigestMethod Algorithm="http://www.w3.org/2001/04/xmlenc#sha256"/>
        <DigestValue>FsJz78Z4f0+0dleXA464Vw667bbIgNaetER2l6lAMiY=</DigestValue>
      </Reference>
      <Reference URI="/xl/worksheets/sheet22.xml?ContentType=application/vnd.openxmlformats-officedocument.spreadsheetml.worksheet+xml">
        <DigestMethod Algorithm="http://www.w3.org/2001/04/xmlenc#sha256"/>
        <DigestValue>GPGynINJBsF/icF0Pp+MLse05yc7QkGdvfcxoYnWZlg=</DigestValue>
      </Reference>
      <Reference URI="/xl/worksheets/sheet23.xml?ContentType=application/vnd.openxmlformats-officedocument.spreadsheetml.worksheet+xml">
        <DigestMethod Algorithm="http://www.w3.org/2001/04/xmlenc#sha256"/>
        <DigestValue>2UjCtHVzjaiEW1zM0u3ENhxjlc6KLIUqM7fOb9fd4lk=</DigestValue>
      </Reference>
      <Reference URI="/xl/worksheets/sheet24.xml?ContentType=application/vnd.openxmlformats-officedocument.spreadsheetml.worksheet+xml">
        <DigestMethod Algorithm="http://www.w3.org/2001/04/xmlenc#sha256"/>
        <DigestValue>pmU428M/P8r14OGWLFthwdYXPzriJ7SJ7ttI7xdlXs0=</DigestValue>
      </Reference>
      <Reference URI="/xl/worksheets/sheet25.xml?ContentType=application/vnd.openxmlformats-officedocument.spreadsheetml.worksheet+xml">
        <DigestMethod Algorithm="http://www.w3.org/2001/04/xmlenc#sha256"/>
        <DigestValue>Lad9hl39tb1NUNuXkOIdDLGWEYAGBTBwjmGMmPQOd8M=</DigestValue>
      </Reference>
      <Reference URI="/xl/worksheets/sheet26.xml?ContentType=application/vnd.openxmlformats-officedocument.spreadsheetml.worksheet+xml">
        <DigestMethod Algorithm="http://www.w3.org/2001/04/xmlenc#sha256"/>
        <DigestValue>ZxfDscaeEOMy5UwgzCTH9KsiUqp5UPvIoZhz8Ydb3xk=</DigestValue>
      </Reference>
      <Reference URI="/xl/worksheets/sheet27.xml?ContentType=application/vnd.openxmlformats-officedocument.spreadsheetml.worksheet+xml">
        <DigestMethod Algorithm="http://www.w3.org/2001/04/xmlenc#sha256"/>
        <DigestValue>vqKNkdu6YER3a5bP8vobFYDqlc/HnX+GiQVIrqKoeSo=</DigestValue>
      </Reference>
      <Reference URI="/xl/worksheets/sheet28.xml?ContentType=application/vnd.openxmlformats-officedocument.spreadsheetml.worksheet+xml">
        <DigestMethod Algorithm="http://www.w3.org/2001/04/xmlenc#sha256"/>
        <DigestValue>RpHROlCpteVqCCw6KBCZB/vjYdFPK62XnnfVc+dKmMY=</DigestValue>
      </Reference>
      <Reference URI="/xl/worksheets/sheet29.xml?ContentType=application/vnd.openxmlformats-officedocument.spreadsheetml.worksheet+xml">
        <DigestMethod Algorithm="http://www.w3.org/2001/04/xmlenc#sha256"/>
        <DigestValue>O8mp9Ba0mlWhZ4tL+uM14Qt2R6R3R0Ewy23Y/BJ15hk=</DigestValue>
      </Reference>
      <Reference URI="/xl/worksheets/sheet3.xml?ContentType=application/vnd.openxmlformats-officedocument.spreadsheetml.worksheet+xml">
        <DigestMethod Algorithm="http://www.w3.org/2001/04/xmlenc#sha256"/>
        <DigestValue>0AsgUpbdLVD/3bmsVRh+UThuDv5PJanrwRAW2euTHyk=</DigestValue>
      </Reference>
      <Reference URI="/xl/worksheets/sheet30.xml?ContentType=application/vnd.openxmlformats-officedocument.spreadsheetml.worksheet+xml">
        <DigestMethod Algorithm="http://www.w3.org/2001/04/xmlenc#sha256"/>
        <DigestValue>K5YKdPWHre/a70b4WVxbcAazGZYCz6/Y7WlBIcpYBZQ=</DigestValue>
      </Reference>
      <Reference URI="/xl/worksheets/sheet4.xml?ContentType=application/vnd.openxmlformats-officedocument.spreadsheetml.worksheet+xml">
        <DigestMethod Algorithm="http://www.w3.org/2001/04/xmlenc#sha256"/>
        <DigestValue>WU4EqHJUD+Dk12XyvFuv5/LnNnrnkkfHPH0g+aXs0co=</DigestValue>
      </Reference>
      <Reference URI="/xl/worksheets/sheet5.xml?ContentType=application/vnd.openxmlformats-officedocument.spreadsheetml.worksheet+xml">
        <DigestMethod Algorithm="http://www.w3.org/2001/04/xmlenc#sha256"/>
        <DigestValue>PKYzjraf5nxfG8u0P34G4D32Bzs2dPRylNZQGIndhOE=</DigestValue>
      </Reference>
      <Reference URI="/xl/worksheets/sheet6.xml?ContentType=application/vnd.openxmlformats-officedocument.spreadsheetml.worksheet+xml">
        <DigestMethod Algorithm="http://www.w3.org/2001/04/xmlenc#sha256"/>
        <DigestValue>LbtqTtm/9KYS0VpqaDX9FQIdhiJxMu2/+BUpHUL154k=</DigestValue>
      </Reference>
      <Reference URI="/xl/worksheets/sheet7.xml?ContentType=application/vnd.openxmlformats-officedocument.spreadsheetml.worksheet+xml">
        <DigestMethod Algorithm="http://www.w3.org/2001/04/xmlenc#sha256"/>
        <DigestValue>s7Lajl94RTTUv3gh/7b9+cx1UJ0QDRfvCmjfJ+IaurA=</DigestValue>
      </Reference>
      <Reference URI="/xl/worksheets/sheet8.xml?ContentType=application/vnd.openxmlformats-officedocument.spreadsheetml.worksheet+xml">
        <DigestMethod Algorithm="http://www.w3.org/2001/04/xmlenc#sha256"/>
        <DigestValue>r6WMAxN2mjQz9kUS4h53+uRUBVhDy3RTkUPSrlHuuY8=</DigestValue>
      </Reference>
      <Reference URI="/xl/worksheets/sheet9.xml?ContentType=application/vnd.openxmlformats-officedocument.spreadsheetml.worksheet+xml">
        <DigestMethod Algorithm="http://www.w3.org/2001/04/xmlenc#sha256"/>
        <DigestValue>NIzA14cKB5PQewCCRFHV7zfj0e6ZiKWWi0d8opX8FHI=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2022-08-25T20:43:43Z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{6BACF563-08FD-44F5-AD47-1E12C17925DA}</SetupID>
          <SignatureText>SSP</SignatureText>
          <SignatureImage/>
          <SignatureComments/>
          <WindowsVersion>10.0</WindowsVersion>
          <OfficeVersion>16.0.15427/23</OfficeVersion>
          <ApplicationVersion>16.0.15427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2022-08-25T20:43:43Z</xd:SigningTime>
          <xd:SigningCertificate>
            <xd:Cert>
              <xd:CertDigest>
                <DigestMethod Algorithm="http://www.w3.org/2001/04/xmlenc#sha256"/>
                <DigestValue>RR82xaApwsdPRi5aWWFB1dGt18jdore6L+DwQwFIPoU=</DigestValue>
              </xd:CertDigest>
              <xd:IssuerSerial>
                <X509IssuerName>C=PY, O=DOCUMENTA S.A., CN=CA-DOCUMENTA S.A., SERIALNUMBER=RUC 80050172-1</X509IssuerName>
                <X509SerialNumber>5968726355129023616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qTCCBZGgAwIBAgIQWC+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/hk+D/VTF+X5H6btEEiBu1KNEf35B5e2pyeOAOBsduFcJAgh3tjNAQGcY057ad1eCdBf6pbXv8Mhio0jlcGSvlmF+OVTTYvTUwF2HbgHDqOiQDJpnDzMhVXmNKfKH7W62QYKp0fKB8F8li1ChNt30za2bqzeTntqq3kCXHlhbjHlLMHqV76MgsEeHuSJMtxOBbQatlxyJRmcEfUyF/hu8A8q3caWLFOzfsJbTfpAxkxo3/ewkRVF/SAj70/3VBrw+IY/9TTTeS2oYrWkurC3tT5KTmwr1mMKIBprkVRVqzWuh+4HyPmgF/u4kqI6A8xiA1mdsk+hCP5zICkEv+qwjP9mK4pq1gTvjvuQ6sbu2+qBaUi5nTr/L81Y5vSvLOR0Hod7GmCx9p7JWMzEVAGmh28F0ZqPt5Ry37w4DLdtrBJPzdyso36OZseNaXM3puukBisbv2vyt2ydUvuLwEbl2oYDKcvfifCLauqlgwCv5BKFuxBDL/KKaxnJZBYKbEtgY9ztwYEY8xyAbyQqH/JAB88VW04vw7GVkdUPu7mw1udKafyJXRrqlsrAbCTWdtwYuXJPj3mi/x3z6+Fg1+kx9izYU/5+DtGLhk3YN0eIObqtjUjBhqT+u1rJ3iZtalwRtDBhEb5ehrQIDAQABo4ICUzCCAk8wEgYDVR0TAQH/BAgwBgEB/wIBADAOBgNVHQ8BAf8EBAMCAQYwHQYDVR0OBBYEFEAmrCZcYo/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+wo/po7oT9Qq40OltXGGgBIA3i4NGFQ5UBsWU3tI+O3jNkBi/9k/BkYHVT9UxWNHUxoZw+QJsAKl5f8wQksVH18Scq5Z+RUSBQ7v1hvvH1m2P7FXcB0nf+nwDVoDyGv57EmhKofwQibUzKajDts6JrsXyugQhVbLynSCw4qPMJLpImpL21LxxVMcryQMYymYUAr3DrMLOUuXxKLXCSOf8oP/PSmBvKldr2xeGJ5kowMxq0Af8mn7+pnm3yi0Ons5plFugKv3eSAmBY3zBS5NGPt9FFY/9FeNbCNXLEIRhaCx3T/6lSfIJZU5fCfLUY3y0hkSwuoK1gf/hHFyqyN/PrJ8E9PbyEzpMYwc51K+PhRRMcrJaD9txveHz8XjDrjjoISL+ZV54LMzUi5sF++nG79TLxDaC4vBtg6I8mOooFqzbsYgM3R4SaElTQIv6dSEZX1wKJXh25RbldqePe4Alnwe3vU97ZrTEpKPQkRM4lPJVElOicbYR1Wx5xrvyFucagF6IVeP4IZLJt1L4rbiSzPq027Q8jECgeJeRQWVKS8nQ8KyMfA0tgAuL3Vtub5pSbMI3xqtQwdJtOgwFj2iVp1BQv3XegF6OySbw/sk46AGWOTwb6vwUPq5TfnuNzO92keBxGg+aWylEC25zYFPYpAq384g5lmVaV53zmp1f</xd:EncapsulatedX509Certificate>
            <xd:EncapsulatedX509Certificate>MIIF+TCCA+GgAwIBAgIQDCG0OEbFG/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/cm6CSmT+jjZqFSsUDVF/dhuVxBS93gNy7t8XCJBugnJ6t+HUiVeziPNNVoVn9tOhVFxeJrOlfJxmvl9TTax0QbTwJUmw3AiPNNd1rdJL1gsQCKV0h4f+5djd/ZbnOV8B9VYtXpU/E6csQHEkYodpkKUQswcftFPjcyhPDub8DoZfx1oBno0MJ0RhqDB6IxO5PHP5vbIggEDtezYneIyJsJyuC/KqeaJO30275dqN4rDZ8smOIOII/9L/z3agbfkiuc9vKgXi9N7UXm0Vcb/tjvBiey9U7cahNA+W5x+mcwC2bnkGLMVVMCrW9JbYvFCjyrg306IjoKQcVMoHcuxrYSME7ILqzglWgws26G45/khG2f9IpS6EDTqt5uaKU9ogocmmUMtHfGqDRvp1yOKRs9jPuYcju6hJlkD9c8McKxkr9NMBR0q/SswzRwNm8KhoPubjzCj0nYx6N2fnLBy6PhCpsmyf+z0LbT36voKNTSDKYYt03Ih2qL2uM0PeaSim5bsw+kwDcIPTX1CS/OxIBgLUHlxAs28VIVKA/OE/m9eHcn6N3lYOt3vEWkHr/wJqhk2JPw0G5apqj4nM74qX4YIONx/lGQSf47elkliPsGftfp4KsHB+9o1bNrRCTfk6EpELx23RPwArCiA1dyjQofa4YW9yqGraAHp5bAgMBAAGjgZAwgY0wDwYDVR0TAQH/BAUwAwEB/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/e9OvgiJE3Hin++Gd2+j0gzIrKZ1xEO7KdvRPrOj9D7xl63oK+VFX6d/FvUISJdPvsRjsvwbEm71FYe7Y5bDRLV1Zsti4pSOJMGl1ZgkCKgLEBfTQpnGuOzRlD30ddt4aCQnj/nSSJBsKHJ5MDed5f09ufzS5g6gRudIeoa6kV0vA2KI+28Fafz1F/TRuE451nhb3M2vRBmcFj/nEZYt7adecYY98gXefxmwosPwOeKZq2EjGL7/Si3l2sOiOazOprbV4XJfeVajBZY7o39U5SoPSMNqrPVeZfELwRqgX/LCUPqFEePTYrHaOdu3A7AoJb7q1rj9SEtB10hfIsg+BKF7ukFcqkoeys9ug5X16A1//LmaNuku471ePVUzKw30WGTawFzOgxc1CsKqyVHxeGfmRdoqDwGl37S16NJSSPU9rloIe77LqiQR7NZfFW/9cWnsPLHS3pCWJEYNbc4UL8pIOOBKt1edM6wK+Wkd8J+/1EBu+LFCdjEgW07kZqe300S6TQYFxgD6KOCSM6ou33kR4rVF20lSWwwhDSf/DLn8e</xd:EncapsulatedX509Certificate>
          </xd:CertificateValues>
        </xd:UnsignedSignatureProperties>
      </xd:UnsignedProperties>
    </xd:QualifyingProperties>
  </Object>
  <Object Id="idValidSigLnImg">AQAAAGwAAAAAAAAAAAAAAP8AAAB/AAAAAAAAAAAAAAAjGwAAkQ0AACBFTUYAAAEAIBsAAKoAAAAG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VRXZQXsJ2UHEAAAABAAAAAkAAABMAAAAAAAAAAAAAAAAAAAA//////////9gAAAAMgA1AC8AOAAvADIAMAAyADIAAAAGAAAABgAAAAQ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FdlBewnZ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EUAAABHAAAAKQAAADMAAAAdAAAAFQAAACEA8AAAAAAAAAAAAAAAgD8AAAAAAAAAAAAAgD8AAAAAAAAAAAAAAAAAAAAAAAAAAAAAAAAAAAAAAAAAACUAAAAMAAAAAAAAgCgAAAAMAAAABAAAAFIAAABwAQAABAAAAP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EYAAABIAAAAJQAAAAwAAAAEAAAAVAAAAGAAAAAqAAAAMwAAAEQAAABHAAAAAQAAAFUV2UF7CdlBKgAAADMAAAADAAAATAAAAAAAAAAAAAAAAAAAAP//////////VAAAAFMAUwBQAAAACQAAAAkAAAAJ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LQAAAAKAAAAUAAAAFoAAABcAAAAAQAAAFUV2UF7CdlBCgAAAFAAAAARAAAATAAAAAAAAAAAAAAAAAAAAP//////////cAAAAEwAaQBjAC4AIABTAGEAZAB5ACAAUABlAHIAZQBpAHIAYQAAAAUAAAADAAAABQAAAAMAAAADAAAABgAAAAYAAAAHAAAABQAAAAMAAAAGAAAABgAAAAQAAAAGAAAAAwAAAAQ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fAAAAAoAAABgAAAAOgAAAGwAAAABAAAAVRXZQXsJ2UEKAAAAYAAAAAgAAABMAAAAAAAAAAAAAAAAAAAA//////////9cAAAAQwBvAG4AdABhAGQAbwByAAcAAAAHAAAABwAAAAQAAAAGAAAABwAAAAcAAAAEAAAASwAAAEAAAAAwAAAABQAAACAAAAABAAAAAQAAABAAAAAAAAAAAAAAAAABAACAAAAAAAAAAAAAAAAAAQAAgAAAACUAAAAMAAAAAgAAACcAAAAYAAAABQAAAAAAAAD///8AAAAAACUAAAAMAAAABQAAAEwAAABkAAAACQAAAHAAAAC0AAAAfAAAAAkAAABwAAAArAAAAA0AAAAhAPAAAAAAAAAAAAAAAIA/AAAAAAAAAAAAAIA/AAAAAAAAAAAAAAAAAAAAAAAAAAAAAAAAAAAAAAAAAAAlAAAADAAAAAAAAIAoAAAADAAAAAUAAAAlAAAADAAAAAEAAAAYAAAADAAAAAAAAAASAAAADAAAAAEAAAAWAAAADAAAAAAAAABUAAAAAAEAAAoAAABwAAAAswAAAHwAAAABAAAAVRXZQXsJ2UEKAAAAcAAAAB4AAABMAAAABAAAAAkAAABwAAAAtQAAAH0AAACIAAAARgBpAHIAbQBhAGQAbwAgAHAAbwByADoAIABTAEEARABZACAAUwBNAEkARAAgAFAARQBSAEUASQBSAEEABgAAAAMAAAAEAAAACQAAAAYAAAAHAAAABwAAAAMAAAAHAAAABwAAAAQAAAADAAAAAwAAAAYAAAAHAAAACAAAAAUAAAADAAAABgAAAAoAAAADAAAACAAAAAMAAAAGAAAABgAAAAcAAAAGAAAAAwAAAAcAAAAHAAAAFgAAAAwAAAAAAAAAJQAAAAwAAAACAAAADgAAABQAAAAAAAAAEAAAABQAAAA=</Object>
  <Object Id="idInvalidSigLnImg">AQAAAGwAAAAAAAAAAAAAAP8AAAB/AAAAAAAAAAAAAAAjGwAAkQ0AACBFTUYAAAEAkCAAALEAAAAG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RXZQXsJ2UEjAAAABAAAAA8AAABMAAAAAAAAAAAAAAAAAAAA//////////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FdlBewnZ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EUAAABHAAAAKQAAADMAAAAdAAAAFQAAACEA8AAAAAAAAAAAAAAAgD8AAAAAAAAAAAAAgD8AAAAAAAAAAAAAAAAAAAAAAAAAAAAAAAAAAAAAAAAAACUAAAAMAAAAAAAAgCgAAAAMAAAABAAAAFIAAABwAQAABAAAAPD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EYAAABIAAAAJQAAAAwAAAAEAAAAVAAAAGAAAAAqAAAAMwAAAEQAAABHAAAAAQAAAFUV2UF7CdlBKgAAADMAAAADAAAATAAAAAAAAAAAAAAAAAAAAP//////////VAAAAFMAUwBQAAAACQAAAAkAAAAJAAAASwAAAEAAAAAwAAAABQAAACAAAAABAAAAAQAAABAAAAAAAAAAAAAAAAABAACAAAAAAAAAAAAAAAAAAQAAgAAAACUAAAAMAAAAAgAAACcAAAAYAAAABQAAAAAAAAD///8AAAAAACUAAAAMAAAABQAAAEwAAABkAAAAAAAAAFAAAAD/AAAAfAAAAAAAAABQAAAAAAEAAC0AAAAhAPAAAAAAAAAAAAAAAIA/AAAAAAAAAAAAAIA/AAAAAAAAAAAAAAAAAAAAAAAAAAAAAAAAAAAAAAAAAAAlAAAADAAAAAAAAIAoAAAADAAAAAUAAAAnAAAAGAAAAAUAAAAAAAAA////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LQAAAAKAAAAUAAAAFoAAABcAAAAAQAAAFUV2UF7CdlBCgAAAFAAAAARAAAATAAAAAAAAAAAAAAAAAAAAP//////////cAAAAEwAaQBjAC4AIABTAGEAZAB5ACAAUABlAHIAZQBpAHIAYQAAAAUAAAADAAAABQAAAAMAAAADAAAABgAAAAYAAAAHAAAABQAAAAMAAAAGAAAABgAAAAQAAAAGAAAAAwAAAAQ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ASAAAADAAAAAEAAAAeAAAAGAAAAAkAAABgAAAA9wAAAG0AAAAlAAAADAAAAAEAAABUAAAAfAAAAAoAAABgAAAAOgAAAGwAAAABAAAAVRXZQXsJ2UEKAAAAYAAAAAgAAABMAAAAAAAAAAAAAAAAAAAA//////////9cAAAAQwBvAG4AdABhAGQAbwByAAcAAAAHAAAABwAAAAQAAAAGAAAABwAAAAcAAAAEAAAASwAAAEAAAAAwAAAABQAAACAAAAABAAAAAQAAABAAAAAAAAAAAAAAAAABAACAAAAAAAAAAAAAAAAAAQAAgAAAACUAAAAMAAAAAgAAACcAAAAYAAAABQAAAAAAAAD///8AAAAAACUAAAAMAAAABQAAAEwAAABkAAAACQAAAHAAAAC0AAAAfAAAAAkAAABwAAAArAAAAA0AAAAhAPAAAAAAAAAAAAAAAIA/AAAAAAAAAAAAAIA/AAAAAAAAAAAAAAAAAAAAAAAAAAAAAAAAAAAAAAAAAAAlAAAADAAAAAAAAIAoAAAADAAAAAUAAAAlAAAADAAAAAEAAAAYAAAADAAAAAAAAAASAAAADAAAAAEAAAAWAAAADAAAAAAAAABUAAAAAAEAAAoAAABwAAAAswAAAHwAAAABAAAAVRXZQXsJ2UEKAAAAcAAAAB4AAABMAAAABAAAAAkAAABwAAAAtQAAAH0AAACIAAAARgBpAHIAbQBhAGQAbwAgAHAAbwByADoAIABTAEEARABZACAAUwBNAEkARAAgAFAARQBSAEUASQBSAEEABgAAAAMAAAAEAAAACQAAAAYAAAAHAAAABwAAAAMAAAAHAAAABwAAAAQAAAADAAAAAwAAAAYAAAAHAAAACAAAAAUAAAADAAAABgAAAAoAAAADAAAACAAAAAMAAAAGAAAABgAAAAcAAAAGAAAAAwAAAAcAAAAH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g7+zYAKuOQbctky3h5O2vvMu14ysc0IxIOwMp59ZaXM=</DigestValue>
    </Reference>
    <Reference Type="http://www.w3.org/2000/09/xmldsig#Object" URI="#idOfficeObject">
      <DigestMethod Algorithm="http://www.w3.org/2001/04/xmlenc#sha256"/>
      <DigestValue>OQmodxjml0C93lIoZMAxK+QgvCWcuKBDhjlUY+D+3aQ=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UV/nOc0uvhfHLXzyqySPrrsi3UTl2G58Aa9LfzmoX8o=</DigestValue>
    </Reference>
    <Reference Type="http://www.w3.org/2000/09/xmldsig#Object" URI="#idValidSigLnImg">
      <DigestMethod Algorithm="http://www.w3.org/2001/04/xmlenc#sha256"/>
      <DigestValue>nfJYNQaJ4bGxuQVk8SaH0rh21gRFCuV6uwCxdANres8=</DigestValue>
    </Reference>
    <Reference Type="http://www.w3.org/2000/09/xmldsig#Object" URI="#idInvalidSigLnImg">
      <DigestMethod Algorithm="http://www.w3.org/2001/04/xmlenc#sha256"/>
      <DigestValue>mH1odnqhOAig5NVp19jbg8l1vNb/ONiZu2PL5EVruqo=</DigestValue>
    </Reference>
  </SignedInfo>
  <SignatureValue>UXgwLpVB3V1lm21FM/gL8zKQUcN/O/6wXkOzuqUYOdTmOzHgSTEKTp/UnpXkLQFgdFo2J4YNbD/Z
gMf3DFa+WpUJE9x8P6YzZ5G3Xq/Ev65K6/lb00EHeCCgVwtnwiIw/TxX1t323CwRh8jv13QhECno
GVv3bO30bzSboW79wm9yA80YdkE6kw2Y3qe6yuTXsdg4tXxMLAebnDeWmaGjAp1CGB9AZXOp92rO
D1qgCLSGu7O4wqe/JEr1nyZ7Jj+/HirBq2iqaWpzfPJYh2YYefj1tw2n6uaFf7yaAaTxD3HpqyJf
e8K1Sh525e8arER8g7IoGobeKnWeJ0Ip8rcmPQ==</SignatureValue>
  <KeyInfo>
    <X509Data>
      <X509Certificate>MIIHzTCCBbWgAwIBAgIQfEMhozLHowBgzPQEWEuj/zANBgkqhkiG9w0BAQsFADBPMRcwFQYDVQQFEw5SVUMgODAwODAwOTktMDELMAkGA1UEBhMCUFkxETAPBgNVBAoMCFZJVCBTLkEuMRQwEgYDVQQDEwtDQS1WSVQgUy5BLjAeFw0yMTA2MTgxOTI5MDhaFw0yMzA2MTgxOTI5MDhaMIGnMRkwFwYDVQQqDBBHSVVTRVBQRSBBTlRPTklPMRUwEwYDVQQEDAxTQVVSSU5JIEJVRVkxEjAQBgNVBAUTCUNJMjQ3MDkyNjEmMCQGA1UEAwwdR0lVU0VQUEUgQU5UT05JTyBTQVVSSU5JIEJVRVkxETAPBgNVBAsMCEZJUk1BIEYyMRcwFQYDVQQKDA5QRVJTT05BIEZJU0lDQTELMAkGA1UEBhMCUFkwggEiMA0GCSqGSIb3DQEBAQUAA4IBDwAwggEKAoIBAQDchODOyt8TxdOX7Rz6uc2O1q3MhLs2DnR12R6GgjGCx3UVGrMWmeTFW9SS2mB+QM/tPahI0asqKyW/yLzh/MRgo7nzsUlPTrBo1wsYbnGvdrCaRzVJ9k1Rw2Q4eFgUd3Xc8JBoehSHQ5I+e3dkVlfMSo8ZXAAPgI7I5bJaIShQNGnFOoZHg87UmXyfPB6jskq6m01f5wpXI75E9flCasHzucLbwcbNj2Bm895Ap0wbj1sYepmWPbsK5e6S3gxlrSexQs9LYrfqAeKYvSs/NkZJQVSP8GP5bE0chk6hl2voiPlVru4wktSeUEzI60x1XeVpFfe1zFwUrZBcVpBuGi5VAgMBAAGjggNKMIIDRjAMBgNVHRMBAf8EAjAAMA4GA1UdDwEB/wQEAwIF4DAsBgNVHSUBAf8EIjAgBggrBgEFBQcDBAYIKwYBBQUHAwIGCisGAQQBgjcUAgIwHQYDVR0OBBYEFMc0Kwv0B8IDAp0ihKo5vSzlNbHoMB8GA1UdIwQYMBaAFANjfJ9tWnKlU5G02+yR+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IAYDVR0RBBkwF4EVR19TQVVSSU5JQEhPVE1BSUw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DoASHfea9YKhgG7TUncZTNYWJbYOhQx0mXnbGAy8mg8l3HGOLFaKLJ6bU22k1JLAkpDSSf5PwYNYY9WmMpDMQun0hd1v7Rk7S7LhxSkPg4zey8kbeL3CS9ZS7x4h5c9xaBKA2rQlydD/NK3MgpTzZ8uJbjCe792fOd5xXLHlPpPmqVcqUwAP5LI8LopWLodc8dRZ0ziqq+PRqR0/Pu0S6V8qQj/b0gq8pddh6HuGpL6m5tB0L+fsCg57BGGMONUWaxq3FnuiR1prkM7YYDNHCkCEBnnKeQ6NgnYBqXFARsMQMBEPFU5QkZcP8DcCqoQcaAoVsj0xWOdpmnm7opXng557PbXmasSAC4F4C5EOWuTj4HXRSik22GvUDYfJD/GkRX7jdDcBLOFHVkvwggOA+XK4f8fwDCJdzW2BZFHlZQ0Vr+0vyImJpaulcEiNCpJggvJiqQOQqkIT0rDRiM5kk2FavxtruaXX3E6D3zQrWHOAWo1i9i1E4IQ9fBmCZ2rmQ2kA2q1zqsbeoHJJmZNfPwdL073sI4uAml4zaciObjsm97kKHRd2r2+qwH2aq13QRfLyp67oFKWLGWjVuE7rHokfVdvQHkSaL63Pz1kwysDRVJIezkHRTqbG1R9eeLLjq2boIjlvfYId4U/ChOj3dPQADi2WqenfOxek0gXuT19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6"/>
            <mdssi:RelationshipReference xmlns:mdssi="http://schemas.openxmlformats.org/package/2006/digital-signature" SourceId="rId39"/>
            <mdssi:RelationshipReference xmlns:mdssi="http://schemas.openxmlformats.org/package/2006/digital-signature" SourceId="rId8"/>
            <mdssi:RelationshipReference xmlns:mdssi="http://schemas.openxmlformats.org/package/2006/digital-signature" SourceId="rId21"/>
            <mdssi:RelationshipReference xmlns:mdssi="http://schemas.openxmlformats.org/package/2006/digital-signature" SourceId="rId34"/>
            <mdssi:RelationshipReference xmlns:mdssi="http://schemas.openxmlformats.org/package/2006/digital-signature" SourceId="rId42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5"/>
            <mdssi:RelationshipReference xmlns:mdssi="http://schemas.openxmlformats.org/package/2006/digital-signature" SourceId="rId33"/>
            <mdssi:RelationshipReference xmlns:mdssi="http://schemas.openxmlformats.org/package/2006/digital-signature" SourceId="rId38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29"/>
            <mdssi:RelationshipReference xmlns:mdssi="http://schemas.openxmlformats.org/package/2006/digital-signature" SourceId="rId41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24"/>
            <mdssi:RelationshipReference xmlns:mdssi="http://schemas.openxmlformats.org/package/2006/digital-signature" SourceId="rId32"/>
            <mdssi:RelationshipReference xmlns:mdssi="http://schemas.openxmlformats.org/package/2006/digital-signature" SourceId="rId37"/>
            <mdssi:RelationshipReference xmlns:mdssi="http://schemas.openxmlformats.org/package/2006/digital-signature" SourceId="rId40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23"/>
            <mdssi:RelationshipReference xmlns:mdssi="http://schemas.openxmlformats.org/package/2006/digital-signature" SourceId="rId28"/>
            <mdssi:RelationshipReference xmlns:mdssi="http://schemas.openxmlformats.org/package/2006/digital-signature" SourceId="rId36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31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27"/>
            <mdssi:RelationshipReference xmlns:mdssi="http://schemas.openxmlformats.org/package/2006/digital-signature" SourceId="rId30"/>
            <mdssi:RelationshipReference xmlns:mdssi="http://schemas.openxmlformats.org/package/2006/digital-signature" SourceId="rId35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</Transform>
          <Transform Algorithm="http://www.w3.org/TR/2001/REC-xml-c14n-20010315"/>
        </Transforms>
        <DigestMethod Algorithm="http://www.w3.org/2001/04/xmlenc#sha256"/>
        <DigestValue>+e0IRe98gH234JTNkR7vvuDEpzHqQnLF+dXoFFrla4k=</DigestValue>
      </Reference>
      <Reference URI="/xl/calcChain.xml?ContentType=application/vnd.openxmlformats-officedocument.spreadsheetml.calcChain+xml">
        <DigestMethod Algorithm="http://www.w3.org/2001/04/xmlenc#sha256"/>
        <DigestValue>YpsIW7B52fvwCOJNHvUO+mE4XpKiRuLiWECwmnb2w8g=</DigestValue>
      </Reference>
      <Reference URI="/xl/comments1.xml?ContentType=application/vnd.openxmlformats-officedocument.spreadsheetml.comments+xml">
        <DigestMethod Algorithm="http://www.w3.org/2001/04/xmlenc#sha256"/>
        <DigestValue>/m8LDlOD6Do6hGBFDaxGdSfLcYshCG2DFqaJ7cMUeuQ=</DigestValue>
      </Reference>
      <Reference URI="/xl/comments2.xml?ContentType=application/vnd.openxmlformats-officedocument.spreadsheetml.comments+xml">
        <DigestMethod Algorithm="http://www.w3.org/2001/04/xmlenc#sha256"/>
        <DigestValue>yaHUjLZEbj0X5/ay1w6As4eX5dbZXZlTB3BgN/S64q0=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_rels/drawing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drawing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uWX52h7olg+PFY/GkFTDFdyBbrOZlOU2iSM2S8keCUM=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J2BAgzEtgHZvJLT6Z8wBZSKIOSgDyh8bTQWrBE/grlI=</DigestValue>
      </Reference>
      <Reference URI="/xl/drawings/drawing1.xml?ContentType=application/vnd.openxmlformats-officedocument.drawing+xml">
        <DigestMethod Algorithm="http://www.w3.org/2001/04/xmlenc#sha256"/>
        <DigestValue>RkKSKi4S4PG9wwHMAfHZv/Nopxcl8XnzD049Fe1kC9Y=</DigestValue>
      </Reference>
      <Reference URI="/xl/drawings/drawing2.xml?ContentType=application/vnd.openxmlformats-officedocument.drawing+xml">
        <DigestMethod Algorithm="http://www.w3.org/2001/04/xmlenc#sha256"/>
        <DigestValue>RZY1v0U1FgN9AzPxFYMKubY8Fjjcm/gFj3um1CzQrNE=</DigestValue>
      </Reference>
      <Reference URI="/xl/drawings/drawing3.xml?ContentType=application/vnd.openxmlformats-officedocument.drawing+xml">
        <DigestMethod Algorithm="http://www.w3.org/2001/04/xmlenc#sha256"/>
        <DigestValue>gn2FGm2GCFnUXykrEQCWpZu5tBZ1/uwNMcfhoA7rKIw=</DigestValue>
      </Reference>
      <Reference URI="/xl/drawings/drawing4.xml?ContentType=application/vnd.openxmlformats-officedocument.drawing+xml">
        <DigestMethod Algorithm="http://www.w3.org/2001/04/xmlenc#sha256"/>
        <DigestValue>G5wo06wszXv9M8bEaB8lJMkp61VUOm5/AXHqFiH8hj0=</DigestValue>
      </Reference>
      <Reference URI="/xl/drawings/drawing5.xml?ContentType=application/vnd.openxmlformats-officedocument.drawing+xml">
        <DigestMethod Algorithm="http://www.w3.org/2001/04/xmlenc#sha256"/>
        <DigestValue>dzRISMGn5S1DaaDSby7/dv/RRiEMLYMMaU/Hy9tsT8A=</DigestValue>
      </Reference>
      <Reference URI="/xl/drawings/drawing6.xml?ContentType=application/vnd.openxmlformats-officedocument.drawing+xml">
        <DigestMethod Algorithm="http://www.w3.org/2001/04/xmlenc#sha256"/>
        <DigestValue>0pAdXJ/H5DAoe41woJvFnwYXBpjLqtxrGPjWWgbBIyw=</DigestValue>
      </Reference>
      <Reference URI="/xl/drawings/drawing7.xml?ContentType=application/vnd.openxmlformats-officedocument.drawing+xml">
        <DigestMethod Algorithm="http://www.w3.org/2001/04/xmlenc#sha256"/>
        <DigestValue>tpxwfJC9jnVdSplu51hIUvo6VMBrb9t6n0kbnKcQ/gw=</DigestValue>
      </Reference>
      <Reference URI="/xl/drawings/drawing8.xml?ContentType=application/vnd.openxmlformats-officedocument.drawing+xml">
        <DigestMethod Algorithm="http://www.w3.org/2001/04/xmlenc#sha256"/>
        <DigestValue>w6QYIl9KxDr0E5uYDk2CdE1u++WMF1pTFMTAjxHN0+4=</DigestValue>
      </Reference>
      <Reference URI="/xl/drawings/drawing9.xml?ContentType=application/vnd.openxmlformats-officedocument.drawing+xml">
        <DigestMethod Algorithm="http://www.w3.org/2001/04/xmlenc#sha256"/>
        <DigestValue>j/MKTC7TeAmCOLfQXcYw5vMJ2Es8ovPriZibiJCygEA=</DigestValue>
      </Reference>
      <Reference URI="/xl/drawings/vmlDrawing1.vml?ContentType=application/vnd.openxmlformats-officedocument.vmlDrawing">
        <DigestMethod Algorithm="http://www.w3.org/2001/04/xmlenc#sha256"/>
        <DigestValue>2n35JMkm3A/74CnpAfxqLPVesMquFT3sLg4FdlcOSAs=</DigestValue>
      </Reference>
      <Reference URI="/xl/drawings/vmlDrawing2.vml?ContentType=application/vnd.openxmlformats-officedocument.vmlDrawing">
        <DigestMethod Algorithm="http://www.w3.org/2001/04/xmlenc#sha256"/>
        <DigestValue>O6XZKiY8qnGu6JXjtCaer3LwzV1TqSloY7Z1tKisYFE=</DigestValue>
      </Reference>
      <Reference URI="/xl/drawings/vmlDrawing3.vml?ContentType=application/vnd.openxmlformats-officedocument.vmlDrawing">
        <DigestMethod Algorithm="http://www.w3.org/2001/04/xmlenc#sha256"/>
        <DigestValue>zB5xp8FD9tKTTGUE57f9mdeieJHYndXppjsI+SnkCqc=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Jy7ocQrK2tsB6LqRMLsg0VXGQF2YE9MwzIU03LUiLvc=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+Ghp6ayukeoiiJxAmsXv6Lu5mWyFxLbo+iKSOYlsS28=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lQ82QnWwbz4cwqWmA0PvUVUEvxx4zrtn0uT8oTImCQY=</DigestValue>
      </Reference>
      <Reference URI="/xl/externalLinks/_rels/externalLink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QCUd4S2AR5kBEdM2lM/qKg2NIYxhQ+ilG7IzUn+1xxs=</DigestValue>
      </Reference>
      <Reference URI="/xl/externalLinks/_rels/externalLink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UwScaaVvJJr8sVMKke2dTwYL0T0jaSMJuw7X9zicf0M=</DigestValue>
      </Reference>
      <Reference URI="/xl/externalLinks/_rels/externalLink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+sve5e634ul32tVzbk+xVE5TrTRFSvIjrGUYNEd4uAc=</DigestValue>
      </Reference>
      <Reference URI="/xl/externalLinks/_rels/externalLink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KPvaf7CfFw9mOuwWSoBv6EJksvUsMaXwFB/cerx1YSM=</DigestValue>
      </Reference>
      <Reference URI="/xl/externalLinks/_rels/externalLink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b9ar1wqLsDZWYaE90P/sqBwUqGrZDBb2VhANFyqCNN4=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RgO1yifePhy3d+AoQWc6SHC5NXe7Vk29kt8fBgX5OJw=</DigestValue>
      </Reference>
      <Reference URI="/xl/externalLinks/externalLink3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4.xml?ContentType=application/vnd.openxmlformats-officedocument.spreadsheetml.externalLink+xml">
        <DigestMethod Algorithm="http://www.w3.org/2001/04/xmlenc#sha256"/>
        <DigestValue>QB+V+nxw7ZAblYt3S/Ch75wG1at6SMVaGhbTRnBHUD0=</DigestValue>
      </Reference>
      <Reference URI="/xl/externalLinks/externalLink5.xml?ContentType=application/vnd.openxmlformats-officedocument.spreadsheetml.externalLink+xml">
        <DigestMethod Algorithm="http://www.w3.org/2001/04/xmlenc#sha256"/>
        <DigestValue>X86UJCBrlTsQcCsV64tuAnPOX4RQM/PJibK1gJg9PO0=</DigestValue>
      </Reference>
      <Reference URI="/xl/externalLinks/externalLink6.xml?ContentType=application/vnd.openxmlformats-officedocument.spreadsheetml.externalLink+xml">
        <DigestMethod Algorithm="http://www.w3.org/2001/04/xmlenc#sha256"/>
        <DigestValue>OaIQ9gajCN3Zrp3czmOJP1G+LFOczti5bMgF/No3Fxs=</DigestValue>
      </Reference>
      <Reference URI="/xl/externalLinks/externalLink7.xml?ContentType=application/vnd.openxmlformats-officedocument.spreadsheetml.externalLink+xml">
        <DigestMethod Algorithm="http://www.w3.org/2001/04/xmlenc#sha256"/>
        <DigestValue>ClXLdInWniPsDsgs1MVBFziSacQxWzFFepQV8aVDhK8=</DigestValue>
      </Reference>
      <Reference URI="/xl/externalLinks/externalLink8.xml?ContentType=application/vnd.openxmlformats-officedocument.spreadsheetml.externalLink+xml">
        <DigestMethod Algorithm="http://www.w3.org/2001/04/xmlenc#sha256"/>
        <DigestValue>kdMk8sKGiEf3wa337mkzmxvjdEe5U58AtaX/gaGrowI=</DigestValue>
      </Reference>
      <Reference URI="/xl/media/image1.png?ContentType=image/png">
        <DigestMethod Algorithm="http://www.w3.org/2001/04/xmlenc#sha256"/>
        <DigestValue>z002VpVS4JA1It5qSY0cdLXFVqCI4pMstUrsEAa3hT8=</DigestValue>
      </Reference>
      <Reference URI="/xl/media/image2.png?ContentType=image/png">
        <DigestMethod Algorithm="http://www.w3.org/2001/04/xmlenc#sha256"/>
        <DigestValue>TlzBI7e/Ism4kh/8vbQKWFG+u2P2KUExVHsgm6INjj4=</DigestValue>
      </Reference>
      <Reference URI="/xl/media/image3.emf?ContentType=image/x-emf">
        <DigestMethod Algorithm="http://www.w3.org/2001/04/xmlenc#sha256"/>
        <DigestValue>ugLGC9MtxzbATN9LF88VF2sAe18uIC7WvwEGFSSG0hU=</DigestValue>
      </Reference>
      <Reference URI="/xl/media/image4.emf?ContentType=image/x-emf">
        <DigestMethod Algorithm="http://www.w3.org/2001/04/xmlenc#sha256"/>
        <DigestValue>FpuMRMJr31r60IomOwwjIudwJSD7X5ITpUDNtAlXN7Q=</DigestValue>
      </Reference>
      <Reference URI="/xl/media/image5.emf?ContentType=image/x-emf">
        <DigestMethod Algorithm="http://www.w3.org/2001/04/xmlenc#sha256"/>
        <DigestValue>tBfPXcFFrYFIGIkxELHq2NWjrLnwFS2ZH1kZjUq/H2I=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aZDlRffyX5XDzwv2q7PWA0PmoD+iEKKpnI00kl3rUd4=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us64TnVnxW6S3JGyKSPYkF8hRrmqXxu3UhET7UNI3oY=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3auKKYy+1zVh2/o2zFXt0gBsKnXg8b+IwT1iM49e1ek=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eA/Fwsrhp9JJub8a3MIghHzaSlbH+/seBzvdXSGZYco=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9VAiUQR6ZoXvHkp2AKbYfkOsHyDtm2auNZjHq8QTA+w=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7yc4Widd96LfqGpm3vG07LXMLKV2NEBlR0BCf+FHTDM=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DhLX4rjnwdbQPweXYyD7kdwa3XMRHLSS9YTCJAaRbUc=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sLlVsMu/UmxdwdvPNZF0AY0+lC5fiUlO4f1F+aMCq5U=</DigestValue>
      </Reference>
      <Reference URI="/xl/sharedStrings.xml?ContentType=application/vnd.openxmlformats-officedocument.spreadsheetml.sharedStrings+xml">
        <DigestMethod Algorithm="http://www.w3.org/2001/04/xmlenc#sha256"/>
        <DigestValue>GE0+es+56w39BUkS6Ld5twCysHza/7V/oKWFYlyxTKU=</DigestValue>
      </Reference>
      <Reference URI="/xl/styles.xml?ContentType=application/vnd.openxmlformats-officedocument.spreadsheetml.styles+xml">
        <DigestMethod Algorithm="http://www.w3.org/2001/04/xmlenc#sha256"/>
        <DigestValue>/ZyH/59lXoKp/Iggx1mhcV9DuUlB6Nhz0kI0zWWnzj8=</DigestValue>
      </Reference>
      <Reference URI="/xl/tables/table1.xml?ContentType=application/vnd.openxmlformats-officedocument.spreadsheetml.table+xml">
        <DigestMethod Algorithm="http://www.w3.org/2001/04/xmlenc#sha256"/>
        <DigestValue>QGGFUJTUSTbce6kkco4jCA6qbgbE/z+SeFRt/paoLM0=</DigestValue>
      </Reference>
      <Reference URI="/xl/tables/table2.xml?ContentType=application/vnd.openxmlformats-officedocument.spreadsheetml.table+xml">
        <DigestMethod Algorithm="http://www.w3.org/2001/04/xmlenc#sha256"/>
        <DigestValue>qpFhfOA0incUKRZfq2j34RRkkIJOiaoBifMgr57PiIk=</DigestValue>
      </Reference>
      <Reference URI="/xl/tables/table3.xml?ContentType=application/vnd.openxmlformats-officedocument.spreadsheetml.table+xml">
        <DigestMethod Algorithm="http://www.w3.org/2001/04/xmlenc#sha256"/>
        <DigestValue>pZcSaxszAx+MwscRO7aV5pay4W7QfTuxogECLbLjCR0=</DigestValue>
      </Reference>
      <Reference URI="/xl/tables/table4.xml?ContentType=application/vnd.openxmlformats-officedocument.spreadsheetml.table+xml">
        <DigestMethod Algorithm="http://www.w3.org/2001/04/xmlenc#sha256"/>
        <DigestValue>Xr7VCPTEWd2X4SZuNd63bznfkB8NsCIPbSbs89y0qRo=</DigestValue>
      </Reference>
      <Reference URI="/xl/theme/theme1.xml?ContentType=application/vnd.openxmlformats-officedocument.theme+xml">
        <DigestMethod Algorithm="http://www.w3.org/2001/04/xmlenc#sha256"/>
        <DigestValue>HpkhkEH/NfxYYunqn8gDSSXwsogmnmNBn70U95mIPRU=</DigestValue>
      </Reference>
      <Reference URI="/xl/workbook.xml?ContentType=application/vnd.openxmlformats-officedocument.spreadsheetml.sheet.main+xml">
        <DigestMethod Algorithm="http://www.w3.org/2001/04/xmlenc#sha256"/>
        <DigestValue>OC8YkSAI0JSPFRO+S/nY+dSruomYyYr+OcR8WWQqID8=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myxn58YE54apK38+keIy8FKHypQE5tQeku10vbGEOaI=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aicZpxLIl2/3f4J4U+2LKTUY5B1Q6JRCJwRGjkl/CJU=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UzfVJS9QGl1+s6vSNXtv/31FjiVQFBt1WWF+rQ5NEeg=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v6ZR+j1fFuNhPdOuKCFGVSq7SvzvtF1XjdATb4W++CQ=</DigestValue>
      </Reference>
      <Reference URI="/xl/worksheets/_rels/sheet2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nUVdzvshlLUgRaM7X4sHX/9tln+OftfDhfnaA+Y9Nzk=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tnuHqQYJoYrMKwqfxAt4GYCSfZ37aqTLEPx5w3S0Lp4=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4s9qknDynYPr1xuzc4NY1dbPuCxhKyhwp+fAHZRIQIQ=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aNSy593Et2UK8oA6WHGONS53DInpYWmo3LI9HSF3xe0=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7jrEoPWIZjori3e+3CKNKgrzlCOuPXF/kWJA5txchnk=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KSvMPc92CI6mP9VIkVIJwBFyvcMBNsRDtriEism+/Bg=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lvLBtWALA0rZogtnOvxeDmgN4PGqgx6eST/Vp85V05Y=</DigestValue>
      </Reference>
      <Reference URI="/xl/worksheets/sheet1.xml?ContentType=application/vnd.openxmlformats-officedocument.spreadsheetml.worksheet+xml">
        <DigestMethod Algorithm="http://www.w3.org/2001/04/xmlenc#sha256"/>
        <DigestValue>2WxJY+YV2HUKOkAEGYcScC6Irje/lesi0VT5YcnbXIM=</DigestValue>
      </Reference>
      <Reference URI="/xl/worksheets/sheet10.xml?ContentType=application/vnd.openxmlformats-officedocument.spreadsheetml.worksheet+xml">
        <DigestMethod Algorithm="http://www.w3.org/2001/04/xmlenc#sha256"/>
        <DigestValue>XjYoQJd4VVMLU4EOC3A3BYgNAqWAo3zUoZ2Gj0QVLxg=</DigestValue>
      </Reference>
      <Reference URI="/xl/worksheets/sheet11.xml?ContentType=application/vnd.openxmlformats-officedocument.spreadsheetml.worksheet+xml">
        <DigestMethod Algorithm="http://www.w3.org/2001/04/xmlenc#sha256"/>
        <DigestValue>dd1Uc/xtnXfuNFs0Z54FK9qQ7pPoKULdTzxP24c2nCo=</DigestValue>
      </Reference>
      <Reference URI="/xl/worksheets/sheet12.xml?ContentType=application/vnd.openxmlformats-officedocument.spreadsheetml.worksheet+xml">
        <DigestMethod Algorithm="http://www.w3.org/2001/04/xmlenc#sha256"/>
        <DigestValue>2TqNNSU7ZkrVqGYGKBsBSUsELJj3ilnBPQd9RfgFDMg=</DigestValue>
      </Reference>
      <Reference URI="/xl/worksheets/sheet13.xml?ContentType=application/vnd.openxmlformats-officedocument.spreadsheetml.worksheet+xml">
        <DigestMethod Algorithm="http://www.w3.org/2001/04/xmlenc#sha256"/>
        <DigestValue>T1YWbuIonXHUC6nWBDct31g0TGX4uhS2d1Ho4RO8U+0=</DigestValue>
      </Reference>
      <Reference URI="/xl/worksheets/sheet14.xml?ContentType=application/vnd.openxmlformats-officedocument.spreadsheetml.worksheet+xml">
        <DigestMethod Algorithm="http://www.w3.org/2001/04/xmlenc#sha256"/>
        <DigestValue>DapNCt8DQ040xPvvpFHbk2ANnjStFCDujGsHU/N6DaY=</DigestValue>
      </Reference>
      <Reference URI="/xl/worksheets/sheet15.xml?ContentType=application/vnd.openxmlformats-officedocument.spreadsheetml.worksheet+xml">
        <DigestMethod Algorithm="http://www.w3.org/2001/04/xmlenc#sha256"/>
        <DigestValue>95ni5vLP3uU8kjp12WmuQBbcyZiZVzap9zmAizmbbEM=</DigestValue>
      </Reference>
      <Reference URI="/xl/worksheets/sheet16.xml?ContentType=application/vnd.openxmlformats-officedocument.spreadsheetml.worksheet+xml">
        <DigestMethod Algorithm="http://www.w3.org/2001/04/xmlenc#sha256"/>
        <DigestValue>npIiWqNqwKq1MmgM0MF7jdq7Cecf6iyMbqAT9Af1JbM=</DigestValue>
      </Reference>
      <Reference URI="/xl/worksheets/sheet17.xml?ContentType=application/vnd.openxmlformats-officedocument.spreadsheetml.worksheet+xml">
        <DigestMethod Algorithm="http://www.w3.org/2001/04/xmlenc#sha256"/>
        <DigestValue>Y+3LonmSOz6y8no0GxgM/T6JAzqdBZT/+Fq9GU7w05c=</DigestValue>
      </Reference>
      <Reference URI="/xl/worksheets/sheet18.xml?ContentType=application/vnd.openxmlformats-officedocument.spreadsheetml.worksheet+xml">
        <DigestMethod Algorithm="http://www.w3.org/2001/04/xmlenc#sha256"/>
        <DigestValue>lzfofG2Sk0Bbidl3SQIF+r/znW7n2pc9hsqQdh+h/VY=</DigestValue>
      </Reference>
      <Reference URI="/xl/worksheets/sheet19.xml?ContentType=application/vnd.openxmlformats-officedocument.spreadsheetml.worksheet+xml">
        <DigestMethod Algorithm="http://www.w3.org/2001/04/xmlenc#sha256"/>
        <DigestValue>Utq2rMfdJoqO5j8UxQzcsbPpRyeZxIM5akgQbdflspI=</DigestValue>
      </Reference>
      <Reference URI="/xl/worksheets/sheet2.xml?ContentType=application/vnd.openxmlformats-officedocument.spreadsheetml.worksheet+xml">
        <DigestMethod Algorithm="http://www.w3.org/2001/04/xmlenc#sha256"/>
        <DigestValue>rWVmbEqfZ0c+118Q87XAn1RisOsGfPArsYB7utUf1Bo=</DigestValue>
      </Reference>
      <Reference URI="/xl/worksheets/sheet20.xml?ContentType=application/vnd.openxmlformats-officedocument.spreadsheetml.worksheet+xml">
        <DigestMethod Algorithm="http://www.w3.org/2001/04/xmlenc#sha256"/>
        <DigestValue>AuWKo3jlr4UXAEt33VSVmW9mBNqnESVp5QoZcmLC2a0=</DigestValue>
      </Reference>
      <Reference URI="/xl/worksheets/sheet21.xml?ContentType=application/vnd.openxmlformats-officedocument.spreadsheetml.worksheet+xml">
        <DigestMethod Algorithm="http://www.w3.org/2001/04/xmlenc#sha256"/>
        <DigestValue>FsJz78Z4f0+0dleXA464Vw667bbIgNaetER2l6lAMiY=</DigestValue>
      </Reference>
      <Reference URI="/xl/worksheets/sheet22.xml?ContentType=application/vnd.openxmlformats-officedocument.spreadsheetml.worksheet+xml">
        <DigestMethod Algorithm="http://www.w3.org/2001/04/xmlenc#sha256"/>
        <DigestValue>GPGynINJBsF/icF0Pp+MLse05yc7QkGdvfcxoYnWZlg=</DigestValue>
      </Reference>
      <Reference URI="/xl/worksheets/sheet23.xml?ContentType=application/vnd.openxmlformats-officedocument.spreadsheetml.worksheet+xml">
        <DigestMethod Algorithm="http://www.w3.org/2001/04/xmlenc#sha256"/>
        <DigestValue>2UjCtHVzjaiEW1zM0u3ENhxjlc6KLIUqM7fOb9fd4lk=</DigestValue>
      </Reference>
      <Reference URI="/xl/worksheets/sheet24.xml?ContentType=application/vnd.openxmlformats-officedocument.spreadsheetml.worksheet+xml">
        <DigestMethod Algorithm="http://www.w3.org/2001/04/xmlenc#sha256"/>
        <DigestValue>pmU428M/P8r14OGWLFthwdYXPzriJ7SJ7ttI7xdlXs0=</DigestValue>
      </Reference>
      <Reference URI="/xl/worksheets/sheet25.xml?ContentType=application/vnd.openxmlformats-officedocument.spreadsheetml.worksheet+xml">
        <DigestMethod Algorithm="http://www.w3.org/2001/04/xmlenc#sha256"/>
        <DigestValue>Lad9hl39tb1NUNuXkOIdDLGWEYAGBTBwjmGMmPQOd8M=</DigestValue>
      </Reference>
      <Reference URI="/xl/worksheets/sheet26.xml?ContentType=application/vnd.openxmlformats-officedocument.spreadsheetml.worksheet+xml">
        <DigestMethod Algorithm="http://www.w3.org/2001/04/xmlenc#sha256"/>
        <DigestValue>ZxfDscaeEOMy5UwgzCTH9KsiUqp5UPvIoZhz8Ydb3xk=</DigestValue>
      </Reference>
      <Reference URI="/xl/worksheets/sheet27.xml?ContentType=application/vnd.openxmlformats-officedocument.spreadsheetml.worksheet+xml">
        <DigestMethod Algorithm="http://www.w3.org/2001/04/xmlenc#sha256"/>
        <DigestValue>vqKNkdu6YER3a5bP8vobFYDqlc/HnX+GiQVIrqKoeSo=</DigestValue>
      </Reference>
      <Reference URI="/xl/worksheets/sheet28.xml?ContentType=application/vnd.openxmlformats-officedocument.spreadsheetml.worksheet+xml">
        <DigestMethod Algorithm="http://www.w3.org/2001/04/xmlenc#sha256"/>
        <DigestValue>RpHROlCpteVqCCw6KBCZB/vjYdFPK62XnnfVc+dKmMY=</DigestValue>
      </Reference>
      <Reference URI="/xl/worksheets/sheet29.xml?ContentType=application/vnd.openxmlformats-officedocument.spreadsheetml.worksheet+xml">
        <DigestMethod Algorithm="http://www.w3.org/2001/04/xmlenc#sha256"/>
        <DigestValue>O8mp9Ba0mlWhZ4tL+uM14Qt2R6R3R0Ewy23Y/BJ15hk=</DigestValue>
      </Reference>
      <Reference URI="/xl/worksheets/sheet3.xml?ContentType=application/vnd.openxmlformats-officedocument.spreadsheetml.worksheet+xml">
        <DigestMethod Algorithm="http://www.w3.org/2001/04/xmlenc#sha256"/>
        <DigestValue>0AsgUpbdLVD/3bmsVRh+UThuDv5PJanrwRAW2euTHyk=</DigestValue>
      </Reference>
      <Reference URI="/xl/worksheets/sheet30.xml?ContentType=application/vnd.openxmlformats-officedocument.spreadsheetml.worksheet+xml">
        <DigestMethod Algorithm="http://www.w3.org/2001/04/xmlenc#sha256"/>
        <DigestValue>K5YKdPWHre/a70b4WVxbcAazGZYCz6/Y7WlBIcpYBZQ=</DigestValue>
      </Reference>
      <Reference URI="/xl/worksheets/sheet4.xml?ContentType=application/vnd.openxmlformats-officedocument.spreadsheetml.worksheet+xml">
        <DigestMethod Algorithm="http://www.w3.org/2001/04/xmlenc#sha256"/>
        <DigestValue>WU4EqHJUD+Dk12XyvFuv5/LnNnrnkkfHPH0g+aXs0co=</DigestValue>
      </Reference>
      <Reference URI="/xl/worksheets/sheet5.xml?ContentType=application/vnd.openxmlformats-officedocument.spreadsheetml.worksheet+xml">
        <DigestMethod Algorithm="http://www.w3.org/2001/04/xmlenc#sha256"/>
        <DigestValue>PKYzjraf5nxfG8u0P34G4D32Bzs2dPRylNZQGIndhOE=</DigestValue>
      </Reference>
      <Reference URI="/xl/worksheets/sheet6.xml?ContentType=application/vnd.openxmlformats-officedocument.spreadsheetml.worksheet+xml">
        <DigestMethod Algorithm="http://www.w3.org/2001/04/xmlenc#sha256"/>
        <DigestValue>LbtqTtm/9KYS0VpqaDX9FQIdhiJxMu2/+BUpHUL154k=</DigestValue>
      </Reference>
      <Reference URI="/xl/worksheets/sheet7.xml?ContentType=application/vnd.openxmlformats-officedocument.spreadsheetml.worksheet+xml">
        <DigestMethod Algorithm="http://www.w3.org/2001/04/xmlenc#sha256"/>
        <DigestValue>s7Lajl94RTTUv3gh/7b9+cx1UJ0QDRfvCmjfJ+IaurA=</DigestValue>
      </Reference>
      <Reference URI="/xl/worksheets/sheet8.xml?ContentType=application/vnd.openxmlformats-officedocument.spreadsheetml.worksheet+xml">
        <DigestMethod Algorithm="http://www.w3.org/2001/04/xmlenc#sha256"/>
        <DigestValue>r6WMAxN2mjQz9kUS4h53+uRUBVhDy3RTkUPSrlHuuY8=</DigestValue>
      </Reference>
      <Reference URI="/xl/worksheets/sheet9.xml?ContentType=application/vnd.openxmlformats-officedocument.spreadsheetml.worksheet+xml">
        <DigestMethod Algorithm="http://www.w3.org/2001/04/xmlenc#sha256"/>
        <DigestValue>NIzA14cKB5PQewCCRFHV7zfj0e6ZiKWWi0d8opX8FHI=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2022-08-25T20:52:14Z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{65237113-31A1-49CF-B29F-3B8A1A4C7150}</SetupID>
          <SignatureText>Giuseppe Saurini</SignatureText>
          <SignatureImage/>
          <SignatureComments/>
          <WindowsVersion>10.0</WindowsVersion>
          <OfficeVersion>16.0.15427/23</OfficeVersion>
          <ApplicationVersion>16.0.15427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2022-08-25T20:52:14Z</xd:SigningTime>
          <xd:SigningCertificate>
            <xd:Cert>
              <xd:CertDigest>
                <DigestMethod Algorithm="http://www.w3.org/2001/04/xmlenc#sha256"/>
                <DigestValue>FZO6I+W1q7+plu59BdIBAnZ43Vm8tOs91lDDq/yS3hA=</DigestValue>
              </xd:CertDigest>
              <xd:IssuerSerial>
                <X509IssuerName>CN=CA-VIT S.A., O=VIT S.A., C=PY, SERIALNUMBER=RUC 80080099-0</X509IssuerName>
                <X509SerialNumber>165172837616274408503277127352340685823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  <Object Id="idValidSigLnImg">AQAAAGwAAAAAAAAAAAAAAAcBAAB/AAAAAAAAAAAAAAD8GwAAkQ0AACBFTUYAAAEAuBsAAKo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HAQAAfwAAAAAAAAAAAAAACAEAAIAAAAAhAPAAAAAAAAAAAAAAAIA/AAAAAAAAAAAAAIA/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/AAAAAAAAAAAAAAAIAQAAgAAAACEA8AAAAAAAAAAAAAAAgD8AAAAAAAAAAAAAgD8AAAAAAAAAAAAAAAAAAAAAAAAAAAAAAAAAAAAAAAAAACUAAAAMAAAAAAAAgCgAAAAMAAAAAQAAACcAAAAYAAAAAQAAAAAAAADw8PAAAAAAACUAAAAMAAAAAQAAAEwAAABkAAAAAAAAAAAAAAAHAQAAfwAAAAAAAAAAAAAACAEAAIAAAAAhAPAAAAAAAAAAAAAAAIA/AAAAAAAAAAAAAIA/AAAAAAAAAAAAAAAAAAAAAAAAAAAAAAAAAAAAAAAAAAAlAAAADAAAAAAAAIAoAAAADAAAAAEAAAAnAAAAGAAAAAEAAAAAAAAA////AAAAAAAlAAAADAAAAAEAAABMAAAAZAAAAAAAAAAAAAAABwEAAH8AAAAAAAAAAAAAAAgBAACAAAAAIQDwAAAAAAAAAAAAAACAPwAAAAAAAAAAAACAPwAAAAAAAAAAAAAAAAAAAAAAAAAAAAAAAAAAAAAAAAAAJQAAAAwAAAAAAACAKAAAAAwAAAABAAAAJwAAABgAAAABAAAAAAAAAP///wAAAAAAJQAAAAwAAAABAAAATAAAAGQAAAAAAAAAAAAAAAcBAAB/AAAAAAAAAAAAAAAI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MMAAAAEAAAA9gAAABAAAADDAAAABAAAADQAAAANAAAAIQDwAAAAAAAAAAAAAACAPwAAAAAAAAAAAACAPwAAAAAAAAAAAAAAAAAAAAAAAAAAAAAAAAAAAAAAAAAAJQAAAAwAAAAAAACAKAAAAAwAAAABAAAAUgAAAHABAAABAAAA9f///wAAAAAAAAAAAAAAAJABAAAAAAABAAAAAHMAZQBnAG8AZQAgAHUAaQAAAAAAAAAAAAAAAAAAAAAAAAAAAAAAAAAAAAAAAAAAAAAAAAAAAAAAAAAAAAAAAAAAAAAAAwAAANBd8nZY13sAyIQFVODEUwAox1MAAAAAAOOe13f8xFMAQAAAAAAAAAAAAAAAAAAAAAAAAAAAAAAAAAAAAAAAAAAAAAAAAAAAAAAAAAAAAAAAAAAAAAAAAAAAAAAAAAAAAMjFUwAAAAAAQEjPERIAFAAwSM8RqeMWVAAAAADMxVMA1MZTAAAAAAAUML0RAMVTAAAAAgBoxVMAaMVTAGjFUwACAAAAAgAAAAAAAABiphnUpMVTAL2ViHcAAPJ2mMVTAAAAAACgxVMAAAAAACvyclMAAPJ2AAAAABMAFADIhAVU0F3ydrjFUwBk9QN3AADydgAAAABYWIwFZHYACAAAAAAlAAAADAAAAAEAAAAYAAAADAAAAAAAAAASAAAADAAAAAEAAAAeAAAAGAAAAMMAAAAEAAAA9wAAABEAAAAlAAAADAAAAAEAAABUAAAAhAAAAMQAAAAEAAAA9QAAABAAAAABAAAAVRXZQXsJ2UHEAAAABAAAAAkAAABMAAAAAAAAAAAAAAAAAAAA//////////9gAAAAMgA1AC8AOAAvADIAMAAyADIAAAAGAAAABgAAAAQAAAAGAAAABAAAAAYAAAAGAAAABgAAAAYAAABLAAAAQAAAADAAAAAFAAAAIAAAAAEAAAABAAAAEAAAAAAAAAAAAAAACAEAAIAAAAAAAAAAAAAAAAgBAACAAAAAUgAAAHABAAACAAAAEAAAAAcAAAAAAAAAAAAAALwCAAAAAAAAAQICIlMAeQBzAHQAZQBtAAAAAAAAAAAAAAAAAAAAAAAAAAAAAAAAAAAAAAAAAAAAAAAAAAAAAAAAAAAAAAAAAAAAAAAAAAAAvGHbdwAAAADYjoIAAAAAAFjXewBY13sAnoQFVAAAAAAr8nJTCQAAAAAAAAAAAAAAAAAAAAAAAAAQ4HsAAAAAAAAAAAAAAAAAAAAAAAAAAAAAAAAAAAAAAAAAAAAAAAAAAAAAAAAAAAAAAAAAAAAAAAAAAAAAAAAAXhTedwAAGNQwcVIACNLXd1jXewAr8nJTAAAAABjT13f//wAAAAAAAPvT13f709d3YHFSAGRxUgCehAVUAAAAAAAAAAAAAAAABwAAAAAAAACxn4d3CQAAAAcAAACYcVIAmHFSAAACAAD8////AQAAAAAAAAAAAAAAAAAAAFhYjAXkxPN2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IlMoAAAAdMqFANCYESwAqPkvAAAAAAAAAAAAAHIAAgAAAAMAAAAFAAAAAAByAMwBcgAAAAAAIAAAAKwZcgAAAAAAAAB7AKgZcgAcQf4xRFVSAO5d13cAAAAA7l3XdwAAAAAAAAAAIAAAALgdGSSW5NZSYFVSAIy4E1QAAHsAAAAAACAAAAAoWlIAoA8AANxZUgDB6bZSIAAAAAEAAADs1bdSiwK1mwMAAAAY2bdS28PWUv////+4HRkkRD3BUgAAAAAAAAAAsZ+Hd4TtGVMGAAAAvFZSALxWUgAAAgAA/P///wEAAAAAAAAAAAAAAAAAAAAAAAAAAAAAAFhYjAVkdgAIAAAAACUAAAAMAAAAAwAAABgAAAAMAAAAAAAAABIAAAAMAAAAAQAAABYAAAAMAAAACAAAAFQAAABUAAAACgAAACcAAAAeAAAASgAAAAEAAABVFdlBewnZ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KAAAABHAAAAKQAAADMAAAB4AAAAFQAAACEA8AAAAAAAAAAAAAAAgD8AAAAAAAAAAAAAgD8AAAAAAAAAAAAAAAAAAAAAAAAAAAAAAAAAAAAAAAAAACUAAAAMAAAAAAAAgCgAAAAMAAAABAAAAFIAAABwAQAABAAAAPD///8AAAAAAAAAAAAAAACQAQAAAAAAAQAAAABzAGUAZwBvAGUAIAB1AGkAAAAAAAAAAAAAAAAAAAAAAAAAAAAAAAAAAAAAAAAAAAAAAAAAAAAAAAAAAAAAAAAAAAAAADC3KwQAAAAAbFVSAKuWAVEBAAAAJFZSACANAIQAAAAADG1sIXhVUgCZd3xT4CByBTgpsxHTDrWbAgAAADhXUgA+6NZS/////0RXUgDIIb9SEwy1my0AAAAYXFIAmR2/UuAgcgUAAAAAmFtSAAAAAEIBVFIAAAAAAAAAAEAAAJMxAQAAAKRXUgAgAAAAOAJ8HwAAAACgV1IAAAAAAAAAAABUWFIACAAAAAcAAAA4KbMRNAZaEwEAAABQRgAAAAAAAAAAAACxn4d3AAAAAAkAAAAkV1IAJFdSAAACAAD8////AQAAAAAAAAAAAAAAAAAAAAAAAAAAAAAAWFiMBWR2AAgAAAAAJQAAAAwAAAAEAAAAGAAAAAwAAAAAAAAAEgAAAAwAAAABAAAAHgAAABgAAAApAAAAMwAAAKEAAABIAAAAJQAAAAwAAAAEAAAAVAAAAKwAAAAqAAAAMwAAAJ8AAABHAAAAAQAAAFUV2UF7CdlBKgAAADMAAAAQAAAATAAAAAAAAAAAAAAAAAAAAP//////////bAAAAEcAaQB1AHMAZQBwAHAAZQAgAFMAYQB1AHIAaQBuAGkACwAAAAQAAAAJAAAABwAAAAgAAAAJAAAACQAAAAgAAAAEAAAACQAAAAgAAAAJAAAABgAAAAQAAAAJAAAABAAAAEsAAABAAAAAMAAAAAUAAAAgAAAAAQAAAAEAAAAQAAAAAAAAAAAAAAAIAQAAgAAAAAAAAAAAAAAACAEAAIAAAAAlAAAADAAAAAIAAAAnAAAAGAAAAAUAAAAAAAAA////AAAAAAAlAAAADAAAAAUAAABMAAAAZAAAAAAAAABQAAAABwEAAHwAAAAAAAAAUAAAAAgBAAAtAAAAIQDwAAAAAAAAAAAAAACAPwAAAAAAAAAAAACAPwAAAAAAAAAAAAAAAAAAAAAAAAAAAAAAAAAAAAAAAAAAJQAAAAwAAAAAAACAKAAAAAwAAAAFAAAAJwAAABgAAAAFAAAAAAAAAP///wAAAAAAJQAAAAwAAAAFAAAATAAAAGQAAAAJAAAAUAAAAP4AAABcAAAACQAAAFAAAAD2AAAADQAAACEA8AAAAAAAAAAAAAAAgD8AAAAAAAAAAAAAgD8AAAAAAAAAAAAAAAAAAAAAAAAAAAAAAAAAAAAAAAAAACUAAAAMAAAAAAAAgCgAAAAMAAAABQAAACUAAAAMAAAAAQAAABgAAAAMAAAAAAAAABIAAAAMAAAAAQAAAB4AAAAYAAAACQAAAFAAAAD/AAAAXQAAACUAAAAMAAAAAQAAAFQAAACsAAAACgAAAFAAAABhAAAAXAAAAAEAAABVFdlBewnZQQoAAABQAAAAEAAAAEwAAAAAAAAAAAAAAAAAAAD//////////2wAAABHAGkAdQBzAGUAcABwAGUAIABTAGEAdQByAGkAbgBpAAgAAAADAAAABwAAAAUAAAAGAAAABwAAAAcAAAAGAAAAAwAAAAYAAAAGAAAABwAAAAQAAAADAAAABwAAAAMAAABLAAAAQAAAADAAAAAFAAAAIAAAAAEAAAABAAAAEAAAAAAAAAAAAAAACAEAAIAAAAAAAAAAAAAAAAgBAACAAAAAJQAAAAwAAAACAAAAJwAAABgAAAAFAAAAAAAAAP///wAAAAAAJQAAAAwAAAAFAAAATAAAAGQAAAAJAAAAYAAAAP4AAABsAAAACQAAAGAAAAD2AAAADQAAACEA8AAAAAAAAAAAAAAAgD8AAAAAAAAAAAAAgD8AAAAAAAAAAAAAAAAAAAAAAAAAAAAAAAAAAAAAAAAAACUAAAAMAAAAAAAAgCgAAAAMAAAABQAAACUAAAAMAAAAAQAAABgAAAAMAAAAAAAAABIAAAAMAAAAAQAAAB4AAAAYAAAACQAAAGAAAAD/AAAAbQAAACUAAAAMAAAAAQAAAFQAAACIAAAACgAAAGAAAAA/AAAAbAAAAAEAAABVFdlBewnZQQoAAABgAAAACgAAAEwAAAAAAAAAAAAAAAAAAAD//////////2AAAABQAHIAZQBzAGkAZABlAG4AdABlAAYAAAAEAAAABgAAAAUAAAADAAAABwAAAAYAAAAHAAAABAAAAAYAAABLAAAAQAAAADAAAAAFAAAAIAAAAAEAAAABAAAAEAAAAAAAAAAAAAAACAEAAIAAAAAAAAAAAAAAAAgBAACAAAAAJQAAAAwAAAACAAAAJwAAABgAAAAFAAAAAAAAAP///wAAAAAAJQAAAAwAAAAFAAAATAAAAGQAAAAJAAAAcAAAAP4AAAB8AAAACQAAAHAAAAD2AAAADQAAACEA8AAAAAAAAAAAAAAAgD8AAAAAAAAAAAAAgD8AAAAAAAAAAAAAAAAAAAAAAAAAAAAAAAAAAAAAAAAAACUAAAAMAAAAAAAAgCgAAAAMAAAABQAAACUAAAAMAAAAAQAAABgAAAAMAAAAAAAAABIAAAAMAAAAAQAAABYAAAAMAAAAAAAAAFQAAABIAQAACgAAAHAAAAD9AAAAfAAAAAEAAABVFdlBewnZQQoAAABwAAAAKgAAAEwAAAAEAAAACQAAAHAAAAD/AAAAfQAAAKAAAABGAGkAcgBtAGEAZABvACAAcABvAHIAOgAgAEcASQBVAFMARQBQAFAARQAgAEEATgBUAE8ATgBJAE8AIABTAEEAVQBSAEkATgBJACAAQgBVAEUAWQAGAAAAAwAAAAQAAAAJAAAABgAAAAcAAAAHAAAAAwAAAAcAAAAHAAAABAAAAAMAAAADAAAACAAAAAMAAAAIAAAABgAAAAYAAAAGAAAABgAAAAYAAAADAAAABwAAAAgAAAAGAAAACQAAAAgAAAADAAAACQAAAAMAAAAGAAAABwAAAAgAAAAHAAAAAwAAAAgAAAADAAAAAwAAAAYAAAAIAAAABgAAAAUAAAAWAAAADAAAAAAAAAAlAAAADAAAAAIAAAAOAAAAFAAAAAAAAAAQAAAAFAAAAA==</Object>
  <Object Id="idInvalidSigLnImg">AQAAAGwAAAAAAAAAAAAAAAcBAAB/AAAAAAAAAAAAAAD8GwAAkQ0AACBFTUYAAAEAKCEAALEAAAAGAAAAAAAAAAAAAAAAAAAAgAcAADgEAAAJAgAAJQEAAAAAAAAAAAAAAAAAACjzBwCIeAQ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HAQAAfwAAAAAAAAAAAAAACAEAAIAAAAAhAPAAAAAAAAAAAAAAAIA/AAAAAAAAAAAAAIA/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/AAAAAAAAAAAAAAAIAQAAgAAAACEA8AAAAAAAAAAAAAAAgD8AAAAAAAAAAAAAgD8AAAAAAAAAAAAAAAAAAAAAAAAAAAAAAAAAAAAAAAAAACUAAAAMAAAAAAAAgCgAAAAMAAAAAQAAACcAAAAYAAAAAQAAAAAAAADw8PAAAAAAACUAAAAMAAAAAQAAAEwAAABkAAAAAAAAAAAAAAAHAQAAfwAAAAAAAAAAAAAACAEAAIAAAAAhAPAAAAAAAAAAAAAAAIA/AAAAAAAAAAAAAIA/AAAAAAAAAAAAAAAAAAAAAAAAAAAAAAAAAAAAAAAAAAAlAAAADAAAAAAAAIAoAAAADAAAAAEAAAAnAAAAGAAAAAEAAAAAAAAA////AAAAAAAlAAAADAAAAAEAAABMAAAAZAAAAAAAAAAAAAAABwEAAH8AAAAAAAAAAAAAAAgBAACAAAAAIQDwAAAAAAAAAAAAAACAPwAAAAAAAAAAAACAPwAAAAAAAAAAAAAAAAAAAAAAAAAAAAAAAAAAAAAAAAAAJQAAAAwAAAAAAACAKAAAAAwAAAABAAAAJwAAABgAAAABAAAAAAAAAP///wAAAAAAJQAAAAwAAAABAAAATAAAAGQAAAAAAAAAAAAAAAcBAAB/AAAAAAAAAAAAAAAI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AwAAANBd8nZY13sAyIQFVODEUwAox1MAAAAAAOOe13f8xFMAQAAAAAAAAAAAAAAAAAAAAAAAAAAAAAAAAAAAAAAAAAAAAAAAAAAAAAAAAAAAAAAAAAAAAAAAAAAAAAAAAAAAAMjFUwAAAAAAQEjPERIAFAAwSM8RqeMWVAAAAADMxVMA1MZTAAAAAAAUML0RAMVTAAAAAgBoxVMAaMVTAGjFUwACAAAAAgAAAAAAAABiphnUpMVTAL2ViHcAAPJ2mMVTAAAAAACgxVMAAAAAACvyclMAAPJ2AAAAABMAFADIhAVU0F3ydrjFUwBk9QN3AADydgAAAABYWIwFZHYACAAAAAAlAAAADAAAAAEAAAAYAAAADAAAAP8AAAASAAAADAAAAAEAAAAeAAAAGAAAACIAAAAEAAAAcgAAABEAAAAlAAAADAAAAAEAAABUAAAAqAAAACMAAAAEAAAAcAAAABAAAAABAAAAVRXZQXsJ2UEjAAAABAAAAA8AAABMAAAAAAAAAAAAAAAAAAAA//////////9sAAAARgBpAHIAbQBhACAAbgBvACAAdgDhAGwAaQBkAGEAAA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vGHbdwAAAADYjoIAAAAAAFjXewBY13sAnoQFVAAAAAAr8nJTCQAAAAAAAAAAAAAAAAAAAAAAAAAQ4HsAAAAAAAAAAAAAAAAAAAAAAAAAAAAAAAAAAAAAAAAAAAAAAAAAAAAAAAAAAAAAAAAAAAAAAAAAAAAAAAAAXhTedwAAGNQwcVIACNLXd1jXewAr8nJTAAAAABjT13f//wAAAAAAAPvT13f709d3YHFSAGRxUgCehAVUAAAAAAAAAAAAAAAABwAAAAAAAACxn4d3CQAAAAcAAACYcVIAmHFSAAACAAD8////AQAAAAAAAAAAAAAAAAAAAFhYjAXkxPN2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IlMoAAAAdMqFANCYESwAqPkvAAAAAAAAAAAAAHIAAgAAAAMAAAAFAAAAAAByAMwBcgAAAAAAIAAAAKwZcgAAAAAAAAB7AKgZcgAcQf4xRFVSAO5d13cAAAAA7l3XdwAAAAAAAAAAIAAAALgdGSSW5NZSYFVSAIy4E1QAAHsAAAAAACAAAAAoWlIAoA8AANxZUgDB6bZSIAAAAAEAAADs1bdSiwK1mwMAAAAY2bdS28PWUv////+4HRkkRD3BUgAAAAAAAAAAsZ+Hd4TtGVMGAAAAvFZSALxWUgAAAgAA/P///wEAAAAAAAAAAAAAAAAAAAAAAAAAAAAAAFhYjAVkdgAIAAAAACUAAAAMAAAAAwAAABgAAAAMAAAAAAAAABIAAAAMAAAAAQAAABYAAAAMAAAACAAAAFQAAABUAAAACgAAACcAAAAeAAAASgAAAAEAAABVFdlBewnZQQoAAABLAAAAAQAAAEwAAAAEAAAACQAAACcAAAAgAAAASwAAAFAAAABYAHg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KAAAABHAAAAKQAAADMAAAB4AAAAFQAAACEA8AAAAAAAAAAAAAAAgD8AAAAAAAAAAAAAgD8AAAAAAAAAAAAAAAAAAAAAAAAAAAAAAAAAAAAAAAAAACUAAAAMAAAAAAAAgCgAAAAMAAAABAAAAFIAAABwAQAABAAAAPD///8AAAAAAAAAAAAAAACQAQAAAAAAAQAAAABzAGUAZwBvAGUAIAB1AGkAAAAAAAAAAAAAAAAAAAAAAAAAAAAAAAAAAAAAAAAAAAAAAAAAAAAAAAAAAAAAAAAAAAAAADC3KwQAAAAAbFVSAKuWAVEBAAAAJFZSACANAIQAAAAADG1sIXhVUgCZd3xT4CByBTgpsxHTDrWbAgAAADhXUgA+6NZS/////0RXUgDIIb9SEwy1my0AAAAYXFIAmR2/UuAgcgUAAAAAmFtSAAAAAEIBVFIAAAAAAAAAAEAAAJMxAQAAAKRXUgAgAAAAOAJ8HwAAAACgV1IAAAAAAAAAAABUWFIACAAAAAcAAAA4KbMRNAZaEwEAAABQRgAAAAAAAAAAAACxn4d3AAAAAAkAAAAkV1IAJFdSAAACAAD8////AQAAAAAAAAAAAAAAAAAAAAAAAAAAAAAAWFiMBWR2AAgAAAAAJQAAAAwAAAAEAAAAGAAAAAwAAAAAAAAAEgAAAAwAAAABAAAAHgAAABgAAAApAAAAMwAAAKEAAABIAAAAJQAAAAwAAAAEAAAAVAAAAKwAAAAqAAAAMwAAAJ8AAABHAAAAAQAAAFUV2UF7CdlBKgAAADMAAAAQAAAATAAAAAAAAAAAAAAAAAAAAP//////////bAAAAEcAaQB1AHMAZQBwAHAAZQAgAFMAYQB1AHIAaQBuAGkACwAAAAQAAAAJAAAABwAAAAgAAAAJAAAACQAAAAgAAAAEAAAACQAAAAgAAAAJAAAABgAAAAQAAAAJAAAABAAAAEsAAABAAAAAMAAAAAUAAAAgAAAAAQAAAAEAAAAQAAAAAAAAAAAAAAAIAQAAgAAAAAAAAAAAAAAACAEAAIAAAAAlAAAADAAAAAIAAAAnAAAAGAAAAAUAAAAAAAAA////AAAAAAAlAAAADAAAAAUAAABMAAAAZAAAAAAAAABQAAAABwEAAHwAAAAAAAAAUAAAAAgBAAAtAAAAIQDwAAAAAAAAAAAAAACAPwAAAAAAAAAAAACAPwAAAAAAAAAAAAAAAAAAAAAAAAAAAAAAAAAAAAAAAAAAJQAAAAwAAAAAAACAKAAAAAwAAAAFAAAAJwAAABgAAAAFAAAAAAAAAP///wAAAAAAJQAAAAwAAAAFAAAATAAAAGQAAAAJAAAAUAAAAP4AAABcAAAACQAAAFAAAAD2AAAADQAAACEA8AAAAAAAAAAAAAAAgD8AAAAAAAAAAAAAgD8AAAAAAAAAAAAAAAAAAAAAAAAAAAAAAAAAAAAAAAAAACUAAAAMAAAAAAAAgCgAAAAMAAAABQAAACUAAAAMAAAAAQAAABgAAAAMAAAAAAAAABIAAAAMAAAAAQAAAB4AAAAYAAAACQAAAFAAAAD/AAAAXQAAACUAAAAMAAAAAQAAAFQAAACsAAAACgAAAFAAAABhAAAAXAAAAAEAAABVFdlBewnZQQoAAABQAAAAEAAAAEwAAAAAAAAAAAAAAAAAAAD//////////2wAAABHAGkAdQBzAGUAcABwAGUAIABTAGEAdQByAGkAbgBpAAgAAAADAAAABwAAAAUAAAAGAAAABwAAAAcAAAAGAAAAAwAAAAYAAAAGAAAABwAAAAQAAAADAAAABwAAAAMAAABLAAAAQAAAADAAAAAFAAAAIAAAAAEAAAABAAAAEAAAAAAAAAAAAAAACAEAAIAAAAAAAAAAAAAAAAgBAACAAAAAJQAAAAwAAAACAAAAJwAAABgAAAAFAAAAAAAAAP///wAAAAAAJQAAAAwAAAAFAAAATAAAAGQAAAAJAAAAYAAAAP4AAABsAAAACQAAAGAAAAD2AAAADQAAACEA8AAAAAAAAAAAAAAAgD8AAAAAAAAAAAAAgD8AAAAAAAAAAAAAAAAAAAAAAAAAAAAAAAAAAAAAAAAAACUAAAAMAAAAAAAAgCgAAAAMAAAABQAAACUAAAAMAAAAAQAAABgAAAAMAAAAAAAAABIAAAAMAAAAAQAAAB4AAAAYAAAACQAAAGAAAAD/AAAAbQAAACUAAAAMAAAAAQAAAFQAAACIAAAACgAAAGAAAAA/AAAAbAAAAAEAAABVFdlBewnZQQoAAABgAAAACgAAAEwAAAAAAAAAAAAAAAAAAAD//////////2AAAABQAHIAZQBzAGkAZABlAG4AdABlAAYAAAAEAAAABgAAAAUAAAADAAAABwAAAAYAAAAHAAAABAAAAAYAAABLAAAAQAAAADAAAAAFAAAAIAAAAAEAAAABAAAAEAAAAAAAAAAAAAAACAEAAIAAAAAAAAAAAAAAAAgBAACAAAAAJQAAAAwAAAACAAAAJwAAABgAAAAFAAAAAAAAAP///wAAAAAAJQAAAAwAAAAFAAAATAAAAGQAAAAJAAAAcAAAAP4AAAB8AAAACQAAAHAAAAD2AAAADQAAACEA8AAAAAAAAAAAAAAAgD8AAAAAAAAAAAAAgD8AAAAAAAAAAAAAAAAAAAAAAAAAAAAAAAAAAAAAAAAAACUAAAAMAAAAAAAAgCgAAAAMAAAABQAAACUAAAAMAAAAAQAAABgAAAAMAAAAAAAAABIAAAAMAAAAAQAAABYAAAAMAAAAAAAAAFQAAABIAQAACgAAAHAAAAD9AAAAfAAAAAEAAABVFdlBewnZQQoAAABwAAAAKgAAAEwAAAAEAAAACQAAAHAAAAD/AAAAfQAAAKAAAABGAGkAcgBtAGEAZABvACAAcABvAHIAOgAgAEcASQBVAFMARQBQAFAARQAgAEEATgBUAE8ATgBJAE8AIABTAEEAVQBSAEkATgBJACAAQgBVAEUAWQAGAAAAAwAAAAQAAAAJAAAABgAAAAcAAAAHAAAAAwAAAAcAAAAHAAAABAAAAAMAAAADAAAACAAAAAMAAAAIAAAABgAAAAYAAAAGAAAABgAAAAYAAAADAAAABwAAAAgAAAAGAAAACQAAAAgAAAADAAAACQAAAAMAAAAGAAAABwAAAAgAAAAHAAAAAwAAAAgAAAADAAAAAwAAAAYAAAAIAAAABgAAAAUAAAAWAAAADAAAAAAAAAAlAAAADAAAAAIAAAAOAAAAFAAAAAAAAAAQAAAAFAAAAA==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188AC823B6C4A8EBF701D4ED29F46" ma:contentTypeVersion="14" ma:contentTypeDescription="Crear nuevo documento." ma:contentTypeScope="" ma:versionID="de2d9a1c88594459304e2c4adc86a4a9">
  <xsd:schema xmlns:xsd="http://www.w3.org/2001/XMLSchema" xmlns:xs="http://www.w3.org/2001/XMLSchema" xmlns:p="http://schemas.microsoft.com/office/2006/metadata/properties" xmlns:ns2="013c4319-0e27-49cd-9b1b-f2dfcd8cc279" xmlns:ns3="9662b909-3ae9-4a89-9d7d-eb6819a1bf5c" targetNamespace="http://schemas.microsoft.com/office/2006/metadata/properties" ma:root="true" ma:fieldsID="85f3ba0ff5a6ef0b4fda966e2c3b27ff" ns2:_="" ns3:_="">
    <xsd:import namespace="013c4319-0e27-49cd-9b1b-f2dfcd8cc279"/>
    <xsd:import namespace="9662b909-3ae9-4a89-9d7d-eb6819a1bf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c4319-0e27-49cd-9b1b-f2dfcd8cc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2eb1a2e-ee57-4f6c-ab4c-41fc3cafe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2b909-3ae9-4a89-9d7d-eb6819a1bf5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0812dcd-9c7c-41aa-b949-a1a9c2c6253d}" ma:internalName="TaxCatchAll" ma:showField="CatchAllData" ma:web="9662b909-3ae9-4a89-9d7d-eb6819a1bf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662b909-3ae9-4a89-9d7d-eb6819a1bf5c">
      <UserInfo>
        <DisplayName>Integrantes de la Directores</DisplayName>
        <AccountId>27</AccountId>
        <AccountType/>
      </UserInfo>
    </SharedWithUsers>
    <lcf76f155ced4ddcb4097134ff3c332f xmlns="013c4319-0e27-49cd-9b1b-f2dfcd8cc279">
      <Terms xmlns="http://schemas.microsoft.com/office/infopath/2007/PartnerControls"/>
    </lcf76f155ced4ddcb4097134ff3c332f>
    <TaxCatchAll xmlns="9662b909-3ae9-4a89-9d7d-eb6819a1bf5c" xsi:nil="true"/>
  </documentManagement>
</p:properties>
</file>

<file path=customXml/itemProps1.xml><?xml version="1.0" encoding="utf-8"?>
<ds:datastoreItem xmlns:ds="http://schemas.openxmlformats.org/officeDocument/2006/customXml" ds:itemID="{99C39530-1A34-401C-BBA4-EF8E331F39BF}"/>
</file>

<file path=customXml/itemProps2.xml><?xml version="1.0" encoding="utf-8"?>
<ds:datastoreItem xmlns:ds="http://schemas.openxmlformats.org/officeDocument/2006/customXml" ds:itemID="{BC1C2AA2-387E-41DF-951E-27EB0DD0149A}"/>
</file>

<file path=customXml/itemProps3.xml><?xml version="1.0" encoding="utf-8"?>
<ds:datastoreItem xmlns:ds="http://schemas.openxmlformats.org/officeDocument/2006/customXml" ds:itemID="{26AAB8AC-C140-47F0-B334-A2F561CF3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1</vt:i4>
      </vt:variant>
    </vt:vector>
  </HeadingPairs>
  <TitlesOfParts>
    <vt:vector size="31" baseType="lpstr">
      <vt:lpstr>Balance Gral 30 06 2022</vt:lpstr>
      <vt:lpstr>EERR al 30 06 2022</vt:lpstr>
      <vt:lpstr>INDICE</vt:lpstr>
      <vt:lpstr>INFORMAC GRAL DE LA EMP</vt:lpstr>
      <vt:lpstr>BALANCE GRAL 30_06_22</vt:lpstr>
      <vt:lpstr>ESTADOS DE RESULTADOS 30_06_22</vt:lpstr>
      <vt:lpstr>Flujo de TP Calculo DIC</vt:lpstr>
      <vt:lpstr>FLUJO DE EFECTIVO 30_06_22</vt:lpstr>
      <vt:lpstr>ESTADO DE VARIAC PN 30_06_22</vt:lpstr>
      <vt:lpstr>NOTAS A LOS ESTADOS CONTA. 1-4</vt:lpstr>
      <vt:lpstr>NOTA 5 A-C CRITERIOS ESPECIF.</vt:lpstr>
      <vt:lpstr>NOTA D - DISPONIBILIDADES</vt:lpstr>
      <vt:lpstr>NOTA E - INVERSIONES</vt:lpstr>
      <vt:lpstr>NOTA F - CREDITOS</vt:lpstr>
      <vt:lpstr>NOTA G BIENES DE USO</vt:lpstr>
      <vt:lpstr>NOTA H CARGOS DIFERIDOS</vt:lpstr>
      <vt:lpstr> NOTA I INTANGIBLES</vt:lpstr>
      <vt:lpstr>NOTA J OTROS ACTIVOS CTES y NO </vt:lpstr>
      <vt:lpstr>NOTA K PRESTAMOS</vt:lpstr>
      <vt:lpstr>NOTA L ACREED VARIOS</vt:lpstr>
      <vt:lpstr>NOTAS M-Q ACREED y CTAS A PAG</vt:lpstr>
      <vt:lpstr>NOTA R SALDOS Y TRANSACC</vt:lpstr>
      <vt:lpstr>NOTA S RESULTADOS CON PERS</vt:lpstr>
      <vt:lpstr> NOTA T PATRIMONIO Y PREVIS</vt:lpstr>
      <vt:lpstr>NOTA V INGRESOS OPERATIVOS</vt:lpstr>
      <vt:lpstr>NOTA W OTROS GASTOS OPER</vt:lpstr>
      <vt:lpstr>NOTA X OTROS INGRESOS Y EGR</vt:lpstr>
      <vt:lpstr>NOTA Y RESULTADOS FINANC</vt:lpstr>
      <vt:lpstr>NOTA Z RESULT EXTRA</vt:lpstr>
      <vt:lpstr>NOTA 6 11 INFORMACIONES</vt:lpstr>
      <vt:lpstr>'Flujo de TP Calculo DIC'!Área_de_impresión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Sady Pereira</cp:lastModifiedBy>
  <cp:revision/>
  <cp:lastPrinted>2022-08-22T21:21:10Z</cp:lastPrinted>
  <dcterms:created xsi:type="dcterms:W3CDTF">2019-11-21T14:06:50Z</dcterms:created>
  <dcterms:modified xsi:type="dcterms:W3CDTF">2022-08-25T20:43:03Z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0x010100C52188AC823B6C4A8EBF701D4ED29F46</vt:lpwstr>
  </property>
</Properties>
</file>